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Madhavi 2017\"/>
    </mc:Choice>
  </mc:AlternateContent>
  <xr:revisionPtr revIDLastSave="0" documentId="13_ncr:1_{3812C849-B72F-4A5F-8D88-C71E706BB77E}" xr6:coauthVersionLast="47" xr6:coauthVersionMax="47" xr10:uidLastSave="{00000000-0000-0000-0000-000000000000}"/>
  <bookViews>
    <workbookView xWindow="-108" yWindow="-108" windowWidth="23256" windowHeight="12576" firstSheet="96" activeTab="99" xr2:uid="{00000000-000D-0000-FFFF-FFFF00000000}"/>
  </bookViews>
  <sheets>
    <sheet name="JAN 2016" sheetId="1" r:id="rId1"/>
    <sheet name="FEB 2016" sheetId="2" r:id="rId2"/>
    <sheet name="MARCH 2016" sheetId="3" r:id="rId3"/>
    <sheet name="APRIL 2016" sheetId="4" r:id="rId4"/>
    <sheet name="MAY 2016" sheetId="5" r:id="rId5"/>
    <sheet name="JUNE 2016" sheetId="6" r:id="rId6"/>
    <sheet name="JULY 2016" sheetId="7" r:id="rId7"/>
    <sheet name="AUG 2016" sheetId="8" r:id="rId8"/>
    <sheet name="SEP 2016" sheetId="9" r:id="rId9"/>
    <sheet name="OCT 2016" sheetId="10" r:id="rId10"/>
    <sheet name="NOV 2016" sheetId="11" r:id="rId11"/>
    <sheet name="DEC 2016" sheetId="12" r:id="rId12"/>
    <sheet name="JAN 2017" sheetId="13" r:id="rId13"/>
    <sheet name="FEB 2017" sheetId="14" r:id="rId14"/>
    <sheet name="MARCH 2017" sheetId="15" r:id="rId15"/>
    <sheet name="APRIL 2017" sheetId="16" r:id="rId16"/>
    <sheet name="MAY 2017" sheetId="17" r:id="rId17"/>
    <sheet name="JUNE 2017" sheetId="18" r:id="rId18"/>
    <sheet name="JULY 2017" sheetId="19" r:id="rId19"/>
    <sheet name="AUG 2017" sheetId="22" r:id="rId20"/>
    <sheet name="SEP 2017" sheetId="24" r:id="rId21"/>
    <sheet name="OCT 2017" sheetId="25" r:id="rId22"/>
    <sheet name="NOV 2017" sheetId="26" r:id="rId23"/>
    <sheet name="DEC 2017" sheetId="27" r:id="rId24"/>
    <sheet name="JAN 2018" sheetId="28" r:id="rId25"/>
    <sheet name="FEB 2018" sheetId="29" r:id="rId26"/>
    <sheet name="MARCH 2018" sheetId="30" r:id="rId27"/>
    <sheet name="APRIL 2018" sheetId="31" r:id="rId28"/>
    <sheet name="MAY 2018" sheetId="32" r:id="rId29"/>
    <sheet name="JUNE 2018" sheetId="33" r:id="rId30"/>
    <sheet name="JULY 2018" sheetId="34" r:id="rId31"/>
    <sheet name="AUGUST 2018" sheetId="35" r:id="rId32"/>
    <sheet name="SEP 2018" sheetId="36" r:id="rId33"/>
    <sheet name="OCT 2018" sheetId="37" r:id="rId34"/>
    <sheet name="NOV 2018" sheetId="38" r:id="rId35"/>
    <sheet name="DEC-2018" sheetId="39" r:id="rId36"/>
    <sheet name="JAN 2019" sheetId="40" r:id="rId37"/>
    <sheet name="FEB 2019" sheetId="42" r:id="rId38"/>
    <sheet name="MARCH 2019" sheetId="41" r:id="rId39"/>
    <sheet name="APRIL 2019" sheetId="43" r:id="rId40"/>
    <sheet name="MAY 2019" sheetId="44" r:id="rId41"/>
    <sheet name="JUN 2019" sheetId="45" r:id="rId42"/>
    <sheet name="JULY 2019" sheetId="46" r:id="rId43"/>
    <sheet name="AUGUST 2019" sheetId="47" r:id="rId44"/>
    <sheet name="SEP 2019" sheetId="48" r:id="rId45"/>
    <sheet name="OCT 2019" sheetId="49" r:id="rId46"/>
    <sheet name="NOV 2019" sheetId="50" r:id="rId47"/>
    <sheet name="DEC 2019" sheetId="51" r:id="rId48"/>
    <sheet name="JAN 2020" sheetId="52" r:id="rId49"/>
    <sheet name="FEB 2020" sheetId="53" r:id="rId50"/>
    <sheet name="MARCH 2020" sheetId="54" r:id="rId51"/>
    <sheet name="APRIL 2020" sheetId="55" r:id="rId52"/>
    <sheet name="MAY 2020" sheetId="56" r:id="rId53"/>
    <sheet name="JUNE 2020" sheetId="57" r:id="rId54"/>
    <sheet name="JULY 2020" sheetId="58" r:id="rId55"/>
    <sheet name="AUGUST 2020" sheetId="59" r:id="rId56"/>
    <sheet name="SEP 2020" sheetId="60" r:id="rId57"/>
    <sheet name="OCT 2020" sheetId="61" r:id="rId58"/>
    <sheet name="NOV 2020" sheetId="62" r:id="rId59"/>
    <sheet name="DEC 2020" sheetId="63" r:id="rId60"/>
    <sheet name="JAN 2021" sheetId="64" r:id="rId61"/>
    <sheet name="FEB 2021" sheetId="65" r:id="rId62"/>
    <sheet name="MARCH 2021" sheetId="66" r:id="rId63"/>
    <sheet name="APRIL 2021" sheetId="67" r:id="rId64"/>
    <sheet name="MAY 2021" sheetId="68" r:id="rId65"/>
    <sheet name="JUNE 2021" sheetId="69" r:id="rId66"/>
    <sheet name="JULY 2021" sheetId="70" r:id="rId67"/>
    <sheet name="AUGUST 2021" sheetId="71" r:id="rId68"/>
    <sheet name="SEP 2021" sheetId="72" r:id="rId69"/>
    <sheet name="OCT 2021" sheetId="73" r:id="rId70"/>
    <sheet name="NOV 2021" sheetId="74" r:id="rId71"/>
    <sheet name="DEC 2021" sheetId="75" r:id="rId72"/>
    <sheet name="JAN 2022" sheetId="76" r:id="rId73"/>
    <sheet name="FEB 2022" sheetId="77" r:id="rId74"/>
    <sheet name="MARCH 2022" sheetId="78" r:id="rId75"/>
    <sheet name="APRIL 2022" sheetId="79" r:id="rId76"/>
    <sheet name="MAY 2022" sheetId="80" r:id="rId77"/>
    <sheet name="JUN 2022" sheetId="81" r:id="rId78"/>
    <sheet name="JULY 2022" sheetId="82" r:id="rId79"/>
    <sheet name="AUGUST 2022" sheetId="83" r:id="rId80"/>
    <sheet name="SEP 2022" sheetId="84" r:id="rId81"/>
    <sheet name="OCT 2022" sheetId="85" r:id="rId82"/>
    <sheet name="NOV 2022" sheetId="86" r:id="rId83"/>
    <sheet name="DEC 2022" sheetId="87" r:id="rId84"/>
    <sheet name="JAN 2023" sheetId="88" r:id="rId85"/>
    <sheet name="FEB 2023" sheetId="89" r:id="rId86"/>
    <sheet name="MARCH 2023" sheetId="90" r:id="rId87"/>
    <sheet name="APRIL 2023" sheetId="91" r:id="rId88"/>
    <sheet name="MAY 2023" sheetId="92" r:id="rId89"/>
    <sheet name="JUN 2023" sheetId="93" r:id="rId90"/>
    <sheet name="JULY 2023" sheetId="94" r:id="rId91"/>
    <sheet name="AUGUST 2023" sheetId="95" r:id="rId92"/>
    <sheet name="SEP 2023" sheetId="96" r:id="rId93"/>
    <sheet name="OCT 2023" sheetId="98" r:id="rId94"/>
    <sheet name="NOV 2023" sheetId="99" r:id="rId95"/>
    <sheet name="DEC 2023" sheetId="100" r:id="rId96"/>
    <sheet name="JAN 2024" sheetId="101" r:id="rId97"/>
    <sheet name="FEB 2024" sheetId="102" r:id="rId98"/>
    <sheet name="MARCH 2024" sheetId="103" r:id="rId99"/>
    <sheet name="Home Page" sheetId="23" r:id="rId100"/>
  </sheets>
  <definedNames>
    <definedName name="_xlnm.Print_Area" localSheetId="27">'APRIL 2018'!$A$1:$K$22,'APRIL 2018'!#REF!,'APRIL 2018'!#REF!,'APRIL 2018'!$M$2:$R$8</definedName>
    <definedName name="_xlnm.Print_Area" localSheetId="39">'APRIL 2019'!$A$1:$K$22,'APRIL 2019'!#REF!,'APRIL 2019'!#REF!,'APRIL 2019'!$M$2:$R$8</definedName>
    <definedName name="_xlnm.Print_Area" localSheetId="51">'APRIL 2020'!$A$1:$K$22,'APRIL 2020'!#REF!,'APRIL 2020'!#REF!,'APRIL 2020'!$M$2:$R$8</definedName>
    <definedName name="_xlnm.Print_Area" localSheetId="63">'APRIL 2021'!$A$1:$K$22,'APRIL 2021'!#REF!,'APRIL 2021'!#REF!,'APRIL 2021'!$M$2:$R$8</definedName>
    <definedName name="_xlnm.Print_Area" localSheetId="75">'APRIL 2022'!$A$1:$K$25,'APRIL 2022'!#REF!,'APRIL 2022'!#REF!,'APRIL 2022'!$M$2:$R$8</definedName>
    <definedName name="_xlnm.Print_Area" localSheetId="87">'APRIL 2023'!$A$1:$K$25,'APRIL 2023'!#REF!,'APRIL 2023'!#REF!,'APRIL 2023'!$M$2:$R$8</definedName>
    <definedName name="_xlnm.Print_Area" localSheetId="19">'AUG 2017'!$A$1:$K$22,'AUG 2017'!#REF!,'AUG 2017'!#REF!,'AUG 2017'!$M$2:$R$8</definedName>
    <definedName name="_xlnm.Print_Area" localSheetId="31">'AUGUST 2018'!$A$1:$K$22,'AUGUST 2018'!#REF!,'AUGUST 2018'!#REF!,'AUGUST 2018'!$M$2:$R$8</definedName>
    <definedName name="_xlnm.Print_Area" localSheetId="43">'AUGUST 2019'!$A$1:$K$22,'AUGUST 2019'!#REF!,'AUGUST 2019'!#REF!,'AUGUST 2019'!$M$2:$R$8</definedName>
    <definedName name="_xlnm.Print_Area" localSheetId="55">'AUGUST 2020'!$A$1:$K$22,'AUGUST 2020'!#REF!,'AUGUST 2020'!#REF!,'AUGUST 2020'!$M$2:$R$8</definedName>
    <definedName name="_xlnm.Print_Area" localSheetId="67">'AUGUST 2021'!$A$1:$K$22,'AUGUST 2021'!#REF!,'AUGUST 2021'!#REF!,'AUGUST 2021'!$M$2:$R$8</definedName>
    <definedName name="_xlnm.Print_Area" localSheetId="79">'AUGUST 2022'!$A$1:$K$25,'AUGUST 2022'!#REF!,'AUGUST 2022'!#REF!,'AUGUST 2022'!$M$2:$R$8</definedName>
    <definedName name="_xlnm.Print_Area" localSheetId="91">'AUGUST 2023'!$A$1:$K$25,'AUGUST 2023'!#REF!,'AUGUST 2023'!#REF!,'AUGUST 2023'!$M$2:$R$8</definedName>
    <definedName name="_xlnm.Print_Area" localSheetId="23">'DEC 2017'!$A$1:$K$22,'DEC 2017'!#REF!,'DEC 2017'!#REF!,'DEC 2017'!$M$2:$R$8</definedName>
    <definedName name="_xlnm.Print_Area" localSheetId="47">'DEC 2019'!$A$1:$K$22,'DEC 2019'!#REF!,'DEC 2019'!#REF!,'DEC 2019'!$M$2:$R$8</definedName>
    <definedName name="_xlnm.Print_Area" localSheetId="59">'DEC 2020'!$A$1:$K$22,'DEC 2020'!#REF!,'DEC 2020'!#REF!,'DEC 2020'!$M$2:$R$8</definedName>
    <definedName name="_xlnm.Print_Area" localSheetId="71">'DEC 2021'!$A$1:$K$22,'DEC 2021'!#REF!,'DEC 2021'!#REF!,'DEC 2021'!$M$2:$R$8</definedName>
    <definedName name="_xlnm.Print_Area" localSheetId="83">'DEC 2022'!$A$1:$K$25,'DEC 2022'!#REF!,'DEC 2022'!#REF!,'DEC 2022'!$M$2:$R$8</definedName>
    <definedName name="_xlnm.Print_Area" localSheetId="95">'DEC 2023'!$A$1:$K$22,'DEC 2023'!#REF!,'DEC 2023'!#REF!,'DEC 2023'!$M$2:$R$8</definedName>
    <definedName name="_xlnm.Print_Area" localSheetId="35">'DEC-2018'!$A$1:$K$22,'DEC-2018'!#REF!,'DEC-2018'!#REF!,'DEC-2018'!$M$2:$R$8</definedName>
    <definedName name="_xlnm.Print_Area" localSheetId="25">'FEB 2018'!$A$1:$K$22,'FEB 2018'!#REF!,'FEB 2018'!#REF!,'FEB 2018'!$M$2:$R$8</definedName>
    <definedName name="_xlnm.Print_Area" localSheetId="37">'FEB 2019'!$A$1:$K$22,'FEB 2019'!#REF!,'FEB 2019'!#REF!,'FEB 2019'!$M$2:$R$8</definedName>
    <definedName name="_xlnm.Print_Area" localSheetId="49">'FEB 2020'!$A$1:$K$22,'FEB 2020'!#REF!,'FEB 2020'!#REF!,'FEB 2020'!$M$2:$R$8</definedName>
    <definedName name="_xlnm.Print_Area" localSheetId="61">'FEB 2021'!$A$1:$K$22,'FEB 2021'!#REF!,'FEB 2021'!#REF!,'FEB 2021'!$M$2:$R$8</definedName>
    <definedName name="_xlnm.Print_Area" localSheetId="73">'FEB 2022'!$A$1:$K$22,'FEB 2022'!#REF!,'FEB 2022'!#REF!,'FEB 2022'!$M$2:$R$8</definedName>
    <definedName name="_xlnm.Print_Area" localSheetId="85">'FEB 2023'!$A$1:$K$25,'FEB 2023'!#REF!,'FEB 2023'!#REF!,'FEB 2023'!$M$2:$R$8</definedName>
    <definedName name="_xlnm.Print_Area" localSheetId="97">'FEB 2024'!$A$1:$K$22,'FEB 2024'!#REF!,'FEB 2024'!#REF!,'FEB 2024'!$M$2:$R$8</definedName>
    <definedName name="_xlnm.Print_Area" localSheetId="24">'JAN 2018'!$A$1:$K$22,'JAN 2018'!#REF!,'JAN 2018'!#REF!,'JAN 2018'!$M$2:$R$8</definedName>
    <definedName name="_xlnm.Print_Area" localSheetId="36">'JAN 2019'!$A$1:$K$22,'JAN 2019'!#REF!,'JAN 2019'!#REF!,'JAN 2019'!$M$2:$R$8</definedName>
    <definedName name="_xlnm.Print_Area" localSheetId="48">'JAN 2020'!$A$1:$K$22,'JAN 2020'!#REF!,'JAN 2020'!#REF!,'JAN 2020'!$M$2:$R$8</definedName>
    <definedName name="_xlnm.Print_Area" localSheetId="60">'JAN 2021'!$A$1:$K$22,'JAN 2021'!#REF!,'JAN 2021'!#REF!,'JAN 2021'!$M$2:$R$8</definedName>
    <definedName name="_xlnm.Print_Area" localSheetId="72">'JAN 2022'!$A$1:$K$22,'JAN 2022'!#REF!,'JAN 2022'!#REF!,'JAN 2022'!$M$2:$R$8</definedName>
    <definedName name="_xlnm.Print_Area" localSheetId="84">'JAN 2023'!$A$1:$K$25,'JAN 2023'!#REF!,'JAN 2023'!#REF!,'JAN 2023'!$M$2:$R$8</definedName>
    <definedName name="_xlnm.Print_Area" localSheetId="96">'JAN 2024'!$A$1:$K$22,'JAN 2024'!#REF!,'JAN 2024'!#REF!,'JAN 2024'!$M$2:$R$8</definedName>
    <definedName name="_xlnm.Print_Area" localSheetId="30">'JULY 2018'!$A$1:$K$22,'JULY 2018'!#REF!,'JULY 2018'!#REF!,'JULY 2018'!$M$2:$R$8</definedName>
    <definedName name="_xlnm.Print_Area" localSheetId="42">'JULY 2019'!$A$1:$K$22,'JULY 2019'!#REF!,'JULY 2019'!#REF!,'JULY 2019'!$M$2:$R$8</definedName>
    <definedName name="_xlnm.Print_Area" localSheetId="54">'JULY 2020'!$A$1:$K$22,'JULY 2020'!#REF!,'JULY 2020'!#REF!,'JULY 2020'!$M$2:$R$8</definedName>
    <definedName name="_xlnm.Print_Area" localSheetId="66">'JULY 2021'!$A$1:$K$22,'JULY 2021'!#REF!,'JULY 2021'!#REF!,'JULY 2021'!$M$2:$R$8</definedName>
    <definedName name="_xlnm.Print_Area" localSheetId="78">'JULY 2022'!$A$1:$K$25,'JULY 2022'!#REF!,'JULY 2022'!#REF!,'JULY 2022'!$M$2:$R$8</definedName>
    <definedName name="_xlnm.Print_Area" localSheetId="90">'JULY 2023'!$A$1:$K$25,'JULY 2023'!#REF!,'JULY 2023'!#REF!,'JULY 2023'!$M$2:$R$8</definedName>
    <definedName name="_xlnm.Print_Area" localSheetId="41">'JUN 2019'!$A$1:$K$22,'JUN 2019'!#REF!,'JUN 2019'!#REF!,'JUN 2019'!$M$2:$R$8</definedName>
    <definedName name="_xlnm.Print_Area" localSheetId="77">'JUN 2022'!$A$1:$K$25,'JUN 2022'!#REF!,'JUN 2022'!#REF!,'JUN 2022'!$M$2:$R$8</definedName>
    <definedName name="_xlnm.Print_Area" localSheetId="89">'JUN 2023'!$A$1:$K$25,'JUN 2023'!#REF!,'JUN 2023'!#REF!,'JUN 2023'!$M$2:$R$8</definedName>
    <definedName name="_xlnm.Print_Area" localSheetId="29">'JUNE 2018'!$A$1:$K$22,'JUNE 2018'!#REF!,'JUNE 2018'!#REF!,'JUNE 2018'!$M$2:$R$8</definedName>
    <definedName name="_xlnm.Print_Area" localSheetId="53">'JUNE 2020'!$A$1:$K$22,'JUNE 2020'!#REF!,'JUNE 2020'!#REF!,'JUNE 2020'!$M$2:$R$8</definedName>
    <definedName name="_xlnm.Print_Area" localSheetId="65">'JUNE 2021'!$A$1:$K$22,'JUNE 2021'!#REF!,'JUNE 2021'!#REF!,'JUNE 2021'!$M$2:$R$8</definedName>
    <definedName name="_xlnm.Print_Area" localSheetId="26">'MARCH 2018'!$A$1:$K$22,'MARCH 2018'!#REF!,'MARCH 2018'!#REF!,'MARCH 2018'!$M$2:$R$8</definedName>
    <definedName name="_xlnm.Print_Area" localSheetId="38">'MARCH 2019'!$A$1:$K$22,'MARCH 2019'!#REF!,'MARCH 2019'!#REF!,'MARCH 2019'!$M$2:$R$8</definedName>
    <definedName name="_xlnm.Print_Area" localSheetId="50">'MARCH 2020'!$A$1:$K$22,'MARCH 2020'!#REF!,'MARCH 2020'!#REF!,'MARCH 2020'!$M$2:$R$8</definedName>
    <definedName name="_xlnm.Print_Area" localSheetId="62">'MARCH 2021'!$A$1:$K$22,'MARCH 2021'!#REF!,'MARCH 2021'!#REF!,'MARCH 2021'!$M$2:$R$8</definedName>
    <definedName name="_xlnm.Print_Area" localSheetId="74">'MARCH 2022'!$A$1:$K$25,'MARCH 2022'!#REF!,'MARCH 2022'!#REF!,'MARCH 2022'!$M$2:$R$8</definedName>
    <definedName name="_xlnm.Print_Area" localSheetId="86">'MARCH 2023'!$A$1:$K$25,'MARCH 2023'!#REF!,'MARCH 2023'!#REF!,'MARCH 2023'!$M$2:$R$8</definedName>
    <definedName name="_xlnm.Print_Area" localSheetId="98">'MARCH 2024'!$A$1:$K$22,'MARCH 2024'!#REF!,'MARCH 2024'!#REF!,'MARCH 2024'!$M$2:$R$8</definedName>
    <definedName name="_xlnm.Print_Area" localSheetId="28">'MAY 2018'!$A$1:$K$22,'MAY 2018'!#REF!,'MAY 2018'!#REF!,'MAY 2018'!$M$2:$R$8</definedName>
    <definedName name="_xlnm.Print_Area" localSheetId="40">'MAY 2019'!$A$1:$K$22,'MAY 2019'!#REF!,'MAY 2019'!#REF!,'MAY 2019'!$M$2:$R$8</definedName>
    <definedName name="_xlnm.Print_Area" localSheetId="52">'MAY 2020'!$A$1:$K$22,'MAY 2020'!#REF!,'MAY 2020'!#REF!,'MAY 2020'!$M$2:$R$8</definedName>
    <definedName name="_xlnm.Print_Area" localSheetId="64">'MAY 2021'!$A$1:$K$22,'MAY 2021'!#REF!,'MAY 2021'!#REF!,'MAY 2021'!$M$2:$R$8</definedName>
    <definedName name="_xlnm.Print_Area" localSheetId="76">'MAY 2022'!$A$1:$K$25,'MAY 2022'!#REF!,'MAY 2022'!#REF!,'MAY 2022'!$M$2:$R$8</definedName>
    <definedName name="_xlnm.Print_Area" localSheetId="88">'MAY 2023'!$A$1:$K$25,'MAY 2023'!#REF!,'MAY 2023'!#REF!,'MAY 2023'!$M$2:$R$8</definedName>
    <definedName name="_xlnm.Print_Area" localSheetId="22">'NOV 2017'!$A$1:$K$22,'NOV 2017'!#REF!,'NOV 2017'!#REF!,'NOV 2017'!$M$2:$R$8</definedName>
    <definedName name="_xlnm.Print_Area" localSheetId="34">'NOV 2018'!$A$1:$K$22,'NOV 2018'!#REF!,'NOV 2018'!#REF!,'NOV 2018'!$M$2:$R$8</definedName>
    <definedName name="_xlnm.Print_Area" localSheetId="46">'NOV 2019'!$A$1:$K$22,'NOV 2019'!#REF!,'NOV 2019'!#REF!,'NOV 2019'!$M$2:$R$8</definedName>
    <definedName name="_xlnm.Print_Area" localSheetId="58">'NOV 2020'!$A$1:$K$22,'NOV 2020'!#REF!,'NOV 2020'!#REF!,'NOV 2020'!$M$2:$R$8</definedName>
    <definedName name="_xlnm.Print_Area" localSheetId="70">'NOV 2021'!$A$1:$K$22,'NOV 2021'!#REF!,'NOV 2021'!#REF!,'NOV 2021'!$M$2:$R$8</definedName>
    <definedName name="_xlnm.Print_Area" localSheetId="82">'NOV 2022'!$A$1:$K$25,'NOV 2022'!#REF!,'NOV 2022'!#REF!,'NOV 2022'!$M$2:$R$8</definedName>
    <definedName name="_xlnm.Print_Area" localSheetId="94">'NOV 2023'!$A$1:$K$22,'NOV 2023'!#REF!,'NOV 2023'!#REF!,'NOV 2023'!$M$2:$R$8</definedName>
    <definedName name="_xlnm.Print_Area" localSheetId="21">'OCT 2017'!$A$1:$K$22,'OCT 2017'!#REF!,'OCT 2017'!#REF!,'OCT 2017'!$M$2:$R$8</definedName>
    <definedName name="_xlnm.Print_Area" localSheetId="33">'OCT 2018'!$A$1:$K$22,'OCT 2018'!#REF!,'OCT 2018'!#REF!,'OCT 2018'!$M$2:$R$8</definedName>
    <definedName name="_xlnm.Print_Area" localSheetId="45">'OCT 2019'!$A$1:$K$22,'OCT 2019'!#REF!,'OCT 2019'!#REF!,'OCT 2019'!$M$2:$R$8</definedName>
    <definedName name="_xlnm.Print_Area" localSheetId="57">'OCT 2020'!$A$1:$K$22,'OCT 2020'!#REF!,'OCT 2020'!#REF!,'OCT 2020'!$M$2:$R$8</definedName>
    <definedName name="_xlnm.Print_Area" localSheetId="69">'OCT 2021'!$A$1:$K$22,'OCT 2021'!#REF!,'OCT 2021'!#REF!,'OCT 2021'!$M$2:$R$8</definedName>
    <definedName name="_xlnm.Print_Area" localSheetId="81">'OCT 2022'!$A$1:$K$25,'OCT 2022'!#REF!,'OCT 2022'!#REF!,'OCT 2022'!$M$2:$R$8</definedName>
    <definedName name="_xlnm.Print_Area" localSheetId="93">'OCT 2023'!$A$1:$K$22,'OCT 2023'!#REF!,'OCT 2023'!#REF!,'OCT 2023'!$M$2:$R$8</definedName>
    <definedName name="_xlnm.Print_Area" localSheetId="20">'SEP 2017'!$A$1:$K$22,'SEP 2017'!#REF!,'SEP 2017'!#REF!,'SEP 2017'!$M$2:$R$8</definedName>
    <definedName name="_xlnm.Print_Area" localSheetId="32">'SEP 2018'!$A$1:$K$22,'SEP 2018'!#REF!,'SEP 2018'!#REF!,'SEP 2018'!$M$2:$R$8</definedName>
    <definedName name="_xlnm.Print_Area" localSheetId="44">'SEP 2019'!$A$1:$K$22,'SEP 2019'!#REF!,'SEP 2019'!#REF!,'SEP 2019'!$M$2:$R$8</definedName>
    <definedName name="_xlnm.Print_Area" localSheetId="56">'SEP 2020'!$A$1:$K$22,'SEP 2020'!#REF!,'SEP 2020'!#REF!,'SEP 2020'!$M$2:$R$8</definedName>
    <definedName name="_xlnm.Print_Area" localSheetId="68">'SEP 2021'!$A$1:$K$22,'SEP 2021'!#REF!,'SEP 2021'!#REF!,'SEP 2021'!$M$2:$R$8</definedName>
    <definedName name="_xlnm.Print_Area" localSheetId="80">'SEP 2022'!$A$1:$K$25,'SEP 2022'!#REF!,'SEP 2022'!#REF!,'SEP 2022'!$M$2:$R$8</definedName>
    <definedName name="_xlnm.Print_Area" localSheetId="92">'SEP 2023'!$A$1:$K$25,'SEP 2023'!#REF!,'SEP 2023'!#REF!,'SEP 2023'!$M$2:$R$8</definedName>
  </definedNames>
  <calcPr calcId="181029"/>
</workbook>
</file>

<file path=xl/calcChain.xml><?xml version="1.0" encoding="utf-8"?>
<calcChain xmlns="http://schemas.openxmlformats.org/spreadsheetml/2006/main">
  <c r="H6" i="103" l="1"/>
  <c r="J6" i="103" s="1"/>
  <c r="W6" i="103" s="1"/>
  <c r="H10" i="103"/>
  <c r="J10" i="103" s="1"/>
  <c r="V10" i="103" s="1"/>
  <c r="H9" i="103"/>
  <c r="J9" i="103" s="1"/>
  <c r="V9" i="103" s="1"/>
  <c r="H7" i="103"/>
  <c r="J7" i="103" s="1"/>
  <c r="J20" i="103"/>
  <c r="W19" i="103"/>
  <c r="V19" i="103"/>
  <c r="J19" i="103"/>
  <c r="W18" i="103"/>
  <c r="V18" i="103"/>
  <c r="J18" i="103"/>
  <c r="W17" i="103"/>
  <c r="J17" i="103"/>
  <c r="V17" i="103" s="1"/>
  <c r="W16" i="103"/>
  <c r="V16" i="103"/>
  <c r="J16" i="103"/>
  <c r="J15" i="103"/>
  <c r="V15" i="103" s="1"/>
  <c r="J14" i="103"/>
  <c r="W14" i="103" s="1"/>
  <c r="J13" i="103"/>
  <c r="J12" i="103"/>
  <c r="V12" i="103" s="1"/>
  <c r="J11" i="103"/>
  <c r="V11" i="103" s="1"/>
  <c r="J8" i="103"/>
  <c r="B8" i="103"/>
  <c r="B9" i="103" s="1"/>
  <c r="B10" i="103" s="1"/>
  <c r="B11" i="103" s="1"/>
  <c r="B12" i="103" s="1"/>
  <c r="B13" i="103" s="1"/>
  <c r="B14" i="103" s="1"/>
  <c r="B15" i="103" s="1"/>
  <c r="B16" i="103" s="1"/>
  <c r="B17" i="103" s="1"/>
  <c r="B18" i="103" s="1"/>
  <c r="B19" i="103" s="1"/>
  <c r="B20" i="103" s="1"/>
  <c r="B7" i="103"/>
  <c r="N4" i="103"/>
  <c r="H13" i="102"/>
  <c r="J13" i="102" s="1"/>
  <c r="W13" i="102" s="1"/>
  <c r="H8" i="102"/>
  <c r="J8" i="102" s="1"/>
  <c r="W8" i="102" s="1"/>
  <c r="H7" i="102"/>
  <c r="J7" i="102" s="1"/>
  <c r="V7" i="102" s="1"/>
  <c r="J20" i="102"/>
  <c r="J19" i="102"/>
  <c r="W19" i="102" s="1"/>
  <c r="J18" i="102"/>
  <c r="W18" i="102" s="1"/>
  <c r="J17" i="102"/>
  <c r="W17" i="102" s="1"/>
  <c r="J16" i="102"/>
  <c r="W16" i="102" s="1"/>
  <c r="J15" i="102"/>
  <c r="W15" i="102" s="1"/>
  <c r="J14" i="102"/>
  <c r="W14" i="102" s="1"/>
  <c r="J12" i="102"/>
  <c r="W12" i="102" s="1"/>
  <c r="J11" i="102"/>
  <c r="W11" i="102" s="1"/>
  <c r="J10" i="102"/>
  <c r="J9" i="102"/>
  <c r="W9" i="102" s="1"/>
  <c r="B7" i="102"/>
  <c r="B8" i="102" s="1"/>
  <c r="B9" i="102" s="1"/>
  <c r="B10" i="102" s="1"/>
  <c r="B11" i="102" s="1"/>
  <c r="B12" i="102" s="1"/>
  <c r="B13" i="102" s="1"/>
  <c r="B14" i="102" s="1"/>
  <c r="B15" i="102" s="1"/>
  <c r="B16" i="102" s="1"/>
  <c r="B17" i="102" s="1"/>
  <c r="B18" i="102" s="1"/>
  <c r="B19" i="102" s="1"/>
  <c r="B20" i="102" s="1"/>
  <c r="J6" i="102"/>
  <c r="N4" i="102"/>
  <c r="H13" i="101"/>
  <c r="H12" i="101"/>
  <c r="H11" i="101"/>
  <c r="J11" i="101" s="1"/>
  <c r="V11" i="101" s="1"/>
  <c r="H10" i="101"/>
  <c r="J10" i="101" s="1"/>
  <c r="V10" i="101" s="1"/>
  <c r="H9" i="101"/>
  <c r="H8" i="101"/>
  <c r="H7" i="101"/>
  <c r="J20" i="101"/>
  <c r="J19" i="101"/>
  <c r="V19" i="101" s="1"/>
  <c r="J18" i="101"/>
  <c r="V18" i="101" s="1"/>
  <c r="J17" i="101"/>
  <c r="V17" i="101" s="1"/>
  <c r="J16" i="101"/>
  <c r="V16" i="101" s="1"/>
  <c r="J15" i="101"/>
  <c r="V15" i="101" s="1"/>
  <c r="W14" i="101"/>
  <c r="J14" i="101"/>
  <c r="V14" i="101" s="1"/>
  <c r="J13" i="101"/>
  <c r="V13" i="101" s="1"/>
  <c r="J12" i="101"/>
  <c r="V12" i="101" s="1"/>
  <c r="J9" i="101"/>
  <c r="J8" i="101"/>
  <c r="W8" i="101" s="1"/>
  <c r="J7" i="101"/>
  <c r="W7" i="101" s="1"/>
  <c r="B7" i="101"/>
  <c r="B8" i="101" s="1"/>
  <c r="B9" i="101" s="1"/>
  <c r="B10" i="101" s="1"/>
  <c r="B11" i="101" s="1"/>
  <c r="B12" i="101" s="1"/>
  <c r="B13" i="101" s="1"/>
  <c r="B14" i="101" s="1"/>
  <c r="B15" i="101" s="1"/>
  <c r="B16" i="101" s="1"/>
  <c r="B17" i="101" s="1"/>
  <c r="B18" i="101" s="1"/>
  <c r="B19" i="101" s="1"/>
  <c r="B20" i="101" s="1"/>
  <c r="J6" i="101"/>
  <c r="W6" i="101" s="1"/>
  <c r="N4" i="101"/>
  <c r="W9" i="103" l="1"/>
  <c r="V6" i="103"/>
  <c r="V14" i="103"/>
  <c r="W15" i="103"/>
  <c r="W11" i="103"/>
  <c r="W10" i="103"/>
  <c r="W12" i="103"/>
  <c r="W13" i="103"/>
  <c r="V13" i="103"/>
  <c r="J21" i="103"/>
  <c r="W7" i="103"/>
  <c r="V7" i="103"/>
  <c r="V8" i="103"/>
  <c r="W8" i="103"/>
  <c r="V8" i="102"/>
  <c r="V11" i="102"/>
  <c r="W7" i="102"/>
  <c r="J21" i="102"/>
  <c r="V12" i="102"/>
  <c r="W10" i="102"/>
  <c r="V10" i="102"/>
  <c r="V9" i="102"/>
  <c r="V13" i="102"/>
  <c r="V14" i="102"/>
  <c r="V15" i="102"/>
  <c r="V16" i="102"/>
  <c r="V17" i="102"/>
  <c r="V18" i="102"/>
  <c r="V19" i="102"/>
  <c r="V6" i="102"/>
  <c r="W6" i="102"/>
  <c r="W18" i="101"/>
  <c r="W16" i="101"/>
  <c r="W12" i="101"/>
  <c r="W10" i="101"/>
  <c r="W11" i="101"/>
  <c r="W13" i="101"/>
  <c r="W15" i="101"/>
  <c r="W17" i="101"/>
  <c r="W19" i="101"/>
  <c r="V9" i="101"/>
  <c r="W9" i="101"/>
  <c r="J21" i="101"/>
  <c r="V6" i="101"/>
  <c r="V7" i="101"/>
  <c r="V8" i="101"/>
  <c r="H9" i="100"/>
  <c r="W20" i="103" l="1"/>
  <c r="P4" i="103" s="1"/>
  <c r="V20" i="103"/>
  <c r="O4" i="103" s="1"/>
  <c r="R4" i="103" s="1"/>
  <c r="P6" i="103" s="1"/>
  <c r="W20" i="102"/>
  <c r="P4" i="102" s="1"/>
  <c r="V20" i="102"/>
  <c r="O4" i="102" s="1"/>
  <c r="R4" i="102" s="1"/>
  <c r="P6" i="102" s="1"/>
  <c r="W20" i="101"/>
  <c r="P4" i="101" s="1"/>
  <c r="V20" i="101"/>
  <c r="O4" i="101" s="1"/>
  <c r="R4" i="101" s="1"/>
  <c r="P6" i="101" s="1"/>
  <c r="J20" i="100"/>
  <c r="J19" i="100"/>
  <c r="V19" i="100" s="1"/>
  <c r="J18" i="100"/>
  <c r="V18" i="100" s="1"/>
  <c r="J17" i="100"/>
  <c r="V17" i="100" s="1"/>
  <c r="W16" i="100"/>
  <c r="J16" i="100"/>
  <c r="V16" i="100" s="1"/>
  <c r="J15" i="100"/>
  <c r="V15" i="100" s="1"/>
  <c r="J14" i="100"/>
  <c r="V14" i="100" s="1"/>
  <c r="J13" i="100"/>
  <c r="V13" i="100" s="1"/>
  <c r="J12" i="100"/>
  <c r="V12" i="100" s="1"/>
  <c r="J11" i="100"/>
  <c r="V11" i="100" s="1"/>
  <c r="J10" i="100"/>
  <c r="V10" i="100" s="1"/>
  <c r="J9" i="100"/>
  <c r="V9" i="100" s="1"/>
  <c r="J8" i="100"/>
  <c r="V8" i="100" s="1"/>
  <c r="J7" i="100"/>
  <c r="B7" i="100"/>
  <c r="B8" i="100" s="1"/>
  <c r="B9" i="100" s="1"/>
  <c r="B10" i="100" s="1"/>
  <c r="B11" i="100" s="1"/>
  <c r="B12" i="100" s="1"/>
  <c r="B13" i="100" s="1"/>
  <c r="B14" i="100" s="1"/>
  <c r="B15" i="100" s="1"/>
  <c r="B16" i="100" s="1"/>
  <c r="B17" i="100" s="1"/>
  <c r="B18" i="100" s="1"/>
  <c r="B19" i="100" s="1"/>
  <c r="B20" i="100" s="1"/>
  <c r="J6" i="100"/>
  <c r="W6" i="100" s="1"/>
  <c r="N4" i="100"/>
  <c r="Q4" i="103" l="1"/>
  <c r="Q4" i="102"/>
  <c r="W14" i="100"/>
  <c r="W18" i="100"/>
  <c r="Q4" i="101"/>
  <c r="W15" i="100"/>
  <c r="W17" i="100"/>
  <c r="W19" i="100"/>
  <c r="W13" i="100"/>
  <c r="W12" i="100"/>
  <c r="W11" i="100"/>
  <c r="W9" i="100"/>
  <c r="W8" i="100"/>
  <c r="W10" i="100"/>
  <c r="W7" i="100"/>
  <c r="V7" i="100"/>
  <c r="J21" i="100"/>
  <c r="V6" i="100"/>
  <c r="H7" i="99"/>
  <c r="H6" i="99"/>
  <c r="J20" i="99"/>
  <c r="W19" i="99"/>
  <c r="J19" i="99"/>
  <c r="V19" i="99" s="1"/>
  <c r="W18" i="99"/>
  <c r="V18" i="99"/>
  <c r="J18" i="99"/>
  <c r="J17" i="99"/>
  <c r="W17" i="99" s="1"/>
  <c r="J16" i="99"/>
  <c r="W16" i="99" s="1"/>
  <c r="W15" i="99"/>
  <c r="J15" i="99"/>
  <c r="V15" i="99" s="1"/>
  <c r="J14" i="99"/>
  <c r="W14" i="99" s="1"/>
  <c r="J13" i="99"/>
  <c r="V13" i="99" s="1"/>
  <c r="J12" i="99"/>
  <c r="V12" i="99" s="1"/>
  <c r="W11" i="99"/>
  <c r="V11" i="99"/>
  <c r="J11" i="99"/>
  <c r="J10" i="99"/>
  <c r="J9" i="99"/>
  <c r="J8" i="99"/>
  <c r="V8" i="99" s="1"/>
  <c r="J7" i="99"/>
  <c r="V7" i="99" s="1"/>
  <c r="B7" i="99"/>
  <c r="B8" i="99" s="1"/>
  <c r="B9" i="99" s="1"/>
  <c r="B10" i="99" s="1"/>
  <c r="B11" i="99" s="1"/>
  <c r="B12" i="99" s="1"/>
  <c r="B13" i="99" s="1"/>
  <c r="B14" i="99" s="1"/>
  <c r="B15" i="99" s="1"/>
  <c r="B16" i="99" s="1"/>
  <c r="B17" i="99" s="1"/>
  <c r="B18" i="99" s="1"/>
  <c r="B19" i="99" s="1"/>
  <c r="B20" i="99" s="1"/>
  <c r="J6" i="99"/>
  <c r="V6" i="99" s="1"/>
  <c r="N4" i="99"/>
  <c r="V17" i="99" l="1"/>
  <c r="V16" i="99"/>
  <c r="W12" i="99"/>
  <c r="W20" i="100"/>
  <c r="P4" i="100" s="1"/>
  <c r="V20" i="100"/>
  <c r="O4" i="100" s="1"/>
  <c r="J21" i="99"/>
  <c r="W13" i="99"/>
  <c r="V14" i="99"/>
  <c r="W9" i="99"/>
  <c r="V9" i="99"/>
  <c r="W10" i="99"/>
  <c r="V10" i="99"/>
  <c r="W7" i="99"/>
  <c r="W8" i="99"/>
  <c r="W6" i="99"/>
  <c r="H7" i="98"/>
  <c r="R4" i="100" l="1"/>
  <c r="P6" i="100" s="1"/>
  <c r="Q4" i="100"/>
  <c r="V20" i="99"/>
  <c r="O4" i="99" s="1"/>
  <c r="R4" i="99" s="1"/>
  <c r="P6" i="99" s="1"/>
  <c r="W20" i="99"/>
  <c r="P4" i="99" s="1"/>
  <c r="H10" i="98"/>
  <c r="Q4" i="99" l="1"/>
  <c r="H9" i="98"/>
  <c r="J15" i="98"/>
  <c r="V15" i="98" s="1"/>
  <c r="J16" i="98"/>
  <c r="W16" i="98" s="1"/>
  <c r="J17" i="98"/>
  <c r="V17" i="98" s="1"/>
  <c r="J18" i="98"/>
  <c r="J19" i="98"/>
  <c r="V19" i="98" s="1"/>
  <c r="J20" i="98"/>
  <c r="W18" i="98"/>
  <c r="V18" i="98"/>
  <c r="W17" i="98"/>
  <c r="W15" i="98"/>
  <c r="J14" i="98"/>
  <c r="V14" i="98" s="1"/>
  <c r="J13" i="98"/>
  <c r="V13" i="98" s="1"/>
  <c r="J12" i="98"/>
  <c r="V12" i="98" s="1"/>
  <c r="J11" i="98"/>
  <c r="V11" i="98" s="1"/>
  <c r="J10" i="98"/>
  <c r="V10" i="98" s="1"/>
  <c r="J9" i="98"/>
  <c r="V9" i="98" s="1"/>
  <c r="J8" i="98"/>
  <c r="V8" i="98" s="1"/>
  <c r="J7" i="98"/>
  <c r="V7" i="98" s="1"/>
  <c r="B7" i="98"/>
  <c r="B8" i="98" s="1"/>
  <c r="B9" i="98" s="1"/>
  <c r="B10" i="98" s="1"/>
  <c r="B11" i="98" s="1"/>
  <c r="B12" i="98" s="1"/>
  <c r="B13" i="98" s="1"/>
  <c r="B14" i="98" s="1"/>
  <c r="B15" i="98" s="1"/>
  <c r="B16" i="98" s="1"/>
  <c r="B17" i="98" s="1"/>
  <c r="B18" i="98" s="1"/>
  <c r="B19" i="98" s="1"/>
  <c r="B20" i="98" s="1"/>
  <c r="J6" i="98"/>
  <c r="N4" i="98"/>
  <c r="V16" i="98" l="1"/>
  <c r="W19" i="98"/>
  <c r="J21" i="98"/>
  <c r="V6" i="98"/>
  <c r="V20" i="98" s="1"/>
  <c r="O4" i="98" s="1"/>
  <c r="R4" i="98" s="1"/>
  <c r="P6" i="98" s="1"/>
  <c r="W6" i="98"/>
  <c r="W7" i="98"/>
  <c r="W8" i="98"/>
  <c r="W9" i="98"/>
  <c r="W10" i="98"/>
  <c r="W11" i="98"/>
  <c r="W12" i="98"/>
  <c r="W13" i="98"/>
  <c r="W14" i="98"/>
  <c r="H9" i="96"/>
  <c r="W20" i="98" l="1"/>
  <c r="P4" i="98" s="1"/>
  <c r="Q4" i="98" s="1"/>
  <c r="H7" i="96"/>
  <c r="J23" i="96"/>
  <c r="J22" i="96"/>
  <c r="J21" i="96"/>
  <c r="J20" i="96"/>
  <c r="J19" i="96"/>
  <c r="V19" i="96" s="1"/>
  <c r="J18" i="96"/>
  <c r="V18" i="96" s="1"/>
  <c r="J17" i="96"/>
  <c r="V17" i="96" s="1"/>
  <c r="J16" i="96"/>
  <c r="V16" i="96" s="1"/>
  <c r="J15" i="96"/>
  <c r="V15" i="96" s="1"/>
  <c r="J14" i="96"/>
  <c r="V14" i="96" s="1"/>
  <c r="J13" i="96"/>
  <c r="V13" i="96" s="1"/>
  <c r="J12" i="96"/>
  <c r="J11" i="96"/>
  <c r="J10" i="96"/>
  <c r="V10" i="96" s="1"/>
  <c r="J9" i="96"/>
  <c r="W9" i="96" s="1"/>
  <c r="J8" i="96"/>
  <c r="W8" i="96" s="1"/>
  <c r="J7" i="96"/>
  <c r="W7" i="96" s="1"/>
  <c r="B7" i="96"/>
  <c r="B8" i="96" s="1"/>
  <c r="B9" i="96" s="1"/>
  <c r="B10" i="96" s="1"/>
  <c r="B11" i="96" s="1"/>
  <c r="B12" i="96" s="1"/>
  <c r="B13" i="96" s="1"/>
  <c r="B14" i="96" s="1"/>
  <c r="B15" i="96" s="1"/>
  <c r="B16" i="96" s="1"/>
  <c r="B17" i="96" s="1"/>
  <c r="B18" i="96" s="1"/>
  <c r="B19" i="96" s="1"/>
  <c r="B20" i="96" s="1"/>
  <c r="B21" i="96" s="1"/>
  <c r="B22" i="96" s="1"/>
  <c r="B23" i="96" s="1"/>
  <c r="J6" i="96"/>
  <c r="V6" i="96" s="1"/>
  <c r="R4" i="96"/>
  <c r="P6" i="96" s="1"/>
  <c r="W17" i="96" l="1"/>
  <c r="W19" i="96"/>
  <c r="W16" i="96"/>
  <c r="W18" i="96"/>
  <c r="W6" i="96"/>
  <c r="W14" i="96"/>
  <c r="W13" i="96"/>
  <c r="W15" i="96"/>
  <c r="W11" i="96"/>
  <c r="V11" i="96"/>
  <c r="V12" i="96"/>
  <c r="W12" i="96"/>
  <c r="J24" i="96"/>
  <c r="V7" i="96"/>
  <c r="V9" i="96"/>
  <c r="W10" i="96"/>
  <c r="V8" i="96"/>
  <c r="H11" i="95"/>
  <c r="H12" i="95"/>
  <c r="J12" i="95" s="1"/>
  <c r="W12" i="95" s="1"/>
  <c r="J23" i="95"/>
  <c r="J22" i="95"/>
  <c r="J21" i="95"/>
  <c r="J20" i="95"/>
  <c r="W19" i="95"/>
  <c r="J19" i="95"/>
  <c r="V19" i="95" s="1"/>
  <c r="W18" i="95"/>
  <c r="V18" i="95"/>
  <c r="J18" i="95"/>
  <c r="J17" i="95"/>
  <c r="W17" i="95" s="1"/>
  <c r="J16" i="95"/>
  <c r="W16" i="95" s="1"/>
  <c r="J15" i="95"/>
  <c r="W15" i="95" s="1"/>
  <c r="J14" i="95"/>
  <c r="V14" i="95" s="1"/>
  <c r="J13" i="95"/>
  <c r="W13" i="95" s="1"/>
  <c r="J11" i="95"/>
  <c r="J10" i="95"/>
  <c r="W10" i="95" s="1"/>
  <c r="J9" i="95"/>
  <c r="J8" i="95"/>
  <c r="V8" i="95" s="1"/>
  <c r="J7" i="95"/>
  <c r="V7" i="95" s="1"/>
  <c r="B7" i="95"/>
  <c r="B8" i="95" s="1"/>
  <c r="B9" i="95" s="1"/>
  <c r="B10" i="95" s="1"/>
  <c r="B11" i="95" s="1"/>
  <c r="B12" i="95" s="1"/>
  <c r="B13" i="95" s="1"/>
  <c r="B14" i="95" s="1"/>
  <c r="B15" i="95" s="1"/>
  <c r="B16" i="95" s="1"/>
  <c r="B17" i="95" s="1"/>
  <c r="B18" i="95" s="1"/>
  <c r="B19" i="95" s="1"/>
  <c r="B20" i="95" s="1"/>
  <c r="B21" i="95" s="1"/>
  <c r="B22" i="95" s="1"/>
  <c r="B23" i="95" s="1"/>
  <c r="P6" i="95"/>
  <c r="J6" i="95"/>
  <c r="V6" i="95" s="1"/>
  <c r="R4" i="95"/>
  <c r="V17" i="95" l="1"/>
  <c r="W23" i="96"/>
  <c r="P4" i="96" s="1"/>
  <c r="V23" i="96"/>
  <c r="W14" i="95"/>
  <c r="V13" i="95"/>
  <c r="V12" i="95"/>
  <c r="V16" i="95"/>
  <c r="V15" i="95"/>
  <c r="W9" i="95"/>
  <c r="V9" i="95"/>
  <c r="J24" i="95"/>
  <c r="W11" i="95"/>
  <c r="V11" i="95"/>
  <c r="W6" i="95"/>
  <c r="W7" i="95"/>
  <c r="W8" i="95"/>
  <c r="V10" i="95"/>
  <c r="H14" i="94"/>
  <c r="V23" i="95" l="1"/>
  <c r="W23" i="95"/>
  <c r="P4" i="95" s="1"/>
  <c r="H11" i="94"/>
  <c r="J11" i="94" s="1"/>
  <c r="H9" i="94"/>
  <c r="J9" i="94" s="1"/>
  <c r="W9" i="94" s="1"/>
  <c r="H6" i="94"/>
  <c r="J23" i="94"/>
  <c r="J22" i="94"/>
  <c r="J21" i="94"/>
  <c r="J20" i="94"/>
  <c r="J19" i="94"/>
  <c r="V19" i="94" s="1"/>
  <c r="W18" i="94"/>
  <c r="J18" i="94"/>
  <c r="V18" i="94" s="1"/>
  <c r="J17" i="94"/>
  <c r="V17" i="94" s="1"/>
  <c r="J16" i="94"/>
  <c r="V16" i="94" s="1"/>
  <c r="J15" i="94"/>
  <c r="W15" i="94" s="1"/>
  <c r="J14" i="94"/>
  <c r="W14" i="94" s="1"/>
  <c r="J13" i="94"/>
  <c r="W13" i="94" s="1"/>
  <c r="J12" i="94"/>
  <c r="W12" i="94" s="1"/>
  <c r="J10" i="94"/>
  <c r="W10" i="94" s="1"/>
  <c r="J8" i="94"/>
  <c r="J7" i="94"/>
  <c r="V7" i="94" s="1"/>
  <c r="B7" i="94"/>
  <c r="B8" i="94" s="1"/>
  <c r="B9" i="94" s="1"/>
  <c r="B10" i="94" s="1"/>
  <c r="B11" i="94" s="1"/>
  <c r="B12" i="94" s="1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J6" i="94"/>
  <c r="R4" i="94"/>
  <c r="P6" i="94" s="1"/>
  <c r="W17" i="94" l="1"/>
  <c r="W19" i="94"/>
  <c r="V12" i="94"/>
  <c r="V14" i="94"/>
  <c r="W16" i="94"/>
  <c r="W7" i="94"/>
  <c r="V13" i="94"/>
  <c r="V15" i="94"/>
  <c r="J24" i="94"/>
  <c r="V6" i="94"/>
  <c r="W6" i="94"/>
  <c r="V8" i="94"/>
  <c r="W8" i="94"/>
  <c r="W11" i="94"/>
  <c r="V11" i="94"/>
  <c r="V9" i="94"/>
  <c r="V10" i="94"/>
  <c r="H11" i="93"/>
  <c r="H16" i="93"/>
  <c r="J16" i="93" s="1"/>
  <c r="V16" i="93" s="1"/>
  <c r="H9" i="93"/>
  <c r="H8" i="93"/>
  <c r="H6" i="93"/>
  <c r="J23" i="93"/>
  <c r="J22" i="93"/>
  <c r="J21" i="93"/>
  <c r="J20" i="93"/>
  <c r="J19" i="93"/>
  <c r="V19" i="93" s="1"/>
  <c r="J18" i="93"/>
  <c r="V18" i="93" s="1"/>
  <c r="J17" i="93"/>
  <c r="V17" i="93" s="1"/>
  <c r="J15" i="93"/>
  <c r="V15" i="93" s="1"/>
  <c r="J14" i="93"/>
  <c r="V14" i="93" s="1"/>
  <c r="J13" i="93"/>
  <c r="V13" i="93" s="1"/>
  <c r="J12" i="93"/>
  <c r="J11" i="93"/>
  <c r="W11" i="93" s="1"/>
  <c r="J10" i="93"/>
  <c r="W10" i="93" s="1"/>
  <c r="J9" i="93"/>
  <c r="W9" i="93" s="1"/>
  <c r="J8" i="93"/>
  <c r="W8" i="93" s="1"/>
  <c r="J7" i="93"/>
  <c r="W7" i="93" s="1"/>
  <c r="B7" i="93"/>
  <c r="B8" i="93" s="1"/>
  <c r="B9" i="93" s="1"/>
  <c r="B10" i="93" s="1"/>
  <c r="B11" i="93" s="1"/>
  <c r="B12" i="93" s="1"/>
  <c r="B13" i="93" s="1"/>
  <c r="B14" i="93" s="1"/>
  <c r="B15" i="93" s="1"/>
  <c r="B16" i="93" s="1"/>
  <c r="B17" i="93" s="1"/>
  <c r="B18" i="93" s="1"/>
  <c r="B19" i="93" s="1"/>
  <c r="B20" i="93" s="1"/>
  <c r="B21" i="93" s="1"/>
  <c r="B22" i="93" s="1"/>
  <c r="B23" i="93" s="1"/>
  <c r="J6" i="93"/>
  <c r="V6" i="93" s="1"/>
  <c r="W17" i="93" l="1"/>
  <c r="W19" i="93"/>
  <c r="W18" i="93"/>
  <c r="W23" i="94"/>
  <c r="P4" i="94" s="1"/>
  <c r="V23" i="94"/>
  <c r="W15" i="93"/>
  <c r="V7" i="93"/>
  <c r="W16" i="93"/>
  <c r="V9" i="93"/>
  <c r="V8" i="93"/>
  <c r="W14" i="93"/>
  <c r="W13" i="93"/>
  <c r="J24" i="93"/>
  <c r="W12" i="93"/>
  <c r="V12" i="93"/>
  <c r="W6" i="93"/>
  <c r="V10" i="93"/>
  <c r="V11" i="93"/>
  <c r="H12" i="92"/>
  <c r="V23" i="93" l="1"/>
  <c r="R4" i="93" s="1"/>
  <c r="P6" i="93" s="1"/>
  <c r="W23" i="93"/>
  <c r="P4" i="93" s="1"/>
  <c r="H13" i="92"/>
  <c r="J13" i="92" s="1"/>
  <c r="V13" i="92" s="1"/>
  <c r="H10" i="92"/>
  <c r="H6" i="92"/>
  <c r="J23" i="92"/>
  <c r="J22" i="92"/>
  <c r="J21" i="92"/>
  <c r="J20" i="92"/>
  <c r="J19" i="92"/>
  <c r="V19" i="92" s="1"/>
  <c r="W18" i="92"/>
  <c r="J18" i="92"/>
  <c r="V18" i="92" s="1"/>
  <c r="J17" i="92"/>
  <c r="V17" i="92" s="1"/>
  <c r="W16" i="92"/>
  <c r="J16" i="92"/>
  <c r="V16" i="92" s="1"/>
  <c r="J15" i="92"/>
  <c r="V15" i="92" s="1"/>
  <c r="J14" i="92"/>
  <c r="V14" i="92" s="1"/>
  <c r="J12" i="92"/>
  <c r="V12" i="92" s="1"/>
  <c r="J11" i="92"/>
  <c r="W11" i="92" s="1"/>
  <c r="J10" i="92"/>
  <c r="J9" i="92"/>
  <c r="W9" i="92" s="1"/>
  <c r="J8" i="92"/>
  <c r="W8" i="92" s="1"/>
  <c r="J7" i="92"/>
  <c r="W7" i="92" s="1"/>
  <c r="B7" i="92"/>
  <c r="B8" i="92" s="1"/>
  <c r="B9" i="92" s="1"/>
  <c r="B10" i="92" s="1"/>
  <c r="B11" i="92" s="1"/>
  <c r="B12" i="92" s="1"/>
  <c r="B13" i="92" s="1"/>
  <c r="B14" i="92" s="1"/>
  <c r="B15" i="92" s="1"/>
  <c r="B16" i="92" s="1"/>
  <c r="B17" i="92" s="1"/>
  <c r="B18" i="92" s="1"/>
  <c r="B19" i="92" s="1"/>
  <c r="B20" i="92" s="1"/>
  <c r="B21" i="92" s="1"/>
  <c r="B22" i="92" s="1"/>
  <c r="B23" i="92" s="1"/>
  <c r="J6" i="92"/>
  <c r="V6" i="92" s="1"/>
  <c r="N4" i="92"/>
  <c r="W15" i="92" l="1"/>
  <c r="W17" i="92"/>
  <c r="W19" i="92"/>
  <c r="W13" i="92"/>
  <c r="W14" i="92"/>
  <c r="V11" i="92"/>
  <c r="W12" i="92"/>
  <c r="J24" i="92"/>
  <c r="W10" i="92"/>
  <c r="V10" i="92"/>
  <c r="W6" i="92"/>
  <c r="V7" i="92"/>
  <c r="V8" i="92"/>
  <c r="V9" i="92"/>
  <c r="H12" i="91"/>
  <c r="V23" i="92" l="1"/>
  <c r="O4" i="92" s="1"/>
  <c r="R4" i="92" s="1"/>
  <c r="P6" i="92" s="1"/>
  <c r="W23" i="92"/>
  <c r="P4" i="92" s="1"/>
  <c r="H10" i="91"/>
  <c r="H7" i="91"/>
  <c r="J7" i="91" s="1"/>
  <c r="J23" i="91"/>
  <c r="J22" i="91"/>
  <c r="J21" i="91"/>
  <c r="J20" i="91"/>
  <c r="W19" i="91"/>
  <c r="J19" i="91"/>
  <c r="V19" i="91" s="1"/>
  <c r="J18" i="91"/>
  <c r="V18" i="91" s="1"/>
  <c r="W17" i="91"/>
  <c r="J17" i="91"/>
  <c r="V17" i="91" s="1"/>
  <c r="J16" i="91"/>
  <c r="V16" i="91" s="1"/>
  <c r="W15" i="91"/>
  <c r="J15" i="91"/>
  <c r="V15" i="91" s="1"/>
  <c r="J14" i="91"/>
  <c r="V14" i="91" s="1"/>
  <c r="W13" i="91"/>
  <c r="J13" i="91"/>
  <c r="V13" i="91" s="1"/>
  <c r="J12" i="91"/>
  <c r="V12" i="91" s="1"/>
  <c r="J11" i="91"/>
  <c r="V11" i="91" s="1"/>
  <c r="J10" i="91"/>
  <c r="J9" i="91"/>
  <c r="W9" i="91" s="1"/>
  <c r="J8" i="91"/>
  <c r="W8" i="91" s="1"/>
  <c r="B8" i="91"/>
  <c r="B9" i="91" s="1"/>
  <c r="B10" i="91" s="1"/>
  <c r="B11" i="91" s="1"/>
  <c r="B12" i="91" s="1"/>
  <c r="B13" i="91" s="1"/>
  <c r="B14" i="91" s="1"/>
  <c r="B15" i="91" s="1"/>
  <c r="B16" i="91" s="1"/>
  <c r="B17" i="91" s="1"/>
  <c r="B18" i="91" s="1"/>
  <c r="B19" i="91" s="1"/>
  <c r="B20" i="91" s="1"/>
  <c r="B21" i="91" s="1"/>
  <c r="B22" i="91" s="1"/>
  <c r="B23" i="91" s="1"/>
  <c r="B7" i="91"/>
  <c r="J6" i="91"/>
  <c r="N4" i="91"/>
  <c r="W14" i="91" l="1"/>
  <c r="W16" i="91"/>
  <c r="W18" i="91"/>
  <c r="W12" i="91"/>
  <c r="W11" i="91"/>
  <c r="J24" i="91"/>
  <c r="V6" i="91"/>
  <c r="W6" i="91"/>
  <c r="W10" i="91"/>
  <c r="V10" i="91"/>
  <c r="V7" i="91"/>
  <c r="W7" i="91"/>
  <c r="V8" i="91"/>
  <c r="V9" i="91"/>
  <c r="H11" i="90"/>
  <c r="W23" i="91" l="1"/>
  <c r="P4" i="91" s="1"/>
  <c r="V23" i="91"/>
  <c r="O4" i="91" s="1"/>
  <c r="R4" i="91" s="1"/>
  <c r="P6" i="91" s="1"/>
  <c r="H10" i="90"/>
  <c r="H8" i="90"/>
  <c r="H7" i="90"/>
  <c r="H6" i="90"/>
  <c r="J23" i="90"/>
  <c r="J22" i="90"/>
  <c r="J21" i="90"/>
  <c r="J20" i="90"/>
  <c r="J19" i="90"/>
  <c r="W19" i="90" s="1"/>
  <c r="J18" i="90"/>
  <c r="W18" i="90" s="1"/>
  <c r="J17" i="90"/>
  <c r="W17" i="90" s="1"/>
  <c r="J16" i="90"/>
  <c r="W16" i="90" s="1"/>
  <c r="J15" i="90"/>
  <c r="W15" i="90" s="1"/>
  <c r="J14" i="90"/>
  <c r="W14" i="90" s="1"/>
  <c r="J13" i="90"/>
  <c r="W13" i="90" s="1"/>
  <c r="J12" i="90"/>
  <c r="W12" i="90" s="1"/>
  <c r="J11" i="90"/>
  <c r="W11" i="90" s="1"/>
  <c r="J10" i="90"/>
  <c r="W10" i="90" s="1"/>
  <c r="J9" i="90"/>
  <c r="W9" i="90" s="1"/>
  <c r="J8" i="90"/>
  <c r="W8" i="90" s="1"/>
  <c r="J7" i="90"/>
  <c r="B7" i="90"/>
  <c r="B8" i="90" s="1"/>
  <c r="B9" i="90" s="1"/>
  <c r="B10" i="90" s="1"/>
  <c r="B11" i="90" s="1"/>
  <c r="B12" i="90" s="1"/>
  <c r="B13" i="90" s="1"/>
  <c r="B14" i="90" s="1"/>
  <c r="B15" i="90" s="1"/>
  <c r="B16" i="90" s="1"/>
  <c r="B17" i="90" s="1"/>
  <c r="B18" i="90" s="1"/>
  <c r="B19" i="90" s="1"/>
  <c r="B20" i="90" s="1"/>
  <c r="B21" i="90" s="1"/>
  <c r="B22" i="90" s="1"/>
  <c r="B23" i="90" s="1"/>
  <c r="J6" i="90"/>
  <c r="W6" i="90" s="1"/>
  <c r="N4" i="90"/>
  <c r="V15" i="90" l="1"/>
  <c r="V17" i="90"/>
  <c r="V19" i="90"/>
  <c r="V14" i="90"/>
  <c r="V16" i="90"/>
  <c r="V18" i="90"/>
  <c r="V8" i="90"/>
  <c r="V10" i="90"/>
  <c r="V12" i="90"/>
  <c r="V9" i="90"/>
  <c r="V11" i="90"/>
  <c r="V13" i="90"/>
  <c r="V7" i="90"/>
  <c r="W7" i="90"/>
  <c r="W23" i="90" s="1"/>
  <c r="P4" i="90" s="1"/>
  <c r="J24" i="90"/>
  <c r="V6" i="90"/>
  <c r="H8" i="89"/>
  <c r="H7" i="89"/>
  <c r="J23" i="89"/>
  <c r="J22" i="89"/>
  <c r="J21" i="89"/>
  <c r="J20" i="89"/>
  <c r="J19" i="89"/>
  <c r="V19" i="89" s="1"/>
  <c r="J18" i="89"/>
  <c r="V18" i="89" s="1"/>
  <c r="J17" i="89"/>
  <c r="V17" i="89" s="1"/>
  <c r="J16" i="89"/>
  <c r="V16" i="89" s="1"/>
  <c r="J15" i="89"/>
  <c r="V15" i="89" s="1"/>
  <c r="J14" i="89"/>
  <c r="V14" i="89" s="1"/>
  <c r="J13" i="89"/>
  <c r="V13" i="89" s="1"/>
  <c r="J12" i="89"/>
  <c r="V12" i="89" s="1"/>
  <c r="J11" i="89"/>
  <c r="V11" i="89" s="1"/>
  <c r="J10" i="89"/>
  <c r="V10" i="89" s="1"/>
  <c r="J9" i="89"/>
  <c r="J8" i="89"/>
  <c r="W8" i="89" s="1"/>
  <c r="J7" i="89"/>
  <c r="W7" i="89" s="1"/>
  <c r="B7" i="89"/>
  <c r="B8" i="89" s="1"/>
  <c r="B9" i="89" s="1"/>
  <c r="B10" i="89" s="1"/>
  <c r="B11" i="89" s="1"/>
  <c r="B12" i="89" s="1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J6" i="89"/>
  <c r="N4" i="89"/>
  <c r="W13" i="89" l="1"/>
  <c r="W15" i="89"/>
  <c r="W17" i="89"/>
  <c r="W19" i="89"/>
  <c r="W14" i="89"/>
  <c r="W16" i="89"/>
  <c r="W18" i="89"/>
  <c r="V23" i="90"/>
  <c r="O4" i="90" s="1"/>
  <c r="R4" i="90" s="1"/>
  <c r="P6" i="90" s="1"/>
  <c r="W10" i="89"/>
  <c r="W12" i="89"/>
  <c r="J24" i="89"/>
  <c r="W11" i="89"/>
  <c r="V9" i="89"/>
  <c r="W9" i="89"/>
  <c r="V7" i="89"/>
  <c r="V6" i="89"/>
  <c r="V8" i="89"/>
  <c r="W6" i="89"/>
  <c r="H9" i="88"/>
  <c r="W23" i="89" l="1"/>
  <c r="P4" i="89" s="1"/>
  <c r="V23" i="89"/>
  <c r="O4" i="89" s="1"/>
  <c r="R4" i="89" s="1"/>
  <c r="P6" i="89" s="1"/>
  <c r="H6" i="88"/>
  <c r="J23" i="88"/>
  <c r="J22" i="88"/>
  <c r="J21" i="88"/>
  <c r="J20" i="88"/>
  <c r="J19" i="88"/>
  <c r="V19" i="88" s="1"/>
  <c r="J18" i="88"/>
  <c r="V18" i="88" s="1"/>
  <c r="J17" i="88"/>
  <c r="V17" i="88" s="1"/>
  <c r="J16" i="88"/>
  <c r="V16" i="88" s="1"/>
  <c r="J15" i="88"/>
  <c r="V15" i="88" s="1"/>
  <c r="J14" i="88"/>
  <c r="V14" i="88" s="1"/>
  <c r="J13" i="88"/>
  <c r="V13" i="88" s="1"/>
  <c r="J12" i="88"/>
  <c r="V12" i="88" s="1"/>
  <c r="J11" i="88"/>
  <c r="J10" i="88"/>
  <c r="W10" i="88" s="1"/>
  <c r="J9" i="88"/>
  <c r="J8" i="88"/>
  <c r="V8" i="88" s="1"/>
  <c r="J7" i="88"/>
  <c r="V7" i="88" s="1"/>
  <c r="B7" i="88"/>
  <c r="B8" i="88" s="1"/>
  <c r="B9" i="88" s="1"/>
  <c r="B10" i="88" s="1"/>
  <c r="B11" i="88" s="1"/>
  <c r="B12" i="88" s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J6" i="88"/>
  <c r="N4" i="88"/>
  <c r="W14" i="88" l="1"/>
  <c r="W16" i="88"/>
  <c r="W18" i="88"/>
  <c r="W15" i="88"/>
  <c r="W17" i="88"/>
  <c r="W19" i="88"/>
  <c r="W8" i="88"/>
  <c r="W7" i="88"/>
  <c r="J24" i="88"/>
  <c r="R4" i="88"/>
  <c r="P6" i="88" s="1"/>
  <c r="W12" i="88"/>
  <c r="W13" i="88"/>
  <c r="W11" i="88"/>
  <c r="V11" i="88"/>
  <c r="V9" i="88"/>
  <c r="W9" i="88"/>
  <c r="V10" i="88"/>
  <c r="V6" i="88"/>
  <c r="W6" i="88"/>
  <c r="H12" i="87"/>
  <c r="J12" i="87" s="1"/>
  <c r="V12" i="87" s="1"/>
  <c r="H11" i="87"/>
  <c r="H10" i="87"/>
  <c r="H9" i="87"/>
  <c r="H7" i="87"/>
  <c r="H6" i="87"/>
  <c r="J23" i="87"/>
  <c r="J22" i="87"/>
  <c r="J21" i="87"/>
  <c r="J20" i="87"/>
  <c r="J19" i="87"/>
  <c r="V19" i="87" s="1"/>
  <c r="W18" i="87"/>
  <c r="J18" i="87"/>
  <c r="V18" i="87" s="1"/>
  <c r="J17" i="87"/>
  <c r="V17" i="87" s="1"/>
  <c r="W16" i="87"/>
  <c r="J16" i="87"/>
  <c r="V16" i="87" s="1"/>
  <c r="J15" i="87"/>
  <c r="V15" i="87" s="1"/>
  <c r="W14" i="87"/>
  <c r="J14" i="87"/>
  <c r="V14" i="87" s="1"/>
  <c r="J13" i="87"/>
  <c r="V13" i="87" s="1"/>
  <c r="J11" i="87"/>
  <c r="V11" i="87" s="1"/>
  <c r="J10" i="87"/>
  <c r="V10" i="87" s="1"/>
  <c r="J9" i="87"/>
  <c r="V9" i="87" s="1"/>
  <c r="J8" i="87"/>
  <c r="V8" i="87" s="1"/>
  <c r="J7" i="87"/>
  <c r="V7" i="87" s="1"/>
  <c r="B7" i="87"/>
  <c r="B8" i="87" s="1"/>
  <c r="B9" i="87" s="1"/>
  <c r="B10" i="87" s="1"/>
  <c r="B11" i="87" s="1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J6" i="87"/>
  <c r="W6" i="87" s="1"/>
  <c r="N4" i="87"/>
  <c r="R4" i="87" s="1"/>
  <c r="P6" i="87" s="1"/>
  <c r="W15" i="87" l="1"/>
  <c r="W17" i="87"/>
  <c r="W19" i="87"/>
  <c r="W23" i="88"/>
  <c r="P4" i="88" s="1"/>
  <c r="V23" i="88"/>
  <c r="W12" i="87"/>
  <c r="W13" i="87"/>
  <c r="W8" i="87"/>
  <c r="W10" i="87"/>
  <c r="J24" i="87"/>
  <c r="W7" i="87"/>
  <c r="W9" i="87"/>
  <c r="W11" i="87"/>
  <c r="V6" i="87"/>
  <c r="V23" i="87" s="1"/>
  <c r="J23" i="86"/>
  <c r="J22" i="86"/>
  <c r="J21" i="86"/>
  <c r="J20" i="86"/>
  <c r="J19" i="86"/>
  <c r="W19" i="86" s="1"/>
  <c r="J18" i="86"/>
  <c r="W18" i="86" s="1"/>
  <c r="J17" i="86"/>
  <c r="W17" i="86" s="1"/>
  <c r="J16" i="86"/>
  <c r="W16" i="86" s="1"/>
  <c r="J15" i="86"/>
  <c r="W15" i="86" s="1"/>
  <c r="J14" i="86"/>
  <c r="W14" i="86" s="1"/>
  <c r="J13" i="86"/>
  <c r="W13" i="86" s="1"/>
  <c r="J12" i="86"/>
  <c r="W12" i="86" s="1"/>
  <c r="J11" i="86"/>
  <c r="W11" i="86" s="1"/>
  <c r="J10" i="86"/>
  <c r="W10" i="86" s="1"/>
  <c r="J9" i="86"/>
  <c r="W9" i="86" s="1"/>
  <c r="J8" i="86"/>
  <c r="V8" i="86" s="1"/>
  <c r="J7" i="86"/>
  <c r="V7" i="86" s="1"/>
  <c r="B7" i="86"/>
  <c r="B8" i="86" s="1"/>
  <c r="B9" i="86" s="1"/>
  <c r="B10" i="86" s="1"/>
  <c r="B11" i="86" s="1"/>
  <c r="B12" i="86" s="1"/>
  <c r="B13" i="86" s="1"/>
  <c r="B14" i="86" s="1"/>
  <c r="B15" i="86" s="1"/>
  <c r="B16" i="86" s="1"/>
  <c r="B17" i="86" s="1"/>
  <c r="B18" i="86" s="1"/>
  <c r="B19" i="86" s="1"/>
  <c r="B20" i="86" s="1"/>
  <c r="B21" i="86" s="1"/>
  <c r="B22" i="86" s="1"/>
  <c r="B23" i="86" s="1"/>
  <c r="J6" i="86"/>
  <c r="W6" i="86" s="1"/>
  <c r="N4" i="86"/>
  <c r="R4" i="86" s="1"/>
  <c r="P6" i="86" s="1"/>
  <c r="V13" i="86" l="1"/>
  <c r="V15" i="86"/>
  <c r="V17" i="86"/>
  <c r="V19" i="86"/>
  <c r="V14" i="86"/>
  <c r="V16" i="86"/>
  <c r="V18" i="86"/>
  <c r="W23" i="87"/>
  <c r="P4" i="87" s="1"/>
  <c r="W7" i="86"/>
  <c r="W8" i="86"/>
  <c r="W23" i="86" s="1"/>
  <c r="P4" i="86" s="1"/>
  <c r="V10" i="86"/>
  <c r="V12" i="86"/>
  <c r="V9" i="86"/>
  <c r="V11" i="86"/>
  <c r="J24" i="86"/>
  <c r="V6" i="86"/>
  <c r="H10" i="85"/>
  <c r="J10" i="85" s="1"/>
  <c r="W10" i="85" s="1"/>
  <c r="J8" i="85"/>
  <c r="W8" i="85" s="1"/>
  <c r="H7" i="85"/>
  <c r="H6" i="85"/>
  <c r="J6" i="85" s="1"/>
  <c r="J23" i="85"/>
  <c r="J22" i="85"/>
  <c r="J21" i="85"/>
  <c r="J20" i="85"/>
  <c r="J19" i="85"/>
  <c r="W19" i="85" s="1"/>
  <c r="J18" i="85"/>
  <c r="W18" i="85" s="1"/>
  <c r="J17" i="85"/>
  <c r="W17" i="85" s="1"/>
  <c r="J16" i="85"/>
  <c r="W16" i="85" s="1"/>
  <c r="J15" i="85"/>
  <c r="W15" i="85" s="1"/>
  <c r="J14" i="85"/>
  <c r="W14" i="85" s="1"/>
  <c r="J13" i="85"/>
  <c r="W13" i="85" s="1"/>
  <c r="J12" i="85"/>
  <c r="J11" i="85"/>
  <c r="J9" i="85"/>
  <c r="J7" i="85"/>
  <c r="B7" i="85"/>
  <c r="B8" i="85" s="1"/>
  <c r="B9" i="85" s="1"/>
  <c r="B10" i="85" s="1"/>
  <c r="B11" i="85" s="1"/>
  <c r="B12" i="85" s="1"/>
  <c r="B13" i="85" s="1"/>
  <c r="B14" i="85" s="1"/>
  <c r="B15" i="85" s="1"/>
  <c r="B16" i="85" s="1"/>
  <c r="B17" i="85" s="1"/>
  <c r="B18" i="85" s="1"/>
  <c r="B19" i="85" s="1"/>
  <c r="B20" i="85" s="1"/>
  <c r="B21" i="85" s="1"/>
  <c r="B22" i="85" s="1"/>
  <c r="B23" i="85" s="1"/>
  <c r="N4" i="85"/>
  <c r="R4" i="85" s="1"/>
  <c r="P6" i="85" s="1"/>
  <c r="V23" i="86" l="1"/>
  <c r="V7" i="85"/>
  <c r="W7" i="85"/>
  <c r="V6" i="85"/>
  <c r="J24" i="85"/>
  <c r="W6" i="85"/>
  <c r="W9" i="85"/>
  <c r="V9" i="85"/>
  <c r="V11" i="85"/>
  <c r="W11" i="85"/>
  <c r="W12" i="85"/>
  <c r="V12" i="85"/>
  <c r="V8" i="85"/>
  <c r="V13" i="85"/>
  <c r="V14" i="85"/>
  <c r="V15" i="85"/>
  <c r="V16" i="85"/>
  <c r="V17" i="85"/>
  <c r="V18" i="85"/>
  <c r="V19" i="85"/>
  <c r="V10" i="85"/>
  <c r="H13" i="84"/>
  <c r="H12" i="84"/>
  <c r="J12" i="84" s="1"/>
  <c r="W12" i="84" s="1"/>
  <c r="H11" i="84"/>
  <c r="J11" i="84" s="1"/>
  <c r="W11" i="84" s="1"/>
  <c r="H8" i="84"/>
  <c r="H7" i="84"/>
  <c r="H9" i="84"/>
  <c r="H6" i="84"/>
  <c r="J6" i="84" s="1"/>
  <c r="V6" i="84" s="1"/>
  <c r="J23" i="84"/>
  <c r="J22" i="84"/>
  <c r="J21" i="84"/>
  <c r="J20" i="84"/>
  <c r="J19" i="84"/>
  <c r="V19" i="84" s="1"/>
  <c r="J18" i="84"/>
  <c r="V18" i="84" s="1"/>
  <c r="J17" i="84"/>
  <c r="V17" i="84" s="1"/>
  <c r="J16" i="84"/>
  <c r="V16" i="84" s="1"/>
  <c r="J15" i="84"/>
  <c r="V15" i="84" s="1"/>
  <c r="J14" i="84"/>
  <c r="V14" i="84" s="1"/>
  <c r="J13" i="84"/>
  <c r="J10" i="84"/>
  <c r="J9" i="84"/>
  <c r="J8" i="84"/>
  <c r="W8" i="84" s="1"/>
  <c r="J7" i="84"/>
  <c r="W7" i="84" s="1"/>
  <c r="B7" i="84"/>
  <c r="B8" i="84" s="1"/>
  <c r="B9" i="84" s="1"/>
  <c r="B10" i="84" s="1"/>
  <c r="B11" i="84" s="1"/>
  <c r="B12" i="84" s="1"/>
  <c r="B13" i="84" s="1"/>
  <c r="B14" i="84" s="1"/>
  <c r="B15" i="84" s="1"/>
  <c r="B16" i="84" s="1"/>
  <c r="B17" i="84" s="1"/>
  <c r="B18" i="84" s="1"/>
  <c r="B19" i="84" s="1"/>
  <c r="B20" i="84" s="1"/>
  <c r="B21" i="84" s="1"/>
  <c r="B22" i="84" s="1"/>
  <c r="B23" i="84" s="1"/>
  <c r="N4" i="84"/>
  <c r="R4" i="84" s="1"/>
  <c r="P6" i="84" s="1"/>
  <c r="W14" i="84" l="1"/>
  <c r="W16" i="84"/>
  <c r="W18" i="84"/>
  <c r="W15" i="84"/>
  <c r="W17" i="84"/>
  <c r="W19" i="84"/>
  <c r="W23" i="85"/>
  <c r="P4" i="85" s="1"/>
  <c r="V23" i="85"/>
  <c r="V11" i="84"/>
  <c r="V9" i="84"/>
  <c r="W9" i="84"/>
  <c r="J24" i="84"/>
  <c r="W10" i="84"/>
  <c r="V10" i="84"/>
  <c r="V13" i="84"/>
  <c r="W13" i="84"/>
  <c r="W6" i="84"/>
  <c r="V7" i="84"/>
  <c r="V8" i="84"/>
  <c r="V12" i="84"/>
  <c r="I13" i="83"/>
  <c r="H13" i="83"/>
  <c r="I10" i="83"/>
  <c r="I9" i="83"/>
  <c r="H7" i="83"/>
  <c r="V23" i="84" l="1"/>
  <c r="W23" i="84"/>
  <c r="P4" i="84" s="1"/>
  <c r="H12" i="83"/>
  <c r="H9" i="83"/>
  <c r="J9" i="83" s="1"/>
  <c r="W9" i="83" s="1"/>
  <c r="H6" i="83"/>
  <c r="J23" i="83"/>
  <c r="J22" i="83"/>
  <c r="J21" i="83"/>
  <c r="J20" i="83"/>
  <c r="J19" i="83"/>
  <c r="V19" i="83" s="1"/>
  <c r="W18" i="83"/>
  <c r="J18" i="83"/>
  <c r="V18" i="83" s="1"/>
  <c r="J17" i="83"/>
  <c r="V17" i="83" s="1"/>
  <c r="J16" i="83"/>
  <c r="V16" i="83" s="1"/>
  <c r="J15" i="83"/>
  <c r="J14" i="83"/>
  <c r="W14" i="83" s="1"/>
  <c r="J13" i="83"/>
  <c r="J12" i="83"/>
  <c r="V12" i="83" s="1"/>
  <c r="J11" i="83"/>
  <c r="V11" i="83" s="1"/>
  <c r="J10" i="83"/>
  <c r="J8" i="83"/>
  <c r="W8" i="83" s="1"/>
  <c r="J7" i="83"/>
  <c r="W7" i="83" s="1"/>
  <c r="B7" i="83"/>
  <c r="B8" i="83" s="1"/>
  <c r="B9" i="83" s="1"/>
  <c r="B10" i="83" s="1"/>
  <c r="B11" i="83" s="1"/>
  <c r="B12" i="83" s="1"/>
  <c r="B13" i="83" s="1"/>
  <c r="B14" i="83" s="1"/>
  <c r="B15" i="83" s="1"/>
  <c r="B16" i="83" s="1"/>
  <c r="B17" i="83" s="1"/>
  <c r="B18" i="83" s="1"/>
  <c r="B19" i="83" s="1"/>
  <c r="B20" i="83" s="1"/>
  <c r="B21" i="83" s="1"/>
  <c r="B22" i="83" s="1"/>
  <c r="B23" i="83" s="1"/>
  <c r="J6" i="83"/>
  <c r="V6" i="83" s="1"/>
  <c r="N4" i="83"/>
  <c r="R4" i="83" s="1"/>
  <c r="P6" i="83" s="1"/>
  <c r="W19" i="83" l="1"/>
  <c r="W11" i="83"/>
  <c r="W12" i="83"/>
  <c r="J24" i="83"/>
  <c r="V7" i="83"/>
  <c r="W16" i="83"/>
  <c r="W17" i="83"/>
  <c r="W10" i="83"/>
  <c r="V10" i="83"/>
  <c r="W15" i="83"/>
  <c r="V15" i="83"/>
  <c r="V13" i="83"/>
  <c r="W13" i="83"/>
  <c r="W6" i="83"/>
  <c r="V8" i="83"/>
  <c r="V9" i="83"/>
  <c r="V14" i="83"/>
  <c r="H16" i="82"/>
  <c r="V23" i="83" l="1"/>
  <c r="W23" i="83"/>
  <c r="P4" i="83" s="1"/>
  <c r="H15" i="82"/>
  <c r="J15" i="82" s="1"/>
  <c r="V15" i="82" s="1"/>
  <c r="H14" i="82"/>
  <c r="J14" i="82" s="1"/>
  <c r="V14" i="82" s="1"/>
  <c r="H13" i="82"/>
  <c r="H11" i="82"/>
  <c r="H10" i="82"/>
  <c r="H8" i="82"/>
  <c r="J23" i="82"/>
  <c r="J22" i="82"/>
  <c r="J21" i="82"/>
  <c r="J20" i="82"/>
  <c r="J19" i="82"/>
  <c r="V19" i="82" s="1"/>
  <c r="J18" i="82"/>
  <c r="V18" i="82" s="1"/>
  <c r="J17" i="82"/>
  <c r="V17" i="82" s="1"/>
  <c r="J16" i="82"/>
  <c r="J13" i="82"/>
  <c r="J12" i="82"/>
  <c r="V12" i="82" s="1"/>
  <c r="J11" i="82"/>
  <c r="V11" i="82" s="1"/>
  <c r="J10" i="82"/>
  <c r="J9" i="82"/>
  <c r="V9" i="82" s="1"/>
  <c r="J8" i="82"/>
  <c r="V8" i="82" s="1"/>
  <c r="J7" i="82"/>
  <c r="V7" i="82" s="1"/>
  <c r="B7" i="82"/>
  <c r="B8" i="82" s="1"/>
  <c r="B9" i="82" s="1"/>
  <c r="B10" i="82" s="1"/>
  <c r="B11" i="82" s="1"/>
  <c r="B12" i="82" s="1"/>
  <c r="B13" i="82" s="1"/>
  <c r="B14" i="82" s="1"/>
  <c r="B15" i="82" s="1"/>
  <c r="B16" i="82" s="1"/>
  <c r="B17" i="82" s="1"/>
  <c r="B18" i="82" s="1"/>
  <c r="B19" i="82" s="1"/>
  <c r="B20" i="82" s="1"/>
  <c r="B21" i="82" s="1"/>
  <c r="B22" i="82" s="1"/>
  <c r="B23" i="82" s="1"/>
  <c r="J6" i="82"/>
  <c r="N4" i="82"/>
  <c r="R4" i="82" s="1"/>
  <c r="P6" i="82" s="1"/>
  <c r="J24" i="82" l="1"/>
  <c r="W8" i="82"/>
  <c r="W14" i="82"/>
  <c r="W7" i="82"/>
  <c r="W9" i="82"/>
  <c r="W15" i="82"/>
  <c r="W13" i="82"/>
  <c r="V13" i="82"/>
  <c r="W10" i="82"/>
  <c r="V10" i="82"/>
  <c r="W16" i="82"/>
  <c r="V16" i="82"/>
  <c r="V6" i="82"/>
  <c r="W11" i="82"/>
  <c r="W12" i="82"/>
  <c r="W17" i="82"/>
  <c r="W18" i="82"/>
  <c r="W19" i="82"/>
  <c r="W6" i="82"/>
  <c r="H17" i="81"/>
  <c r="J17" i="81" s="1"/>
  <c r="V17" i="81" s="1"/>
  <c r="H16" i="81"/>
  <c r="H14" i="81"/>
  <c r="H13" i="81"/>
  <c r="H11" i="81"/>
  <c r="J11" i="81" s="1"/>
  <c r="W11" i="81" s="1"/>
  <c r="H10" i="81"/>
  <c r="H7" i="81"/>
  <c r="J23" i="81"/>
  <c r="J22" i="81"/>
  <c r="J21" i="81"/>
  <c r="J20" i="81"/>
  <c r="J19" i="81"/>
  <c r="V19" i="81" s="1"/>
  <c r="W18" i="81"/>
  <c r="J18" i="81"/>
  <c r="V18" i="81" s="1"/>
  <c r="J16" i="81"/>
  <c r="V16" i="81" s="1"/>
  <c r="J15" i="81"/>
  <c r="V15" i="81" s="1"/>
  <c r="J14" i="81"/>
  <c r="V14" i="81" s="1"/>
  <c r="J13" i="81"/>
  <c r="V13" i="81" s="1"/>
  <c r="J12" i="81"/>
  <c r="V12" i="81" s="1"/>
  <c r="J10" i="81"/>
  <c r="W10" i="81" s="1"/>
  <c r="J9" i="81"/>
  <c r="J8" i="81"/>
  <c r="W8" i="81" s="1"/>
  <c r="B8" i="81"/>
  <c r="B9" i="81" s="1"/>
  <c r="B10" i="81" s="1"/>
  <c r="B11" i="81" s="1"/>
  <c r="B12" i="81" s="1"/>
  <c r="B13" i="81" s="1"/>
  <c r="B14" i="81" s="1"/>
  <c r="B15" i="81" s="1"/>
  <c r="B16" i="81" s="1"/>
  <c r="B17" i="81" s="1"/>
  <c r="B18" i="81" s="1"/>
  <c r="B19" i="81" s="1"/>
  <c r="B20" i="81" s="1"/>
  <c r="B21" i="81" s="1"/>
  <c r="B22" i="81" s="1"/>
  <c r="B23" i="81" s="1"/>
  <c r="J7" i="81"/>
  <c r="B7" i="81"/>
  <c r="J6" i="81"/>
  <c r="N4" i="81"/>
  <c r="R4" i="81" s="1"/>
  <c r="P6" i="81" s="1"/>
  <c r="W19" i="81" l="1"/>
  <c r="V23" i="82"/>
  <c r="W23" i="82"/>
  <c r="P4" i="82" s="1"/>
  <c r="W17" i="81"/>
  <c r="W16" i="81"/>
  <c r="W15" i="81"/>
  <c r="V10" i="81"/>
  <c r="W12" i="81"/>
  <c r="W14" i="81"/>
  <c r="V11" i="81"/>
  <c r="W13" i="81"/>
  <c r="J24" i="81"/>
  <c r="V6" i="81"/>
  <c r="W6" i="81"/>
  <c r="V7" i="81"/>
  <c r="W7" i="81"/>
  <c r="W9" i="81"/>
  <c r="V9" i="81"/>
  <c r="V8" i="81"/>
  <c r="H12" i="80"/>
  <c r="H9" i="80"/>
  <c r="H8" i="80"/>
  <c r="H7" i="80"/>
  <c r="H6" i="80"/>
  <c r="J6" i="80" s="1"/>
  <c r="J23" i="80"/>
  <c r="J22" i="80"/>
  <c r="J21" i="80"/>
  <c r="J20" i="80"/>
  <c r="W19" i="80"/>
  <c r="J19" i="80"/>
  <c r="V19" i="80" s="1"/>
  <c r="J18" i="80"/>
  <c r="V18" i="80" s="1"/>
  <c r="W17" i="80"/>
  <c r="J17" i="80"/>
  <c r="V17" i="80" s="1"/>
  <c r="J16" i="80"/>
  <c r="V16" i="80" s="1"/>
  <c r="J15" i="80"/>
  <c r="V15" i="80" s="1"/>
  <c r="J14" i="80"/>
  <c r="J13" i="80"/>
  <c r="W13" i="80" s="1"/>
  <c r="J12" i="80"/>
  <c r="W12" i="80" s="1"/>
  <c r="J11" i="80"/>
  <c r="W11" i="80" s="1"/>
  <c r="J10" i="80"/>
  <c r="W10" i="80" s="1"/>
  <c r="J9" i="80"/>
  <c r="J8" i="80"/>
  <c r="V8" i="80" s="1"/>
  <c r="J7" i="80"/>
  <c r="V7" i="80" s="1"/>
  <c r="B7" i="80"/>
  <c r="B8" i="80" s="1"/>
  <c r="B9" i="80" s="1"/>
  <c r="B10" i="80" s="1"/>
  <c r="B11" i="80" s="1"/>
  <c r="B12" i="80" s="1"/>
  <c r="B13" i="80" s="1"/>
  <c r="B14" i="80" s="1"/>
  <c r="B15" i="80" s="1"/>
  <c r="B16" i="80" s="1"/>
  <c r="B17" i="80" s="1"/>
  <c r="B18" i="80" s="1"/>
  <c r="B19" i="80" s="1"/>
  <c r="B20" i="80" s="1"/>
  <c r="B21" i="80" s="1"/>
  <c r="B22" i="80" s="1"/>
  <c r="B23" i="80" s="1"/>
  <c r="N4" i="80"/>
  <c r="R4" i="80" s="1"/>
  <c r="P6" i="80" s="1"/>
  <c r="W16" i="80" l="1"/>
  <c r="W18" i="80"/>
  <c r="W23" i="81"/>
  <c r="P4" i="81" s="1"/>
  <c r="V23" i="81"/>
  <c r="V11" i="80"/>
  <c r="V10" i="80"/>
  <c r="W8" i="80"/>
  <c r="W7" i="80"/>
  <c r="W15" i="80"/>
  <c r="W9" i="80"/>
  <c r="V9" i="80"/>
  <c r="W14" i="80"/>
  <c r="V14" i="80"/>
  <c r="J24" i="80"/>
  <c r="V12" i="80"/>
  <c r="V13" i="80"/>
  <c r="V6" i="80"/>
  <c r="W6" i="80"/>
  <c r="H15" i="79"/>
  <c r="H14" i="79"/>
  <c r="J14" i="79" s="1"/>
  <c r="W14" i="79" s="1"/>
  <c r="J13" i="79"/>
  <c r="H12" i="79"/>
  <c r="H9" i="79"/>
  <c r="H7" i="79"/>
  <c r="J7" i="79" s="1"/>
  <c r="J23" i="79"/>
  <c r="J22" i="79"/>
  <c r="J21" i="79"/>
  <c r="J20" i="79"/>
  <c r="J19" i="79"/>
  <c r="W19" i="79" s="1"/>
  <c r="J18" i="79"/>
  <c r="J17" i="79"/>
  <c r="J16" i="79"/>
  <c r="W16" i="79" s="1"/>
  <c r="J15" i="79"/>
  <c r="J12" i="79"/>
  <c r="J11" i="79"/>
  <c r="J10" i="79"/>
  <c r="W10" i="79" s="1"/>
  <c r="J9" i="79"/>
  <c r="J8" i="79"/>
  <c r="B8" i="79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B21" i="79" s="1"/>
  <c r="B22" i="79" s="1"/>
  <c r="B23" i="79" s="1"/>
  <c r="B7" i="79"/>
  <c r="J6" i="79"/>
  <c r="V6" i="79" s="1"/>
  <c r="N4" i="79"/>
  <c r="R4" i="79" s="1"/>
  <c r="P6" i="79" s="1"/>
  <c r="V23" i="80" l="1"/>
  <c r="W23" i="80"/>
  <c r="P4" i="80" s="1"/>
  <c r="W6" i="79"/>
  <c r="W11" i="79"/>
  <c r="V11" i="79"/>
  <c r="V18" i="79"/>
  <c r="W18" i="79"/>
  <c r="V12" i="79"/>
  <c r="W12" i="79"/>
  <c r="W15" i="79"/>
  <c r="V15" i="79"/>
  <c r="V17" i="79"/>
  <c r="W17" i="79"/>
  <c r="V8" i="79"/>
  <c r="W8" i="79"/>
  <c r="W9" i="79"/>
  <c r="V9" i="79"/>
  <c r="W7" i="79"/>
  <c r="J24" i="79"/>
  <c r="V7" i="79"/>
  <c r="W13" i="79"/>
  <c r="V13" i="79"/>
  <c r="V10" i="79"/>
  <c r="V14" i="79"/>
  <c r="V19" i="79"/>
  <c r="V16" i="79"/>
  <c r="H20" i="78"/>
  <c r="J20" i="78"/>
  <c r="J21" i="78"/>
  <c r="J22" i="78"/>
  <c r="J23" i="78"/>
  <c r="W23" i="79" l="1"/>
  <c r="P4" i="79" s="1"/>
  <c r="Q4" i="79" s="1"/>
  <c r="V23" i="79"/>
  <c r="H18" i="78"/>
  <c r="H19" i="78"/>
  <c r="H17" i="78" l="1"/>
  <c r="H15" i="78"/>
  <c r="J15" i="78" s="1"/>
  <c r="W15" i="78" s="1"/>
  <c r="H14" i="78"/>
  <c r="H13" i="78"/>
  <c r="J13" i="78" s="1"/>
  <c r="W13" i="78" s="1"/>
  <c r="H12" i="78"/>
  <c r="H11" i="78"/>
  <c r="J11" i="78" s="1"/>
  <c r="H10" i="78"/>
  <c r="H9" i="78"/>
  <c r="J9" i="78" s="1"/>
  <c r="V9" i="78" s="1"/>
  <c r="H8" i="78"/>
  <c r="H7" i="78"/>
  <c r="J19" i="78"/>
  <c r="W19" i="78" s="1"/>
  <c r="J18" i="78"/>
  <c r="W18" i="78" s="1"/>
  <c r="J17" i="78"/>
  <c r="W17" i="78" s="1"/>
  <c r="J16" i="78"/>
  <c r="W16" i="78" s="1"/>
  <c r="J14" i="78"/>
  <c r="J12" i="78"/>
  <c r="W12" i="78" s="1"/>
  <c r="J10" i="78"/>
  <c r="V10" i="78" s="1"/>
  <c r="J8" i="78"/>
  <c r="V8" i="78" s="1"/>
  <c r="J7" i="78"/>
  <c r="V7" i="78" s="1"/>
  <c r="B7" i="78"/>
  <c r="B8" i="78" s="1"/>
  <c r="B9" i="78" s="1"/>
  <c r="B10" i="78" s="1"/>
  <c r="B11" i="78" s="1"/>
  <c r="B12" i="78" s="1"/>
  <c r="B13" i="78" s="1"/>
  <c r="B14" i="78" s="1"/>
  <c r="B15" i="78" s="1"/>
  <c r="B16" i="78" s="1"/>
  <c r="B17" i="78" s="1"/>
  <c r="B18" i="78" s="1"/>
  <c r="B19" i="78" s="1"/>
  <c r="B20" i="78" s="1"/>
  <c r="B21" i="78" s="1"/>
  <c r="B22" i="78" s="1"/>
  <c r="B23" i="78" s="1"/>
  <c r="J6" i="78"/>
  <c r="N4" i="78"/>
  <c r="V12" i="78" l="1"/>
  <c r="W10" i="78"/>
  <c r="W8" i="78"/>
  <c r="W7" i="78"/>
  <c r="W9" i="78"/>
  <c r="J24" i="78"/>
  <c r="V6" i="78"/>
  <c r="W6" i="78"/>
  <c r="W14" i="78"/>
  <c r="V14" i="78"/>
  <c r="W11" i="78"/>
  <c r="V11" i="78"/>
  <c r="V13" i="78"/>
  <c r="V15" i="78"/>
  <c r="V16" i="78"/>
  <c r="V17" i="78"/>
  <c r="V18" i="78"/>
  <c r="V19" i="78"/>
  <c r="H14" i="77"/>
  <c r="H13" i="77"/>
  <c r="J13" i="77" s="1"/>
  <c r="W13" i="77" s="1"/>
  <c r="H11" i="77"/>
  <c r="H6" i="77"/>
  <c r="J19" i="77"/>
  <c r="V19" i="77" s="1"/>
  <c r="J18" i="77"/>
  <c r="V18" i="77" s="1"/>
  <c r="J17" i="77"/>
  <c r="V17" i="77" s="1"/>
  <c r="J16" i="77"/>
  <c r="V16" i="77" s="1"/>
  <c r="J15" i="77"/>
  <c r="J14" i="77"/>
  <c r="W14" i="77" s="1"/>
  <c r="J12" i="77"/>
  <c r="W12" i="77" s="1"/>
  <c r="J11" i="77"/>
  <c r="W11" i="77" s="1"/>
  <c r="J10" i="77"/>
  <c r="W10" i="77" s="1"/>
  <c r="J9" i="77"/>
  <c r="W9" i="77" s="1"/>
  <c r="J8" i="77"/>
  <c r="V8" i="77" s="1"/>
  <c r="J7" i="77"/>
  <c r="W7" i="77" s="1"/>
  <c r="B7" i="77"/>
  <c r="B8" i="77" s="1"/>
  <c r="B9" i="77" s="1"/>
  <c r="B10" i="77" s="1"/>
  <c r="B11" i="77" s="1"/>
  <c r="B12" i="77" s="1"/>
  <c r="B13" i="77" s="1"/>
  <c r="B14" i="77" s="1"/>
  <c r="B15" i="77" s="1"/>
  <c r="B16" i="77" s="1"/>
  <c r="B17" i="77" s="1"/>
  <c r="B18" i="77" s="1"/>
  <c r="B19" i="77" s="1"/>
  <c r="B20" i="77" s="1"/>
  <c r="J6" i="77"/>
  <c r="W6" i="77" s="1"/>
  <c r="N4" i="77"/>
  <c r="V12" i="77" l="1"/>
  <c r="W19" i="77"/>
  <c r="W18" i="77"/>
  <c r="W23" i="78"/>
  <c r="P4" i="78" s="1"/>
  <c r="V23" i="78"/>
  <c r="V11" i="77"/>
  <c r="V10" i="77"/>
  <c r="V9" i="77"/>
  <c r="W8" i="77"/>
  <c r="V7" i="77"/>
  <c r="W16" i="77"/>
  <c r="W17" i="77"/>
  <c r="W15" i="77"/>
  <c r="V15" i="77"/>
  <c r="J21" i="77"/>
  <c r="V13" i="77"/>
  <c r="V14" i="77"/>
  <c r="V6" i="77"/>
  <c r="H16" i="76"/>
  <c r="H15" i="76"/>
  <c r="H13" i="76"/>
  <c r="H9" i="76"/>
  <c r="H7" i="76"/>
  <c r="J19" i="76"/>
  <c r="W19" i="76" s="1"/>
  <c r="J18" i="76"/>
  <c r="W18" i="76" s="1"/>
  <c r="J17" i="76"/>
  <c r="W17" i="76" s="1"/>
  <c r="J16" i="76"/>
  <c r="W16" i="76" s="1"/>
  <c r="J15" i="76"/>
  <c r="W15" i="76" s="1"/>
  <c r="J14" i="76"/>
  <c r="W14" i="76" s="1"/>
  <c r="J13" i="76"/>
  <c r="J12" i="76"/>
  <c r="W12" i="76" s="1"/>
  <c r="J11" i="76"/>
  <c r="J10" i="76"/>
  <c r="J9" i="76"/>
  <c r="J8" i="76"/>
  <c r="W8" i="76" s="1"/>
  <c r="J7" i="76"/>
  <c r="W7" i="76" s="1"/>
  <c r="B7" i="76"/>
  <c r="B8" i="76" s="1"/>
  <c r="B9" i="76" s="1"/>
  <c r="B10" i="76" s="1"/>
  <c r="B11" i="76" s="1"/>
  <c r="B12" i="76" s="1"/>
  <c r="B13" i="76" s="1"/>
  <c r="B14" i="76" s="1"/>
  <c r="B15" i="76" s="1"/>
  <c r="B16" i="76" s="1"/>
  <c r="B17" i="76" s="1"/>
  <c r="B18" i="76" s="1"/>
  <c r="B19" i="76" s="1"/>
  <c r="B20" i="76" s="1"/>
  <c r="J6" i="76"/>
  <c r="N4" i="76"/>
  <c r="W20" i="77" l="1"/>
  <c r="P4" i="77" s="1"/>
  <c r="R4" i="78"/>
  <c r="P6" i="78" s="1"/>
  <c r="Q4" i="78"/>
  <c r="V20" i="77"/>
  <c r="O4" i="77" s="1"/>
  <c r="R4" i="77" s="1"/>
  <c r="P6" i="77" s="1"/>
  <c r="V11" i="76"/>
  <c r="W11" i="76"/>
  <c r="J21" i="76"/>
  <c r="V6" i="76"/>
  <c r="W6" i="76"/>
  <c r="W9" i="76"/>
  <c r="V9" i="76"/>
  <c r="V10" i="76"/>
  <c r="W10" i="76"/>
  <c r="W13" i="76"/>
  <c r="V13" i="76"/>
  <c r="V7" i="76"/>
  <c r="V8" i="76"/>
  <c r="V12" i="76"/>
  <c r="V14" i="76"/>
  <c r="V15" i="76"/>
  <c r="V16" i="76"/>
  <c r="V17" i="76"/>
  <c r="V18" i="76"/>
  <c r="V19" i="76"/>
  <c r="H13" i="75"/>
  <c r="H12" i="75"/>
  <c r="H11" i="75"/>
  <c r="H10" i="75"/>
  <c r="J10" i="75" s="1"/>
  <c r="W10" i="75" s="1"/>
  <c r="H9" i="75"/>
  <c r="H7" i="75"/>
  <c r="H6" i="75"/>
  <c r="J19" i="75"/>
  <c r="W19" i="75" s="1"/>
  <c r="J18" i="75"/>
  <c r="W18" i="75" s="1"/>
  <c r="J17" i="75"/>
  <c r="W17" i="75" s="1"/>
  <c r="J16" i="75"/>
  <c r="W16" i="75" s="1"/>
  <c r="J15" i="75"/>
  <c r="W15" i="75" s="1"/>
  <c r="J14" i="75"/>
  <c r="W14" i="75" s="1"/>
  <c r="J13" i="75"/>
  <c r="W13" i="75" s="1"/>
  <c r="J12" i="75"/>
  <c r="J11" i="75"/>
  <c r="W11" i="75" s="1"/>
  <c r="J9" i="75"/>
  <c r="W9" i="75" s="1"/>
  <c r="J8" i="75"/>
  <c r="W8" i="75" s="1"/>
  <c r="J7" i="75"/>
  <c r="V7" i="75" s="1"/>
  <c r="B7" i="75"/>
  <c r="B8" i="75" s="1"/>
  <c r="B9" i="75" s="1"/>
  <c r="B10" i="75" s="1"/>
  <c r="B11" i="75" s="1"/>
  <c r="B12" i="75" s="1"/>
  <c r="B13" i="75" s="1"/>
  <c r="B14" i="75" s="1"/>
  <c r="B15" i="75" s="1"/>
  <c r="B16" i="75" s="1"/>
  <c r="B17" i="75" s="1"/>
  <c r="B18" i="75" s="1"/>
  <c r="B19" i="75" s="1"/>
  <c r="B20" i="75" s="1"/>
  <c r="J6" i="75"/>
  <c r="N4" i="75"/>
  <c r="Q4" i="77" l="1"/>
  <c r="W20" i="76"/>
  <c r="P4" i="76" s="1"/>
  <c r="V20" i="76"/>
  <c r="O4" i="76" s="1"/>
  <c r="W12" i="75"/>
  <c r="V12" i="75"/>
  <c r="J21" i="75"/>
  <c r="W6" i="75"/>
  <c r="V6" i="75"/>
  <c r="V8" i="75"/>
  <c r="V9" i="75"/>
  <c r="V10" i="75"/>
  <c r="V11" i="75"/>
  <c r="W7" i="75"/>
  <c r="V13" i="75"/>
  <c r="V14" i="75"/>
  <c r="V15" i="75"/>
  <c r="V16" i="75"/>
  <c r="V17" i="75"/>
  <c r="V18" i="75"/>
  <c r="V19" i="75"/>
  <c r="H12" i="74"/>
  <c r="H6" i="74"/>
  <c r="J19" i="74"/>
  <c r="W19" i="74" s="1"/>
  <c r="J18" i="74"/>
  <c r="W18" i="74" s="1"/>
  <c r="J17" i="74"/>
  <c r="W17" i="74" s="1"/>
  <c r="J16" i="74"/>
  <c r="W16" i="74" s="1"/>
  <c r="J15" i="74"/>
  <c r="W15" i="74" s="1"/>
  <c r="J14" i="74"/>
  <c r="J13" i="74"/>
  <c r="V13" i="74" s="1"/>
  <c r="J12" i="74"/>
  <c r="J11" i="74"/>
  <c r="J10" i="74"/>
  <c r="W10" i="74" s="1"/>
  <c r="J9" i="74"/>
  <c r="W9" i="74" s="1"/>
  <c r="J8" i="74"/>
  <c r="W8" i="74" s="1"/>
  <c r="J7" i="74"/>
  <c r="W7" i="74" s="1"/>
  <c r="B7" i="74"/>
  <c r="B8" i="74" s="1"/>
  <c r="B9" i="74" s="1"/>
  <c r="B10" i="74" s="1"/>
  <c r="B11" i="74" s="1"/>
  <c r="B12" i="74" s="1"/>
  <c r="B13" i="74" s="1"/>
  <c r="B14" i="74" s="1"/>
  <c r="B15" i="74" s="1"/>
  <c r="B16" i="74" s="1"/>
  <c r="B17" i="74" s="1"/>
  <c r="B18" i="74" s="1"/>
  <c r="B19" i="74" s="1"/>
  <c r="B20" i="74" s="1"/>
  <c r="J6" i="74"/>
  <c r="W6" i="74" s="1"/>
  <c r="N4" i="74"/>
  <c r="R4" i="76" l="1"/>
  <c r="P6" i="76" s="1"/>
  <c r="Q4" i="76"/>
  <c r="V20" i="75"/>
  <c r="O4" i="75" s="1"/>
  <c r="W20" i="75"/>
  <c r="P4" i="75" s="1"/>
  <c r="V6" i="74"/>
  <c r="V7" i="74"/>
  <c r="W13" i="74"/>
  <c r="V14" i="74"/>
  <c r="W14" i="74"/>
  <c r="W11" i="74"/>
  <c r="V11" i="74"/>
  <c r="J21" i="74"/>
  <c r="W12" i="74"/>
  <c r="V12" i="74"/>
  <c r="V8" i="74"/>
  <c r="V9" i="74"/>
  <c r="V10" i="74"/>
  <c r="V15" i="74"/>
  <c r="V16" i="74"/>
  <c r="V17" i="74"/>
  <c r="V18" i="74"/>
  <c r="V19" i="74"/>
  <c r="H15" i="73"/>
  <c r="H14" i="73"/>
  <c r="J14" i="73" s="1"/>
  <c r="V14" i="73" s="1"/>
  <c r="H12" i="73"/>
  <c r="H11" i="73"/>
  <c r="H8" i="73"/>
  <c r="W19" i="73"/>
  <c r="J19" i="73"/>
  <c r="V19" i="73" s="1"/>
  <c r="V18" i="73"/>
  <c r="J18" i="73"/>
  <c r="W18" i="73" s="1"/>
  <c r="J17" i="73"/>
  <c r="W17" i="73" s="1"/>
  <c r="J16" i="73"/>
  <c r="W16" i="73" s="1"/>
  <c r="J15" i="73"/>
  <c r="W15" i="73" s="1"/>
  <c r="J13" i="73"/>
  <c r="J12" i="73"/>
  <c r="W12" i="73" s="1"/>
  <c r="J11" i="73"/>
  <c r="J10" i="73"/>
  <c r="W10" i="73" s="1"/>
  <c r="J9" i="73"/>
  <c r="W9" i="73" s="1"/>
  <c r="J8" i="73"/>
  <c r="W8" i="73" s="1"/>
  <c r="J7" i="73"/>
  <c r="W7" i="73" s="1"/>
  <c r="B7" i="73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B19" i="73" s="1"/>
  <c r="B20" i="73" s="1"/>
  <c r="J6" i="73"/>
  <c r="N4" i="73"/>
  <c r="V17" i="73" l="1"/>
  <c r="V16" i="73"/>
  <c r="R4" i="75"/>
  <c r="P6" i="75" s="1"/>
  <c r="Q4" i="75"/>
  <c r="V20" i="74"/>
  <c r="O4" i="74" s="1"/>
  <c r="R4" i="74" s="1"/>
  <c r="P6" i="74" s="1"/>
  <c r="W20" i="74"/>
  <c r="P4" i="74" s="1"/>
  <c r="W14" i="73"/>
  <c r="V9" i="73"/>
  <c r="V8" i="73"/>
  <c r="V15" i="73"/>
  <c r="V7" i="73"/>
  <c r="V6" i="73"/>
  <c r="W6" i="73"/>
  <c r="J21" i="73"/>
  <c r="W13" i="73"/>
  <c r="V13" i="73"/>
  <c r="W11" i="73"/>
  <c r="V11" i="73"/>
  <c r="V10" i="73"/>
  <c r="V12" i="73"/>
  <c r="H14" i="72"/>
  <c r="H13" i="72"/>
  <c r="H11" i="72"/>
  <c r="H10" i="72"/>
  <c r="J10" i="72" s="1"/>
  <c r="W10" i="72" s="1"/>
  <c r="H9" i="72"/>
  <c r="H6" i="72"/>
  <c r="V19" i="72"/>
  <c r="J19" i="72"/>
  <c r="W19" i="72" s="1"/>
  <c r="J18" i="72"/>
  <c r="W18" i="72" s="1"/>
  <c r="J17" i="72"/>
  <c r="W17" i="72" s="1"/>
  <c r="W16" i="72"/>
  <c r="J16" i="72"/>
  <c r="V16" i="72" s="1"/>
  <c r="J15" i="72"/>
  <c r="W15" i="72" s="1"/>
  <c r="J14" i="72"/>
  <c r="W14" i="72" s="1"/>
  <c r="J13" i="72"/>
  <c r="V13" i="72" s="1"/>
  <c r="J12" i="72"/>
  <c r="V12" i="72" s="1"/>
  <c r="J11" i="72"/>
  <c r="W11" i="72" s="1"/>
  <c r="J9" i="72"/>
  <c r="V9" i="72" s="1"/>
  <c r="J8" i="72"/>
  <c r="W8" i="72" s="1"/>
  <c r="J7" i="72"/>
  <c r="W7" i="72" s="1"/>
  <c r="B7" i="72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B18" i="72" s="1"/>
  <c r="B19" i="72" s="1"/>
  <c r="B20" i="72" s="1"/>
  <c r="J6" i="72"/>
  <c r="N4" i="72"/>
  <c r="V18" i="72" l="1"/>
  <c r="V17" i="72"/>
  <c r="W13" i="72"/>
  <c r="Q4" i="74"/>
  <c r="W20" i="73"/>
  <c r="P4" i="73" s="1"/>
  <c r="V20" i="73"/>
  <c r="O4" i="73" s="1"/>
  <c r="V15" i="72"/>
  <c r="V14" i="72"/>
  <c r="W12" i="72"/>
  <c r="V11" i="72"/>
  <c r="V10" i="72"/>
  <c r="W9" i="72"/>
  <c r="V8" i="72"/>
  <c r="V7" i="72"/>
  <c r="V6" i="72"/>
  <c r="J21" i="72"/>
  <c r="W6" i="72"/>
  <c r="H9" i="71"/>
  <c r="J7" i="71"/>
  <c r="W7" i="71" s="1"/>
  <c r="H6" i="71"/>
  <c r="J6" i="71" s="1"/>
  <c r="J19" i="71"/>
  <c r="W19" i="71" s="1"/>
  <c r="J18" i="71"/>
  <c r="W18" i="71" s="1"/>
  <c r="J17" i="71"/>
  <c r="W17" i="71" s="1"/>
  <c r="J16" i="71"/>
  <c r="W16" i="71" s="1"/>
  <c r="J15" i="71"/>
  <c r="W15" i="71" s="1"/>
  <c r="J14" i="71"/>
  <c r="W14" i="71" s="1"/>
  <c r="J13" i="71"/>
  <c r="W13" i="71" s="1"/>
  <c r="J12" i="71"/>
  <c r="W12" i="71" s="1"/>
  <c r="J11" i="71"/>
  <c r="W11" i="71" s="1"/>
  <c r="J10" i="71"/>
  <c r="W10" i="71" s="1"/>
  <c r="J9" i="71"/>
  <c r="W9" i="71" s="1"/>
  <c r="J8" i="71"/>
  <c r="W8" i="71" s="1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17" i="71" s="1"/>
  <c r="B18" i="71" s="1"/>
  <c r="B19" i="71" s="1"/>
  <c r="B20" i="71" s="1"/>
  <c r="N4" i="71"/>
  <c r="R4" i="73" l="1"/>
  <c r="P6" i="73" s="1"/>
  <c r="Q4" i="73"/>
  <c r="W20" i="72"/>
  <c r="P4" i="72" s="1"/>
  <c r="V20" i="72"/>
  <c r="J21" i="71"/>
  <c r="V6" i="71"/>
  <c r="V7" i="71"/>
  <c r="V8" i="71"/>
  <c r="V9" i="71"/>
  <c r="V10" i="71"/>
  <c r="V11" i="71"/>
  <c r="V12" i="71"/>
  <c r="V13" i="71"/>
  <c r="V14" i="71"/>
  <c r="V15" i="71"/>
  <c r="V16" i="71"/>
  <c r="V17" i="71"/>
  <c r="V18" i="71"/>
  <c r="V19" i="71"/>
  <c r="W6" i="71"/>
  <c r="W20" i="71" s="1"/>
  <c r="P4" i="71" s="1"/>
  <c r="H6" i="70"/>
  <c r="J19" i="70"/>
  <c r="W19" i="70" s="1"/>
  <c r="V18" i="70"/>
  <c r="J18" i="70"/>
  <c r="W18" i="70" s="1"/>
  <c r="J17" i="70"/>
  <c r="W17" i="70" s="1"/>
  <c r="V16" i="70"/>
  <c r="J16" i="70"/>
  <c r="W16" i="70" s="1"/>
  <c r="J15" i="70"/>
  <c r="W15" i="70" s="1"/>
  <c r="V14" i="70"/>
  <c r="J14" i="70"/>
  <c r="W14" i="70" s="1"/>
  <c r="J13" i="70"/>
  <c r="W13" i="70" s="1"/>
  <c r="J12" i="70"/>
  <c r="W12" i="70" s="1"/>
  <c r="J11" i="70"/>
  <c r="W11" i="70" s="1"/>
  <c r="J10" i="70"/>
  <c r="W10" i="70" s="1"/>
  <c r="J9" i="70"/>
  <c r="J8" i="70"/>
  <c r="V8" i="70" s="1"/>
  <c r="J7" i="70"/>
  <c r="V7" i="70" s="1"/>
  <c r="B7" i="70"/>
  <c r="B8" i="70" s="1"/>
  <c r="B9" i="70" s="1"/>
  <c r="B10" i="70" s="1"/>
  <c r="B11" i="70" s="1"/>
  <c r="B12" i="70" s="1"/>
  <c r="B13" i="70" s="1"/>
  <c r="B14" i="70" s="1"/>
  <c r="B15" i="70" s="1"/>
  <c r="B16" i="70" s="1"/>
  <c r="B17" i="70" s="1"/>
  <c r="B18" i="70" s="1"/>
  <c r="B19" i="70" s="1"/>
  <c r="B20" i="70" s="1"/>
  <c r="J6" i="70"/>
  <c r="W6" i="70" s="1"/>
  <c r="N4" i="70"/>
  <c r="O4" i="72" l="1"/>
  <c r="R4" i="72" s="1"/>
  <c r="P6" i="72" s="1"/>
  <c r="V13" i="70"/>
  <c r="V15" i="70"/>
  <c r="V17" i="70"/>
  <c r="V19" i="70"/>
  <c r="Q4" i="72"/>
  <c r="V20" i="71"/>
  <c r="O4" i="71" s="1"/>
  <c r="W8" i="70"/>
  <c r="W7" i="70"/>
  <c r="V10" i="70"/>
  <c r="V12" i="70"/>
  <c r="V11" i="70"/>
  <c r="V9" i="70"/>
  <c r="W9" i="70"/>
  <c r="W20" i="70" s="1"/>
  <c r="P4" i="70" s="1"/>
  <c r="J21" i="70"/>
  <c r="V6" i="70"/>
  <c r="H10" i="69"/>
  <c r="H9" i="69"/>
  <c r="J19" i="69"/>
  <c r="W19" i="69" s="1"/>
  <c r="J18" i="69"/>
  <c r="W18" i="69" s="1"/>
  <c r="J17" i="69"/>
  <c r="W17" i="69" s="1"/>
  <c r="J16" i="69"/>
  <c r="W16" i="69" s="1"/>
  <c r="J15" i="69"/>
  <c r="W15" i="69" s="1"/>
  <c r="J14" i="69"/>
  <c r="J13" i="69"/>
  <c r="W13" i="69" s="1"/>
  <c r="J12" i="69"/>
  <c r="W12" i="69" s="1"/>
  <c r="J11" i="69"/>
  <c r="W11" i="69" s="1"/>
  <c r="J10" i="69"/>
  <c r="V10" i="69" s="1"/>
  <c r="J9" i="69"/>
  <c r="J8" i="69"/>
  <c r="V8" i="69" s="1"/>
  <c r="J7" i="69"/>
  <c r="B7" i="69"/>
  <c r="B8" i="69" s="1"/>
  <c r="B9" i="69" s="1"/>
  <c r="B10" i="69" s="1"/>
  <c r="B11" i="69" s="1"/>
  <c r="B12" i="69" s="1"/>
  <c r="B13" i="69" s="1"/>
  <c r="B14" i="69" s="1"/>
  <c r="B15" i="69" s="1"/>
  <c r="B16" i="69" s="1"/>
  <c r="B17" i="69" s="1"/>
  <c r="B18" i="69" s="1"/>
  <c r="B19" i="69" s="1"/>
  <c r="B20" i="69" s="1"/>
  <c r="J6" i="69"/>
  <c r="N4" i="69"/>
  <c r="R4" i="71" l="1"/>
  <c r="P6" i="71" s="1"/>
  <c r="Q4" i="71"/>
  <c r="V20" i="70"/>
  <c r="O4" i="70" s="1"/>
  <c r="R4" i="70" s="1"/>
  <c r="P6" i="70" s="1"/>
  <c r="W10" i="69"/>
  <c r="W8" i="69"/>
  <c r="V11" i="69"/>
  <c r="W9" i="69"/>
  <c r="V9" i="69"/>
  <c r="V7" i="69"/>
  <c r="W7" i="69"/>
  <c r="W14" i="69"/>
  <c r="V14" i="69"/>
  <c r="J21" i="69"/>
  <c r="V12" i="69"/>
  <c r="V13" i="69"/>
  <c r="V6" i="69"/>
  <c r="V15" i="69"/>
  <c r="V16" i="69"/>
  <c r="V17" i="69"/>
  <c r="V18" i="69"/>
  <c r="V19" i="69"/>
  <c r="W6" i="69"/>
  <c r="H14" i="68"/>
  <c r="Q4" i="70" l="1"/>
  <c r="W20" i="69"/>
  <c r="P4" i="69" s="1"/>
  <c r="V20" i="69"/>
  <c r="O4" i="69" s="1"/>
  <c r="H12" i="68"/>
  <c r="J12" i="68" s="1"/>
  <c r="W12" i="68" s="1"/>
  <c r="H9" i="68"/>
  <c r="H7" i="68"/>
  <c r="J7" i="68" s="1"/>
  <c r="W7" i="68" s="1"/>
  <c r="H6" i="68"/>
  <c r="J6" i="68" s="1"/>
  <c r="J19" i="68"/>
  <c r="W19" i="68" s="1"/>
  <c r="J18" i="68"/>
  <c r="W18" i="68" s="1"/>
  <c r="J17" i="68"/>
  <c r="W17" i="68" s="1"/>
  <c r="J16" i="68"/>
  <c r="W16" i="68" s="1"/>
  <c r="J15" i="68"/>
  <c r="W15" i="68" s="1"/>
  <c r="J14" i="68"/>
  <c r="W14" i="68" s="1"/>
  <c r="J13" i="68"/>
  <c r="W13" i="68" s="1"/>
  <c r="J11" i="68"/>
  <c r="W11" i="68" s="1"/>
  <c r="J10" i="68"/>
  <c r="J9" i="68"/>
  <c r="W9" i="68" s="1"/>
  <c r="J8" i="68"/>
  <c r="W8" i="68" s="1"/>
  <c r="B7" i="68"/>
  <c r="B8" i="68" s="1"/>
  <c r="B9" i="68" s="1"/>
  <c r="B10" i="68" s="1"/>
  <c r="B11" i="68" s="1"/>
  <c r="B12" i="68" s="1"/>
  <c r="B13" i="68" s="1"/>
  <c r="B14" i="68" s="1"/>
  <c r="B15" i="68" s="1"/>
  <c r="B16" i="68" s="1"/>
  <c r="B17" i="68" s="1"/>
  <c r="B18" i="68" s="1"/>
  <c r="B19" i="68" s="1"/>
  <c r="B20" i="68" s="1"/>
  <c r="N4" i="68"/>
  <c r="R4" i="69" l="1"/>
  <c r="P6" i="69" s="1"/>
  <c r="Q4" i="69"/>
  <c r="J21" i="68"/>
  <c r="V6" i="68"/>
  <c r="W10" i="68"/>
  <c r="V10" i="68"/>
  <c r="V7" i="68"/>
  <c r="V8" i="68"/>
  <c r="V9" i="68"/>
  <c r="W6" i="68"/>
  <c r="V11" i="68"/>
  <c r="V12" i="68"/>
  <c r="V13" i="68"/>
  <c r="V14" i="68"/>
  <c r="V15" i="68"/>
  <c r="V16" i="68"/>
  <c r="V17" i="68"/>
  <c r="V18" i="68"/>
  <c r="V19" i="68"/>
  <c r="H10" i="67"/>
  <c r="W20" i="68" l="1"/>
  <c r="P4" i="68" s="1"/>
  <c r="V20" i="68"/>
  <c r="O4" i="68" s="1"/>
  <c r="R4" i="68" s="1"/>
  <c r="P6" i="68" s="1"/>
  <c r="J19" i="67"/>
  <c r="W19" i="67" s="1"/>
  <c r="J18" i="67"/>
  <c r="W18" i="67" s="1"/>
  <c r="J17" i="67"/>
  <c r="W17" i="67" s="1"/>
  <c r="J16" i="67"/>
  <c r="W16" i="67" s="1"/>
  <c r="J15" i="67"/>
  <c r="W15" i="67" s="1"/>
  <c r="J14" i="67"/>
  <c r="W14" i="67" s="1"/>
  <c r="J13" i="67"/>
  <c r="W13" i="67" s="1"/>
  <c r="J12" i="67"/>
  <c r="W12" i="67" s="1"/>
  <c r="J11" i="67"/>
  <c r="W11" i="67" s="1"/>
  <c r="J10" i="67"/>
  <c r="W10" i="67" s="1"/>
  <c r="J9" i="67"/>
  <c r="W9" i="67" s="1"/>
  <c r="J8" i="67"/>
  <c r="W8" i="67" s="1"/>
  <c r="J7" i="67"/>
  <c r="B7" i="67"/>
  <c r="B8" i="67" s="1"/>
  <c r="B9" i="67" s="1"/>
  <c r="B10" i="67" s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J6" i="67"/>
  <c r="V6" i="67" s="1"/>
  <c r="N4" i="67"/>
  <c r="J19" i="66"/>
  <c r="W19" i="66" s="1"/>
  <c r="J18" i="66"/>
  <c r="V18" i="66" s="1"/>
  <c r="V17" i="66"/>
  <c r="J17" i="66"/>
  <c r="W17" i="66" s="1"/>
  <c r="W16" i="66"/>
  <c r="J16" i="66"/>
  <c r="V16" i="66" s="1"/>
  <c r="W15" i="66"/>
  <c r="J15" i="66"/>
  <c r="V15" i="66" s="1"/>
  <c r="J14" i="66"/>
  <c r="W14" i="66" s="1"/>
  <c r="J13" i="66"/>
  <c r="V13" i="66" s="1"/>
  <c r="J12" i="66"/>
  <c r="V12" i="66" s="1"/>
  <c r="J11" i="66"/>
  <c r="V11" i="66" s="1"/>
  <c r="J10" i="66"/>
  <c r="W10" i="66" s="1"/>
  <c r="J9" i="66"/>
  <c r="V9" i="66" s="1"/>
  <c r="W8" i="66"/>
  <c r="J8" i="66"/>
  <c r="V8" i="66" s="1"/>
  <c r="J7" i="66"/>
  <c r="V7" i="66" s="1"/>
  <c r="B7" i="66"/>
  <c r="B8" i="66" s="1"/>
  <c r="B9" i="66" s="1"/>
  <c r="B10" i="66" s="1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J6" i="66"/>
  <c r="V6" i="66" s="1"/>
  <c r="N4" i="66"/>
  <c r="W19" i="65"/>
  <c r="J19" i="65"/>
  <c r="V19" i="65" s="1"/>
  <c r="J18" i="65"/>
  <c r="W18" i="65" s="1"/>
  <c r="J17" i="65"/>
  <c r="W17" i="65" s="1"/>
  <c r="V16" i="65"/>
  <c r="J16" i="65"/>
  <c r="W16" i="65" s="1"/>
  <c r="W15" i="65"/>
  <c r="J15" i="65"/>
  <c r="V15" i="65" s="1"/>
  <c r="J14" i="65"/>
  <c r="W14" i="65" s="1"/>
  <c r="J13" i="65"/>
  <c r="V13" i="65" s="1"/>
  <c r="J12" i="65"/>
  <c r="V12" i="65" s="1"/>
  <c r="J11" i="65"/>
  <c r="V11" i="65" s="1"/>
  <c r="W10" i="65"/>
  <c r="J10" i="65"/>
  <c r="V10" i="65" s="1"/>
  <c r="J9" i="65"/>
  <c r="W9" i="65" s="1"/>
  <c r="J8" i="65"/>
  <c r="V8" i="65" s="1"/>
  <c r="J7" i="65"/>
  <c r="W7" i="65" s="1"/>
  <c r="B7" i="65"/>
  <c r="B8" i="65" s="1"/>
  <c r="B9" i="65" s="1"/>
  <c r="B10" i="65" s="1"/>
  <c r="B11" i="65" s="1"/>
  <c r="B12" i="65" s="1"/>
  <c r="B13" i="65" s="1"/>
  <c r="B14" i="65" s="1"/>
  <c r="B15" i="65" s="1"/>
  <c r="B16" i="65" s="1"/>
  <c r="B17" i="65" s="1"/>
  <c r="B18" i="65" s="1"/>
  <c r="B19" i="65" s="1"/>
  <c r="B20" i="65" s="1"/>
  <c r="J6" i="65"/>
  <c r="W6" i="65" s="1"/>
  <c r="N4" i="65"/>
  <c r="J19" i="64"/>
  <c r="W19" i="64" s="1"/>
  <c r="J18" i="64"/>
  <c r="W18" i="64" s="1"/>
  <c r="J17" i="64"/>
  <c r="V17" i="64" s="1"/>
  <c r="W16" i="64"/>
  <c r="V16" i="64"/>
  <c r="J16" i="64"/>
  <c r="J15" i="64"/>
  <c r="W15" i="64" s="1"/>
  <c r="J14" i="64"/>
  <c r="W14" i="64" s="1"/>
  <c r="J13" i="64"/>
  <c r="V13" i="64" s="1"/>
  <c r="W12" i="64"/>
  <c r="V12" i="64"/>
  <c r="J12" i="64"/>
  <c r="J11" i="64"/>
  <c r="W11" i="64" s="1"/>
  <c r="J10" i="64"/>
  <c r="W10" i="64" s="1"/>
  <c r="J9" i="64"/>
  <c r="V9" i="64" s="1"/>
  <c r="J8" i="64"/>
  <c r="V8" i="64" s="1"/>
  <c r="J7" i="64"/>
  <c r="V7" i="64" s="1"/>
  <c r="B7" i="64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B20" i="64" s="1"/>
  <c r="J6" i="64"/>
  <c r="V6" i="64" s="1"/>
  <c r="N4" i="64"/>
  <c r="J19" i="63"/>
  <c r="W19" i="63" s="1"/>
  <c r="V18" i="63"/>
  <c r="J18" i="63"/>
  <c r="W18" i="63" s="1"/>
  <c r="J17" i="63"/>
  <c r="V17" i="63" s="1"/>
  <c r="W16" i="63"/>
  <c r="J16" i="63"/>
  <c r="V16" i="63" s="1"/>
  <c r="J15" i="63"/>
  <c r="W15" i="63" s="1"/>
  <c r="V14" i="63"/>
  <c r="J14" i="63"/>
  <c r="W14" i="63" s="1"/>
  <c r="J13" i="63"/>
  <c r="V13" i="63" s="1"/>
  <c r="J12" i="63"/>
  <c r="W12" i="63" s="1"/>
  <c r="W11" i="63"/>
  <c r="J11" i="63"/>
  <c r="V11" i="63" s="1"/>
  <c r="W10" i="63"/>
  <c r="V10" i="63"/>
  <c r="J10" i="63"/>
  <c r="J9" i="63"/>
  <c r="W9" i="63" s="1"/>
  <c r="J8" i="63"/>
  <c r="V8" i="63" s="1"/>
  <c r="J7" i="63"/>
  <c r="V7" i="63" s="1"/>
  <c r="B7" i="63"/>
  <c r="B8" i="63" s="1"/>
  <c r="B9" i="63" s="1"/>
  <c r="B10" i="63" s="1"/>
  <c r="B11" i="63" s="1"/>
  <c r="B12" i="63" s="1"/>
  <c r="B13" i="63" s="1"/>
  <c r="B14" i="63" s="1"/>
  <c r="B15" i="63" s="1"/>
  <c r="B16" i="63" s="1"/>
  <c r="B17" i="63" s="1"/>
  <c r="B18" i="63" s="1"/>
  <c r="B19" i="63" s="1"/>
  <c r="B20" i="63" s="1"/>
  <c r="J6" i="63"/>
  <c r="V6" i="63" s="1"/>
  <c r="N4" i="63"/>
  <c r="V14" i="64" l="1"/>
  <c r="V18" i="64"/>
  <c r="V18" i="65"/>
  <c r="W18" i="66"/>
  <c r="V15" i="67"/>
  <c r="V17" i="67"/>
  <c r="V19" i="67"/>
  <c r="W6" i="63"/>
  <c r="W13" i="63"/>
  <c r="W17" i="63"/>
  <c r="W7" i="64"/>
  <c r="W13" i="64"/>
  <c r="W17" i="64"/>
  <c r="V19" i="66"/>
  <c r="V14" i="67"/>
  <c r="V16" i="67"/>
  <c r="V18" i="67"/>
  <c r="Q4" i="68"/>
  <c r="V13" i="67"/>
  <c r="W6" i="67"/>
  <c r="V8" i="67"/>
  <c r="V10" i="67"/>
  <c r="V12" i="67"/>
  <c r="J21" i="67"/>
  <c r="V7" i="67"/>
  <c r="V9" i="67"/>
  <c r="V11" i="67"/>
  <c r="W7" i="67"/>
  <c r="V15" i="63"/>
  <c r="V19" i="63"/>
  <c r="V11" i="64"/>
  <c r="V15" i="64"/>
  <c r="V19" i="64"/>
  <c r="V17" i="65"/>
  <c r="V10" i="66"/>
  <c r="W12" i="66"/>
  <c r="W11" i="66"/>
  <c r="W7" i="66"/>
  <c r="W6" i="66"/>
  <c r="V14" i="66"/>
  <c r="V20" i="66" s="1"/>
  <c r="O4" i="66" s="1"/>
  <c r="J21" i="66"/>
  <c r="W9" i="66"/>
  <c r="W13" i="66"/>
  <c r="V14" i="65"/>
  <c r="W13" i="65"/>
  <c r="W11" i="65"/>
  <c r="V9" i="65"/>
  <c r="V7" i="65"/>
  <c r="V6" i="65"/>
  <c r="J21" i="65"/>
  <c r="W12" i="65"/>
  <c r="W8" i="65"/>
  <c r="V10" i="64"/>
  <c r="W8" i="64"/>
  <c r="W6" i="64"/>
  <c r="J21" i="64"/>
  <c r="W9" i="64"/>
  <c r="V9" i="63"/>
  <c r="V12" i="63"/>
  <c r="W7" i="63"/>
  <c r="J21" i="63"/>
  <c r="W8" i="63"/>
  <c r="W20" i="67" l="1"/>
  <c r="P4" i="67" s="1"/>
  <c r="V20" i="67"/>
  <c r="O4" i="67" s="1"/>
  <c r="R4" i="67" s="1"/>
  <c r="P6" i="67" s="1"/>
  <c r="V20" i="64"/>
  <c r="O4" i="64" s="1"/>
  <c r="R4" i="64" s="1"/>
  <c r="P6" i="64" s="1"/>
  <c r="W20" i="66"/>
  <c r="P4" i="66" s="1"/>
  <c r="Q4" i="66" s="1"/>
  <c r="R4" i="66"/>
  <c r="P6" i="66" s="1"/>
  <c r="W20" i="65"/>
  <c r="P4" i="65" s="1"/>
  <c r="V20" i="65"/>
  <c r="O4" i="65" s="1"/>
  <c r="R4" i="65" s="1"/>
  <c r="P6" i="65" s="1"/>
  <c r="W20" i="64"/>
  <c r="P4" i="64" s="1"/>
  <c r="V20" i="63"/>
  <c r="O4" i="63" s="1"/>
  <c r="R4" i="63" s="1"/>
  <c r="P6" i="63" s="1"/>
  <c r="W20" i="63"/>
  <c r="P4" i="63" s="1"/>
  <c r="Q4" i="67" l="1"/>
  <c r="Q4" i="64"/>
  <c r="Q4" i="65"/>
  <c r="Q4" i="63"/>
  <c r="W19" i="62"/>
  <c r="V19" i="62"/>
  <c r="J19" i="62"/>
  <c r="J18" i="62"/>
  <c r="V18" i="62" s="1"/>
  <c r="J17" i="62"/>
  <c r="W17" i="62" s="1"/>
  <c r="J16" i="62"/>
  <c r="W16" i="62" s="1"/>
  <c r="W15" i="62"/>
  <c r="V15" i="62"/>
  <c r="J15" i="62"/>
  <c r="J14" i="62"/>
  <c r="V14" i="62" s="1"/>
  <c r="J13" i="62"/>
  <c r="W13" i="62" s="1"/>
  <c r="J12" i="62"/>
  <c r="W12" i="62" s="1"/>
  <c r="W11" i="62"/>
  <c r="V11" i="62"/>
  <c r="J11" i="62"/>
  <c r="J10" i="62"/>
  <c r="V10" i="62" s="1"/>
  <c r="J9" i="62"/>
  <c r="W9" i="62" s="1"/>
  <c r="J8" i="62"/>
  <c r="V8" i="62" s="1"/>
  <c r="J7" i="62"/>
  <c r="V7" i="62" s="1"/>
  <c r="B7" i="62"/>
  <c r="B8" i="62" s="1"/>
  <c r="B9" i="62" s="1"/>
  <c r="B10" i="62" s="1"/>
  <c r="B11" i="62" s="1"/>
  <c r="B12" i="62" s="1"/>
  <c r="B13" i="62" s="1"/>
  <c r="B14" i="62" s="1"/>
  <c r="B15" i="62" s="1"/>
  <c r="B16" i="62" s="1"/>
  <c r="B17" i="62" s="1"/>
  <c r="B18" i="62" s="1"/>
  <c r="B19" i="62" s="1"/>
  <c r="B20" i="62" s="1"/>
  <c r="J6" i="62"/>
  <c r="V6" i="62" s="1"/>
  <c r="N4" i="62"/>
  <c r="J19" i="61"/>
  <c r="W19" i="61" s="1"/>
  <c r="J18" i="61"/>
  <c r="W18" i="61" s="1"/>
  <c r="J17" i="61"/>
  <c r="V17" i="61" s="1"/>
  <c r="W16" i="61"/>
  <c r="J16" i="61"/>
  <c r="V16" i="61" s="1"/>
  <c r="J15" i="61"/>
  <c r="W15" i="61" s="1"/>
  <c r="J14" i="61"/>
  <c r="W14" i="61" s="1"/>
  <c r="J13" i="61"/>
  <c r="W13" i="61" s="1"/>
  <c r="J12" i="61"/>
  <c r="V12" i="61" s="1"/>
  <c r="W11" i="61"/>
  <c r="J11" i="61"/>
  <c r="V11" i="61" s="1"/>
  <c r="J10" i="61"/>
  <c r="W10" i="61" s="1"/>
  <c r="J9" i="61"/>
  <c r="W9" i="61" s="1"/>
  <c r="J8" i="61"/>
  <c r="V8" i="61" s="1"/>
  <c r="J7" i="61"/>
  <c r="V7" i="61" s="1"/>
  <c r="B7" i="61"/>
  <c r="B8" i="61" s="1"/>
  <c r="B9" i="61" s="1"/>
  <c r="B10" i="61" s="1"/>
  <c r="B11" i="61" s="1"/>
  <c r="B12" i="61" s="1"/>
  <c r="B13" i="61" s="1"/>
  <c r="B14" i="61" s="1"/>
  <c r="B15" i="61" s="1"/>
  <c r="B16" i="61" s="1"/>
  <c r="B17" i="61" s="1"/>
  <c r="B18" i="61" s="1"/>
  <c r="B19" i="61" s="1"/>
  <c r="B20" i="61" s="1"/>
  <c r="J6" i="61"/>
  <c r="V6" i="61" s="1"/>
  <c r="N4" i="61"/>
  <c r="J19" i="60"/>
  <c r="W19" i="60" s="1"/>
  <c r="J18" i="60"/>
  <c r="W18" i="60" s="1"/>
  <c r="J17" i="60"/>
  <c r="W17" i="60" s="1"/>
  <c r="W16" i="60"/>
  <c r="J16" i="60"/>
  <c r="V16" i="60" s="1"/>
  <c r="J15" i="60"/>
  <c r="W15" i="60" s="1"/>
  <c r="J14" i="60"/>
  <c r="W14" i="60" s="1"/>
  <c r="J13" i="60"/>
  <c r="W13" i="60" s="1"/>
  <c r="J12" i="60"/>
  <c r="V12" i="60" s="1"/>
  <c r="J11" i="60"/>
  <c r="V11" i="60" s="1"/>
  <c r="V10" i="60"/>
  <c r="J10" i="60"/>
  <c r="W10" i="60" s="1"/>
  <c r="J9" i="60"/>
  <c r="W9" i="60" s="1"/>
  <c r="J8" i="60"/>
  <c r="V8" i="60" s="1"/>
  <c r="J7" i="60"/>
  <c r="V7" i="60" s="1"/>
  <c r="B7" i="60"/>
  <c r="B8" i="60" s="1"/>
  <c r="B9" i="60" s="1"/>
  <c r="B10" i="60" s="1"/>
  <c r="B11" i="60" s="1"/>
  <c r="B12" i="60" s="1"/>
  <c r="B13" i="60" s="1"/>
  <c r="B14" i="60" s="1"/>
  <c r="B15" i="60" s="1"/>
  <c r="B16" i="60" s="1"/>
  <c r="B17" i="60" s="1"/>
  <c r="B18" i="60" s="1"/>
  <c r="B19" i="60" s="1"/>
  <c r="B20" i="60" s="1"/>
  <c r="J6" i="60"/>
  <c r="V6" i="60" s="1"/>
  <c r="N4" i="60"/>
  <c r="V19" i="59"/>
  <c r="J19" i="59"/>
  <c r="W19" i="59" s="1"/>
  <c r="V18" i="59"/>
  <c r="J18" i="59"/>
  <c r="W18" i="59" s="1"/>
  <c r="V17" i="59"/>
  <c r="J17" i="59"/>
  <c r="W17" i="59" s="1"/>
  <c r="J16" i="59"/>
  <c r="V16" i="59" s="1"/>
  <c r="J15" i="59"/>
  <c r="V15" i="59" s="1"/>
  <c r="V14" i="59"/>
  <c r="J14" i="59"/>
  <c r="W14" i="59" s="1"/>
  <c r="J13" i="59"/>
  <c r="W13" i="59" s="1"/>
  <c r="J12" i="59"/>
  <c r="V12" i="59" s="1"/>
  <c r="J11" i="59"/>
  <c r="V11" i="59" s="1"/>
  <c r="J10" i="59"/>
  <c r="W10" i="59" s="1"/>
  <c r="J9" i="59"/>
  <c r="W9" i="59" s="1"/>
  <c r="J8" i="59"/>
  <c r="V8" i="59" s="1"/>
  <c r="J7" i="59"/>
  <c r="W7" i="59" s="1"/>
  <c r="B7" i="59"/>
  <c r="B8" i="59" s="1"/>
  <c r="B9" i="59" s="1"/>
  <c r="B10" i="59" s="1"/>
  <c r="B11" i="59" s="1"/>
  <c r="B12" i="59" s="1"/>
  <c r="B13" i="59" s="1"/>
  <c r="B14" i="59" s="1"/>
  <c r="B15" i="59" s="1"/>
  <c r="B16" i="59" s="1"/>
  <c r="B17" i="59" s="1"/>
  <c r="B18" i="59" s="1"/>
  <c r="B19" i="59" s="1"/>
  <c r="B20" i="59" s="1"/>
  <c r="J6" i="59"/>
  <c r="W6" i="59" s="1"/>
  <c r="N4" i="59"/>
  <c r="J19" i="58"/>
  <c r="V19" i="58" s="1"/>
  <c r="J18" i="58"/>
  <c r="W18" i="58" s="1"/>
  <c r="V17" i="58"/>
  <c r="J17" i="58"/>
  <c r="W17" i="58" s="1"/>
  <c r="J16" i="58"/>
  <c r="W16" i="58" s="1"/>
  <c r="J15" i="58"/>
  <c r="W15" i="58" s="1"/>
  <c r="J14" i="58"/>
  <c r="V14" i="58" s="1"/>
  <c r="J13" i="58"/>
  <c r="W13" i="58" s="1"/>
  <c r="V12" i="58"/>
  <c r="J12" i="58"/>
  <c r="W12" i="58" s="1"/>
  <c r="J11" i="58"/>
  <c r="V11" i="58" s="1"/>
  <c r="J10" i="58"/>
  <c r="V10" i="58" s="1"/>
  <c r="J9" i="58"/>
  <c r="W9" i="58" s="1"/>
  <c r="J8" i="58"/>
  <c r="W8" i="58" s="1"/>
  <c r="J7" i="58"/>
  <c r="V7" i="58" s="1"/>
  <c r="B7" i="58"/>
  <c r="B8" i="58" s="1"/>
  <c r="B9" i="58" s="1"/>
  <c r="B10" i="58" s="1"/>
  <c r="B11" i="58" s="1"/>
  <c r="B12" i="58" s="1"/>
  <c r="B13" i="58" s="1"/>
  <c r="B14" i="58" s="1"/>
  <c r="B15" i="58" s="1"/>
  <c r="B16" i="58" s="1"/>
  <c r="B17" i="58" s="1"/>
  <c r="B18" i="58" s="1"/>
  <c r="B19" i="58" s="1"/>
  <c r="B20" i="58" s="1"/>
  <c r="J6" i="58"/>
  <c r="W6" i="58" s="1"/>
  <c r="N4" i="58"/>
  <c r="W19" i="57"/>
  <c r="V19" i="57"/>
  <c r="W18" i="57"/>
  <c r="V18" i="57"/>
  <c r="J17" i="57"/>
  <c r="V17" i="57" s="1"/>
  <c r="J16" i="57"/>
  <c r="V16" i="57" s="1"/>
  <c r="J15" i="57"/>
  <c r="V15" i="57" s="1"/>
  <c r="J14" i="57"/>
  <c r="V14" i="57" s="1"/>
  <c r="J13" i="57"/>
  <c r="V13" i="57" s="1"/>
  <c r="J12" i="57"/>
  <c r="V12" i="57" s="1"/>
  <c r="J11" i="57"/>
  <c r="V11" i="57" s="1"/>
  <c r="J10" i="57"/>
  <c r="V10" i="57" s="1"/>
  <c r="J9" i="57"/>
  <c r="V9" i="57" s="1"/>
  <c r="J8" i="57"/>
  <c r="V8" i="57" s="1"/>
  <c r="J7" i="57"/>
  <c r="V7" i="57" s="1"/>
  <c r="B7" i="57"/>
  <c r="B8" i="57" s="1"/>
  <c r="B9" i="57" s="1"/>
  <c r="B10" i="57" s="1"/>
  <c r="B11" i="57" s="1"/>
  <c r="B12" i="57" s="1"/>
  <c r="B13" i="57" s="1"/>
  <c r="B14" i="57" s="1"/>
  <c r="B15" i="57" s="1"/>
  <c r="B16" i="57" s="1"/>
  <c r="B17" i="57" s="1"/>
  <c r="B18" i="57" s="1"/>
  <c r="B19" i="57" s="1"/>
  <c r="B20" i="57" s="1"/>
  <c r="J6" i="57"/>
  <c r="V6" i="57" s="1"/>
  <c r="N4" i="57"/>
  <c r="W19" i="56"/>
  <c r="V19" i="56"/>
  <c r="W18" i="56"/>
  <c r="V18" i="56"/>
  <c r="J17" i="56"/>
  <c r="V17" i="56" s="1"/>
  <c r="J16" i="56"/>
  <c r="V16" i="56" s="1"/>
  <c r="J15" i="56"/>
  <c r="V15" i="56" s="1"/>
  <c r="J14" i="56"/>
  <c r="V14" i="56" s="1"/>
  <c r="J13" i="56"/>
  <c r="V13" i="56" s="1"/>
  <c r="J12" i="56"/>
  <c r="V12" i="56" s="1"/>
  <c r="J11" i="56"/>
  <c r="V11" i="56" s="1"/>
  <c r="J10" i="56"/>
  <c r="V10" i="56" s="1"/>
  <c r="J9" i="56"/>
  <c r="V9" i="56" s="1"/>
  <c r="J8" i="56"/>
  <c r="V8" i="56" s="1"/>
  <c r="J7" i="56"/>
  <c r="V7" i="56" s="1"/>
  <c r="B7" i="56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J6" i="56"/>
  <c r="V6" i="56" s="1"/>
  <c r="N4" i="56"/>
  <c r="W19" i="55"/>
  <c r="V19" i="55"/>
  <c r="W18" i="55"/>
  <c r="V18" i="55"/>
  <c r="J17" i="55"/>
  <c r="V17" i="55" s="1"/>
  <c r="J16" i="55"/>
  <c r="V16" i="55" s="1"/>
  <c r="J15" i="55"/>
  <c r="V15" i="55" s="1"/>
  <c r="J14" i="55"/>
  <c r="V14" i="55" s="1"/>
  <c r="J13" i="55"/>
  <c r="V13" i="55" s="1"/>
  <c r="J12" i="55"/>
  <c r="V12" i="55" s="1"/>
  <c r="J11" i="55"/>
  <c r="V11" i="55" s="1"/>
  <c r="J10" i="55"/>
  <c r="V10" i="55" s="1"/>
  <c r="J9" i="55"/>
  <c r="V9" i="55" s="1"/>
  <c r="J8" i="55"/>
  <c r="V8" i="55" s="1"/>
  <c r="J7" i="55"/>
  <c r="V7" i="55" s="1"/>
  <c r="B7" i="55"/>
  <c r="B8" i="55" s="1"/>
  <c r="B9" i="55" s="1"/>
  <c r="B10" i="55" s="1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J6" i="55"/>
  <c r="W6" i="55" s="1"/>
  <c r="N4" i="55"/>
  <c r="W19" i="54"/>
  <c r="V19" i="54"/>
  <c r="W18" i="54"/>
  <c r="V18" i="54"/>
  <c r="J17" i="54"/>
  <c r="V17" i="54" s="1"/>
  <c r="J16" i="54"/>
  <c r="V16" i="54" s="1"/>
  <c r="J15" i="54"/>
  <c r="V15" i="54" s="1"/>
  <c r="J14" i="54"/>
  <c r="V14" i="54" s="1"/>
  <c r="J13" i="54"/>
  <c r="V13" i="54" s="1"/>
  <c r="J12" i="54"/>
  <c r="V12" i="54" s="1"/>
  <c r="J11" i="54"/>
  <c r="V11" i="54" s="1"/>
  <c r="J10" i="54"/>
  <c r="V10" i="54" s="1"/>
  <c r="J9" i="54"/>
  <c r="V9" i="54" s="1"/>
  <c r="J8" i="54"/>
  <c r="V8" i="54" s="1"/>
  <c r="J7" i="54"/>
  <c r="V7" i="54" s="1"/>
  <c r="B7" i="54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J6" i="54"/>
  <c r="V6" i="54" s="1"/>
  <c r="N4" i="54"/>
  <c r="W19" i="53"/>
  <c r="V19" i="53"/>
  <c r="W18" i="53"/>
  <c r="V18" i="53"/>
  <c r="J17" i="53"/>
  <c r="V17" i="53" s="1"/>
  <c r="J16" i="53"/>
  <c r="V16" i="53" s="1"/>
  <c r="J15" i="53"/>
  <c r="V15" i="53" s="1"/>
  <c r="J14" i="53"/>
  <c r="V14" i="53" s="1"/>
  <c r="J13" i="53"/>
  <c r="V13" i="53" s="1"/>
  <c r="J12" i="53"/>
  <c r="V12" i="53" s="1"/>
  <c r="J11" i="53"/>
  <c r="V11" i="53" s="1"/>
  <c r="J10" i="53"/>
  <c r="V10" i="53" s="1"/>
  <c r="J9" i="53"/>
  <c r="V9" i="53" s="1"/>
  <c r="J8" i="53"/>
  <c r="V8" i="53" s="1"/>
  <c r="J7" i="53"/>
  <c r="V7" i="53" s="1"/>
  <c r="B7" i="53"/>
  <c r="B8" i="53" s="1"/>
  <c r="B9" i="53" s="1"/>
  <c r="B10" i="53" s="1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J6" i="53"/>
  <c r="V6" i="53" s="1"/>
  <c r="N4" i="53"/>
  <c r="W19" i="52"/>
  <c r="V19" i="52"/>
  <c r="W18" i="52"/>
  <c r="V18" i="52"/>
  <c r="J17" i="52"/>
  <c r="V17" i="52" s="1"/>
  <c r="J16" i="52"/>
  <c r="V16" i="52" s="1"/>
  <c r="J15" i="52"/>
  <c r="V15" i="52" s="1"/>
  <c r="J14" i="52"/>
  <c r="V14" i="52" s="1"/>
  <c r="J13" i="52"/>
  <c r="V13" i="52" s="1"/>
  <c r="J12" i="52"/>
  <c r="V12" i="52" s="1"/>
  <c r="J11" i="52"/>
  <c r="V11" i="52" s="1"/>
  <c r="J10" i="52"/>
  <c r="V10" i="52" s="1"/>
  <c r="J9" i="52"/>
  <c r="V9" i="52" s="1"/>
  <c r="J8" i="52"/>
  <c r="V8" i="52" s="1"/>
  <c r="J7" i="52"/>
  <c r="V7" i="52" s="1"/>
  <c r="B7" i="52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J6" i="52"/>
  <c r="V6" i="52" s="1"/>
  <c r="N4" i="52"/>
  <c r="W19" i="51"/>
  <c r="V19" i="51"/>
  <c r="W18" i="51"/>
  <c r="V18" i="51"/>
  <c r="J17" i="51"/>
  <c r="V17" i="51" s="1"/>
  <c r="J16" i="51"/>
  <c r="V16" i="51" s="1"/>
  <c r="J15" i="51"/>
  <c r="V15" i="51" s="1"/>
  <c r="J14" i="51"/>
  <c r="V14" i="51" s="1"/>
  <c r="J13" i="51"/>
  <c r="V13" i="51" s="1"/>
  <c r="J12" i="51"/>
  <c r="V12" i="51" s="1"/>
  <c r="J11" i="51"/>
  <c r="V11" i="51" s="1"/>
  <c r="J10" i="51"/>
  <c r="V10" i="51" s="1"/>
  <c r="J9" i="51"/>
  <c r="V9" i="51" s="1"/>
  <c r="J8" i="51"/>
  <c r="V8" i="51" s="1"/>
  <c r="J7" i="51"/>
  <c r="V7" i="51" s="1"/>
  <c r="B7" i="51"/>
  <c r="B8" i="51" s="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J6" i="51"/>
  <c r="V6" i="51" s="1"/>
  <c r="N4" i="51"/>
  <c r="J17" i="50"/>
  <c r="W17" i="50" s="1"/>
  <c r="J16" i="50"/>
  <c r="V16" i="50" s="1"/>
  <c r="J15" i="50"/>
  <c r="V15" i="50" s="1"/>
  <c r="W19" i="50"/>
  <c r="V19" i="50"/>
  <c r="W18" i="50"/>
  <c r="V18" i="50"/>
  <c r="W15" i="50"/>
  <c r="J14" i="50"/>
  <c r="W14" i="50" s="1"/>
  <c r="J13" i="50"/>
  <c r="W13" i="50" s="1"/>
  <c r="J12" i="50"/>
  <c r="W12" i="50" s="1"/>
  <c r="J11" i="50"/>
  <c r="W11" i="50" s="1"/>
  <c r="J10" i="50"/>
  <c r="W10" i="50" s="1"/>
  <c r="J9" i="50"/>
  <c r="W9" i="50" s="1"/>
  <c r="J8" i="50"/>
  <c r="W8" i="50" s="1"/>
  <c r="J7" i="50"/>
  <c r="W7" i="50" s="1"/>
  <c r="B7" i="50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J6" i="50"/>
  <c r="W6" i="50" s="1"/>
  <c r="N4" i="50"/>
  <c r="W19" i="49"/>
  <c r="V19" i="49"/>
  <c r="W18" i="49"/>
  <c r="V18" i="49"/>
  <c r="W17" i="49"/>
  <c r="V17" i="49"/>
  <c r="W16" i="49"/>
  <c r="V16" i="49"/>
  <c r="W15" i="49"/>
  <c r="V15" i="49"/>
  <c r="V14" i="49"/>
  <c r="J14" i="49"/>
  <c r="W14" i="49" s="1"/>
  <c r="J13" i="49"/>
  <c r="W13" i="49" s="1"/>
  <c r="V12" i="49"/>
  <c r="J12" i="49"/>
  <c r="W12" i="49" s="1"/>
  <c r="J11" i="49"/>
  <c r="W11" i="49" s="1"/>
  <c r="J10" i="49"/>
  <c r="W10" i="49" s="1"/>
  <c r="J9" i="49"/>
  <c r="W9" i="49" s="1"/>
  <c r="J8" i="49"/>
  <c r="W8" i="49" s="1"/>
  <c r="J7" i="49"/>
  <c r="W7" i="49" s="1"/>
  <c r="B7" i="49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J6" i="49"/>
  <c r="W6" i="49" s="1"/>
  <c r="N4" i="49"/>
  <c r="W19" i="48"/>
  <c r="V19" i="48"/>
  <c r="W18" i="48"/>
  <c r="V18" i="48"/>
  <c r="W17" i="48"/>
  <c r="V17" i="48"/>
  <c r="W16" i="48"/>
  <c r="V16" i="48"/>
  <c r="W15" i="48"/>
  <c r="V15" i="48"/>
  <c r="J14" i="48"/>
  <c r="W14" i="48" s="1"/>
  <c r="J13" i="48"/>
  <c r="W13" i="48" s="1"/>
  <c r="J12" i="48"/>
  <c r="W12" i="48" s="1"/>
  <c r="J11" i="48"/>
  <c r="W11" i="48" s="1"/>
  <c r="J10" i="48"/>
  <c r="W10" i="48" s="1"/>
  <c r="J9" i="48"/>
  <c r="W9" i="48" s="1"/>
  <c r="J8" i="48"/>
  <c r="W8" i="48" s="1"/>
  <c r="J7" i="48"/>
  <c r="W7" i="48" s="1"/>
  <c r="B7" i="48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J6" i="48"/>
  <c r="W6" i="48" s="1"/>
  <c r="N4" i="48"/>
  <c r="W19" i="47"/>
  <c r="V19" i="47"/>
  <c r="W18" i="47"/>
  <c r="V18" i="47"/>
  <c r="W17" i="47"/>
  <c r="V17" i="47"/>
  <c r="W16" i="47"/>
  <c r="V16" i="47"/>
  <c r="W15" i="47"/>
  <c r="V15" i="47"/>
  <c r="J14" i="47"/>
  <c r="W14" i="47" s="1"/>
  <c r="J13" i="47"/>
  <c r="W13" i="47" s="1"/>
  <c r="J12" i="47"/>
  <c r="W12" i="47" s="1"/>
  <c r="J11" i="47"/>
  <c r="W11" i="47" s="1"/>
  <c r="J10" i="47"/>
  <c r="W10" i="47" s="1"/>
  <c r="J9" i="47"/>
  <c r="W9" i="47" s="1"/>
  <c r="J8" i="47"/>
  <c r="W8" i="47" s="1"/>
  <c r="J7" i="47"/>
  <c r="W7" i="47" s="1"/>
  <c r="B7" i="47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J6" i="47"/>
  <c r="W6" i="47" s="1"/>
  <c r="N4" i="47"/>
  <c r="W19" i="46"/>
  <c r="V19" i="46"/>
  <c r="W18" i="46"/>
  <c r="V18" i="46"/>
  <c r="W17" i="46"/>
  <c r="V17" i="46"/>
  <c r="W16" i="46"/>
  <c r="V16" i="46"/>
  <c r="W15" i="46"/>
  <c r="V15" i="46"/>
  <c r="J14" i="46"/>
  <c r="W14" i="46" s="1"/>
  <c r="J13" i="46"/>
  <c r="W13" i="46" s="1"/>
  <c r="J12" i="46"/>
  <c r="W12" i="46" s="1"/>
  <c r="J11" i="46"/>
  <c r="W11" i="46" s="1"/>
  <c r="J10" i="46"/>
  <c r="W10" i="46" s="1"/>
  <c r="J9" i="46"/>
  <c r="W9" i="46" s="1"/>
  <c r="J8" i="46"/>
  <c r="W8" i="46" s="1"/>
  <c r="J7" i="46"/>
  <c r="W7" i="46" s="1"/>
  <c r="B7" i="46"/>
  <c r="B8" i="46" s="1"/>
  <c r="B9" i="46" s="1"/>
  <c r="B10" i="46" s="1"/>
  <c r="B11" i="46" s="1"/>
  <c r="B12" i="46" s="1"/>
  <c r="B13" i="46" s="1"/>
  <c r="B14" i="46" s="1"/>
  <c r="B15" i="46" s="1"/>
  <c r="B16" i="46" s="1"/>
  <c r="B17" i="46" s="1"/>
  <c r="B18" i="46" s="1"/>
  <c r="B19" i="46" s="1"/>
  <c r="B20" i="46" s="1"/>
  <c r="J6" i="46"/>
  <c r="W6" i="46" s="1"/>
  <c r="N4" i="46"/>
  <c r="W19" i="45"/>
  <c r="V19" i="45"/>
  <c r="W18" i="45"/>
  <c r="V18" i="45"/>
  <c r="W17" i="45"/>
  <c r="V17" i="45"/>
  <c r="W16" i="45"/>
  <c r="V16" i="45"/>
  <c r="W15" i="45"/>
  <c r="V15" i="45"/>
  <c r="J14" i="45"/>
  <c r="W14" i="45" s="1"/>
  <c r="J13" i="45"/>
  <c r="W13" i="45" s="1"/>
  <c r="J12" i="45"/>
  <c r="W12" i="45" s="1"/>
  <c r="J11" i="45"/>
  <c r="W11" i="45" s="1"/>
  <c r="J10" i="45"/>
  <c r="W10" i="45" s="1"/>
  <c r="J9" i="45"/>
  <c r="W9" i="45" s="1"/>
  <c r="J8" i="45"/>
  <c r="W8" i="45" s="1"/>
  <c r="J7" i="45"/>
  <c r="W7" i="45" s="1"/>
  <c r="B7" i="45"/>
  <c r="B8" i="45" s="1"/>
  <c r="B9" i="45" s="1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J6" i="45"/>
  <c r="W6" i="45" s="1"/>
  <c r="N4" i="45"/>
  <c r="W19" i="44"/>
  <c r="V19" i="44"/>
  <c r="W18" i="44"/>
  <c r="V18" i="44"/>
  <c r="W17" i="44"/>
  <c r="V17" i="44"/>
  <c r="W16" i="44"/>
  <c r="V16" i="44"/>
  <c r="W15" i="44"/>
  <c r="V15" i="44"/>
  <c r="J14" i="44"/>
  <c r="W14" i="44" s="1"/>
  <c r="J13" i="44"/>
  <c r="W13" i="44" s="1"/>
  <c r="J12" i="44"/>
  <c r="W12" i="44" s="1"/>
  <c r="J11" i="44"/>
  <c r="W11" i="44" s="1"/>
  <c r="J10" i="44"/>
  <c r="W10" i="44" s="1"/>
  <c r="J9" i="44"/>
  <c r="W9" i="44" s="1"/>
  <c r="J8" i="44"/>
  <c r="W8" i="44" s="1"/>
  <c r="J7" i="44"/>
  <c r="W7" i="44" s="1"/>
  <c r="B7" i="44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J6" i="44"/>
  <c r="W6" i="44" s="1"/>
  <c r="N4" i="44"/>
  <c r="W19" i="43"/>
  <c r="V19" i="43"/>
  <c r="W18" i="43"/>
  <c r="V18" i="43"/>
  <c r="W17" i="43"/>
  <c r="V17" i="43"/>
  <c r="W16" i="43"/>
  <c r="V16" i="43"/>
  <c r="W15" i="43"/>
  <c r="V15" i="43"/>
  <c r="J14" i="43"/>
  <c r="W14" i="43" s="1"/>
  <c r="J13" i="43"/>
  <c r="W13" i="43" s="1"/>
  <c r="J12" i="43"/>
  <c r="W12" i="43" s="1"/>
  <c r="J11" i="43"/>
  <c r="W11" i="43" s="1"/>
  <c r="J10" i="43"/>
  <c r="W10" i="43" s="1"/>
  <c r="J9" i="43"/>
  <c r="W9" i="43" s="1"/>
  <c r="J8" i="43"/>
  <c r="W8" i="43" s="1"/>
  <c r="J7" i="43"/>
  <c r="W7" i="43" s="1"/>
  <c r="B7" i="43"/>
  <c r="B8" i="43" s="1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J6" i="43"/>
  <c r="W6" i="43" s="1"/>
  <c r="N4" i="43"/>
  <c r="W19" i="42"/>
  <c r="V19" i="42"/>
  <c r="W18" i="42"/>
  <c r="V18" i="42"/>
  <c r="W17" i="42"/>
  <c r="V17" i="42"/>
  <c r="W16" i="42"/>
  <c r="V16" i="42"/>
  <c r="W15" i="42"/>
  <c r="V15" i="42"/>
  <c r="J14" i="42"/>
  <c r="W14" i="42" s="1"/>
  <c r="J13" i="42"/>
  <c r="W13" i="42" s="1"/>
  <c r="J12" i="42"/>
  <c r="W12" i="42" s="1"/>
  <c r="J11" i="42"/>
  <c r="W11" i="42" s="1"/>
  <c r="J10" i="42"/>
  <c r="W10" i="42" s="1"/>
  <c r="J9" i="42"/>
  <c r="W9" i="42" s="1"/>
  <c r="J8" i="42"/>
  <c r="W8" i="42" s="1"/>
  <c r="J7" i="42"/>
  <c r="W7" i="42" s="1"/>
  <c r="B7" i="42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J6" i="42"/>
  <c r="W6" i="42" s="1"/>
  <c r="N4" i="42"/>
  <c r="W15" i="52" l="1"/>
  <c r="V9" i="60"/>
  <c r="V15" i="60"/>
  <c r="V17" i="60"/>
  <c r="V13" i="61"/>
  <c r="W17" i="61"/>
  <c r="W10" i="62"/>
  <c r="W14" i="62"/>
  <c r="W18" i="62"/>
  <c r="V8" i="44"/>
  <c r="V14" i="44"/>
  <c r="V13" i="49"/>
  <c r="V13" i="58"/>
  <c r="V10" i="59"/>
  <c r="W15" i="59"/>
  <c r="V8" i="49"/>
  <c r="W14" i="52"/>
  <c r="V13" i="43"/>
  <c r="V7" i="44"/>
  <c r="V9" i="44"/>
  <c r="V8" i="47"/>
  <c r="W6" i="56"/>
  <c r="V9" i="59"/>
  <c r="V19" i="60"/>
  <c r="W7" i="62"/>
  <c r="V10" i="47"/>
  <c r="V12" i="47"/>
  <c r="V14" i="47"/>
  <c r="V10" i="49"/>
  <c r="W8" i="52"/>
  <c r="W11" i="52"/>
  <c r="V6" i="55"/>
  <c r="V20" i="55" s="1"/>
  <c r="O4" i="55" s="1"/>
  <c r="R4" i="55" s="1"/>
  <c r="P6" i="55" s="1"/>
  <c r="V9" i="58"/>
  <c r="V16" i="58"/>
  <c r="V13" i="59"/>
  <c r="W7" i="60"/>
  <c r="V18" i="60"/>
  <c r="V10" i="61"/>
  <c r="V15" i="61"/>
  <c r="V19" i="61"/>
  <c r="V13" i="62"/>
  <c r="V17" i="62"/>
  <c r="V20" i="54"/>
  <c r="O4" i="54" s="1"/>
  <c r="R4" i="54" s="1"/>
  <c r="P6" i="54" s="1"/>
  <c r="V14" i="61"/>
  <c r="V18" i="61"/>
  <c r="V9" i="62"/>
  <c r="V12" i="62"/>
  <c r="V16" i="62"/>
  <c r="V11" i="43"/>
  <c r="V11" i="47"/>
  <c r="V13" i="47"/>
  <c r="W12" i="52"/>
  <c r="W6" i="62"/>
  <c r="W8" i="62"/>
  <c r="J21" i="62"/>
  <c r="V9" i="61"/>
  <c r="W7" i="61"/>
  <c r="W6" i="61"/>
  <c r="J21" i="61"/>
  <c r="W8" i="61"/>
  <c r="W12" i="61"/>
  <c r="V14" i="60"/>
  <c r="V13" i="60"/>
  <c r="W11" i="60"/>
  <c r="W6" i="60"/>
  <c r="J21" i="60"/>
  <c r="W8" i="60"/>
  <c r="W12" i="60"/>
  <c r="W11" i="59"/>
  <c r="V7" i="59"/>
  <c r="V6" i="59"/>
  <c r="J21" i="59"/>
  <c r="W8" i="59"/>
  <c r="W12" i="59"/>
  <c r="W16" i="59"/>
  <c r="W19" i="58"/>
  <c r="V18" i="58"/>
  <c r="V15" i="58"/>
  <c r="W14" i="58"/>
  <c r="W10" i="58"/>
  <c r="V8" i="58"/>
  <c r="W7" i="58"/>
  <c r="W11" i="58"/>
  <c r="J21" i="58"/>
  <c r="V6" i="58"/>
  <c r="V20" i="57"/>
  <c r="O4" i="57" s="1"/>
  <c r="R4" i="57" s="1"/>
  <c r="P6" i="57" s="1"/>
  <c r="J21" i="57"/>
  <c r="W6" i="57"/>
  <c r="W7" i="57"/>
  <c r="W8" i="57"/>
  <c r="W9" i="57"/>
  <c r="W10" i="57"/>
  <c r="W11" i="57"/>
  <c r="W12" i="57"/>
  <c r="W13" i="57"/>
  <c r="W14" i="57"/>
  <c r="W15" i="57"/>
  <c r="W16" i="57"/>
  <c r="W17" i="57"/>
  <c r="V20" i="56"/>
  <c r="O4" i="56" s="1"/>
  <c r="R4" i="56" s="1"/>
  <c r="P6" i="56" s="1"/>
  <c r="J21" i="56"/>
  <c r="W7" i="56"/>
  <c r="W8" i="56"/>
  <c r="W9" i="56"/>
  <c r="W10" i="56"/>
  <c r="W11" i="56"/>
  <c r="W12" i="56"/>
  <c r="W13" i="56"/>
  <c r="W14" i="56"/>
  <c r="W15" i="56"/>
  <c r="W16" i="56"/>
  <c r="W17" i="56"/>
  <c r="J21" i="55"/>
  <c r="W7" i="55"/>
  <c r="W8" i="55"/>
  <c r="W9" i="55"/>
  <c r="W10" i="55"/>
  <c r="W11" i="55"/>
  <c r="W12" i="55"/>
  <c r="W13" i="55"/>
  <c r="W14" i="55"/>
  <c r="W15" i="55"/>
  <c r="W16" i="55"/>
  <c r="W17" i="55"/>
  <c r="J21" i="54"/>
  <c r="W6" i="54"/>
  <c r="W7" i="54"/>
  <c r="W8" i="54"/>
  <c r="W9" i="54"/>
  <c r="W10" i="54"/>
  <c r="W11" i="54"/>
  <c r="W12" i="54"/>
  <c r="W13" i="54"/>
  <c r="W14" i="54"/>
  <c r="W15" i="54"/>
  <c r="W16" i="54"/>
  <c r="W17" i="54"/>
  <c r="V20" i="53"/>
  <c r="O4" i="53" s="1"/>
  <c r="R4" i="53" s="1"/>
  <c r="P6" i="53" s="1"/>
  <c r="J21" i="53"/>
  <c r="W6" i="53"/>
  <c r="W7" i="53"/>
  <c r="W8" i="53"/>
  <c r="W9" i="53"/>
  <c r="W10" i="53"/>
  <c r="W11" i="53"/>
  <c r="W12" i="53"/>
  <c r="W13" i="53"/>
  <c r="W14" i="53"/>
  <c r="W15" i="53"/>
  <c r="W16" i="53"/>
  <c r="W17" i="53"/>
  <c r="W13" i="52"/>
  <c r="W10" i="52"/>
  <c r="W9" i="52"/>
  <c r="W7" i="52"/>
  <c r="V20" i="52"/>
  <c r="O4" i="52" s="1"/>
  <c r="R4" i="52" s="1"/>
  <c r="P6" i="52" s="1"/>
  <c r="J21" i="52"/>
  <c r="W6" i="52"/>
  <c r="W16" i="52"/>
  <c r="W17" i="52"/>
  <c r="V20" i="51"/>
  <c r="O4" i="51" s="1"/>
  <c r="R4" i="51" s="1"/>
  <c r="P6" i="51" s="1"/>
  <c r="J21" i="51"/>
  <c r="W6" i="51"/>
  <c r="W7" i="51"/>
  <c r="W8" i="51"/>
  <c r="W9" i="51"/>
  <c r="W10" i="51"/>
  <c r="W11" i="51"/>
  <c r="W12" i="51"/>
  <c r="W13" i="51"/>
  <c r="W14" i="51"/>
  <c r="W15" i="51"/>
  <c r="W16" i="51"/>
  <c r="W17" i="51"/>
  <c r="V17" i="50"/>
  <c r="W16" i="50"/>
  <c r="W20" i="50" s="1"/>
  <c r="P4" i="50" s="1"/>
  <c r="V6" i="50"/>
  <c r="V7" i="50"/>
  <c r="V8" i="50"/>
  <c r="V9" i="50"/>
  <c r="V10" i="50"/>
  <c r="V11" i="50"/>
  <c r="V12" i="50"/>
  <c r="V13" i="50"/>
  <c r="V14" i="50"/>
  <c r="J21" i="50"/>
  <c r="V11" i="49"/>
  <c r="V9" i="49"/>
  <c r="V7" i="49"/>
  <c r="W20" i="49"/>
  <c r="P4" i="49" s="1"/>
  <c r="V6" i="49"/>
  <c r="J21" i="49"/>
  <c r="W20" i="48"/>
  <c r="P4" i="48" s="1"/>
  <c r="V6" i="48"/>
  <c r="V7" i="48"/>
  <c r="V8" i="48"/>
  <c r="V9" i="48"/>
  <c r="V10" i="48"/>
  <c r="V11" i="48"/>
  <c r="V12" i="48"/>
  <c r="V13" i="48"/>
  <c r="V14" i="48"/>
  <c r="J21" i="48"/>
  <c r="V9" i="47"/>
  <c r="W20" i="47"/>
  <c r="P4" i="47" s="1"/>
  <c r="V7" i="47"/>
  <c r="V6" i="47"/>
  <c r="J21" i="47"/>
  <c r="W20" i="46"/>
  <c r="P4" i="46" s="1"/>
  <c r="V6" i="46"/>
  <c r="V7" i="46"/>
  <c r="V8" i="46"/>
  <c r="V9" i="46"/>
  <c r="V10" i="46"/>
  <c r="V11" i="46"/>
  <c r="V12" i="46"/>
  <c r="V13" i="46"/>
  <c r="V14" i="46"/>
  <c r="J21" i="46"/>
  <c r="V6" i="45"/>
  <c r="W20" i="45"/>
  <c r="P4" i="45" s="1"/>
  <c r="V7" i="45"/>
  <c r="V8" i="45"/>
  <c r="V9" i="45"/>
  <c r="V10" i="45"/>
  <c r="V11" i="45"/>
  <c r="V12" i="45"/>
  <c r="V13" i="45"/>
  <c r="V14" i="45"/>
  <c r="J21" i="45"/>
  <c r="V13" i="44"/>
  <c r="V12" i="44"/>
  <c r="V11" i="44"/>
  <c r="V10" i="44"/>
  <c r="W20" i="44"/>
  <c r="P4" i="44" s="1"/>
  <c r="V6" i="44"/>
  <c r="J21" i="44"/>
  <c r="V7" i="43"/>
  <c r="W20" i="43"/>
  <c r="P4" i="43" s="1"/>
  <c r="V6" i="43"/>
  <c r="V9" i="43"/>
  <c r="V8" i="43"/>
  <c r="V10" i="43"/>
  <c r="V12" i="43"/>
  <c r="V14" i="43"/>
  <c r="J21" i="43"/>
  <c r="W20" i="42"/>
  <c r="P4" i="42" s="1"/>
  <c r="V6" i="42"/>
  <c r="V7" i="42"/>
  <c r="V8" i="42"/>
  <c r="V9" i="42"/>
  <c r="V10" i="42"/>
  <c r="V11" i="42"/>
  <c r="V12" i="42"/>
  <c r="V13" i="42"/>
  <c r="V14" i="42"/>
  <c r="J21" i="42"/>
  <c r="V20" i="62" l="1"/>
  <c r="O4" i="62" s="1"/>
  <c r="R4" i="62" s="1"/>
  <c r="P6" i="62" s="1"/>
  <c r="W20" i="62"/>
  <c r="P4" i="62" s="1"/>
  <c r="V20" i="61"/>
  <c r="O4" i="61" s="1"/>
  <c r="R4" i="61" s="1"/>
  <c r="P6" i="61" s="1"/>
  <c r="W20" i="61"/>
  <c r="P4" i="61" s="1"/>
  <c r="Q4" i="61" s="1"/>
  <c r="V20" i="60"/>
  <c r="O4" i="60" s="1"/>
  <c r="R4" i="60" s="1"/>
  <c r="P6" i="60" s="1"/>
  <c r="W20" i="60"/>
  <c r="P4" i="60" s="1"/>
  <c r="W20" i="59"/>
  <c r="P4" i="59" s="1"/>
  <c r="V20" i="59"/>
  <c r="O4" i="59" s="1"/>
  <c r="R4" i="59" s="1"/>
  <c r="P6" i="59" s="1"/>
  <c r="W20" i="58"/>
  <c r="P4" i="58" s="1"/>
  <c r="V20" i="58"/>
  <c r="O4" i="58" s="1"/>
  <c r="R4" i="58" s="1"/>
  <c r="P6" i="58" s="1"/>
  <c r="W20" i="57"/>
  <c r="P4" i="57" s="1"/>
  <c r="Q4" i="57" s="1"/>
  <c r="W20" i="56"/>
  <c r="P4" i="56" s="1"/>
  <c r="Q4" i="56" s="1"/>
  <c r="W20" i="55"/>
  <c r="P4" i="55" s="1"/>
  <c r="Q4" i="55" s="1"/>
  <c r="W20" i="54"/>
  <c r="P4" i="54" s="1"/>
  <c r="Q4" i="54" s="1"/>
  <c r="W20" i="53"/>
  <c r="P4" i="53" s="1"/>
  <c r="Q4" i="53" s="1"/>
  <c r="W20" i="52"/>
  <c r="P4" i="52" s="1"/>
  <c r="Q4" i="52" s="1"/>
  <c r="W20" i="51"/>
  <c r="P4" i="51" s="1"/>
  <c r="Q4" i="51" s="1"/>
  <c r="V20" i="50"/>
  <c r="O4" i="50" s="1"/>
  <c r="Q4" i="50" s="1"/>
  <c r="V20" i="49"/>
  <c r="O4" i="49" s="1"/>
  <c r="R4" i="49" s="1"/>
  <c r="P6" i="49" s="1"/>
  <c r="V20" i="48"/>
  <c r="O4" i="48" s="1"/>
  <c r="Q4" i="48" s="1"/>
  <c r="V20" i="47"/>
  <c r="O4" i="47" s="1"/>
  <c r="Q4" i="47" s="1"/>
  <c r="V20" i="45"/>
  <c r="O4" i="45" s="1"/>
  <c r="Q4" i="45" s="1"/>
  <c r="V20" i="46"/>
  <c r="O4" i="46" s="1"/>
  <c r="R4" i="46" s="1"/>
  <c r="P6" i="46" s="1"/>
  <c r="V20" i="44"/>
  <c r="O4" i="44" s="1"/>
  <c r="R4" i="44" s="1"/>
  <c r="P6" i="44" s="1"/>
  <c r="V20" i="43"/>
  <c r="O4" i="43" s="1"/>
  <c r="R4" i="43" s="1"/>
  <c r="P6" i="43" s="1"/>
  <c r="V20" i="42"/>
  <c r="O4" i="42" s="1"/>
  <c r="Q4" i="62" l="1"/>
  <c r="Q4" i="60"/>
  <c r="Q4" i="59"/>
  <c r="Q4" i="58"/>
  <c r="R4" i="50"/>
  <c r="P6" i="50" s="1"/>
  <c r="Q4" i="49"/>
  <c r="R4" i="48"/>
  <c r="P6" i="48" s="1"/>
  <c r="R4" i="47"/>
  <c r="P6" i="47" s="1"/>
  <c r="R4" i="45"/>
  <c r="P6" i="45" s="1"/>
  <c r="Q4" i="46"/>
  <c r="Q4" i="44"/>
  <c r="Q4" i="43"/>
  <c r="R4" i="42"/>
  <c r="P6" i="42" s="1"/>
  <c r="Q4" i="42"/>
  <c r="W19" i="41" l="1"/>
  <c r="V19" i="41"/>
  <c r="W18" i="41"/>
  <c r="V18" i="41"/>
  <c r="W17" i="41"/>
  <c r="V17" i="41"/>
  <c r="W16" i="41"/>
  <c r="V16" i="41"/>
  <c r="W15" i="41"/>
  <c r="V15" i="41"/>
  <c r="J14" i="41"/>
  <c r="W14" i="41" s="1"/>
  <c r="J13" i="41"/>
  <c r="V13" i="41" s="1"/>
  <c r="J12" i="41"/>
  <c r="V12" i="41" s="1"/>
  <c r="J11" i="41"/>
  <c r="V11" i="41" s="1"/>
  <c r="J10" i="41"/>
  <c r="W10" i="41" s="1"/>
  <c r="J9" i="41"/>
  <c r="V9" i="41" s="1"/>
  <c r="J8" i="41"/>
  <c r="V8" i="41" s="1"/>
  <c r="J7" i="41"/>
  <c r="W7" i="41" s="1"/>
  <c r="B7" i="41"/>
  <c r="B8" i="41" s="1"/>
  <c r="B9" i="41" s="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J6" i="41"/>
  <c r="W6" i="41" s="1"/>
  <c r="N4" i="41"/>
  <c r="W19" i="40"/>
  <c r="V19" i="40"/>
  <c r="W18" i="40"/>
  <c r="V18" i="40"/>
  <c r="W17" i="40"/>
  <c r="V17" i="40"/>
  <c r="W16" i="40"/>
  <c r="V16" i="40"/>
  <c r="W15" i="40"/>
  <c r="V15" i="40"/>
  <c r="J14" i="40"/>
  <c r="W14" i="40" s="1"/>
  <c r="J13" i="40"/>
  <c r="W13" i="40" s="1"/>
  <c r="J12" i="40"/>
  <c r="W12" i="40" s="1"/>
  <c r="J11" i="40"/>
  <c r="W11" i="40" s="1"/>
  <c r="J10" i="40"/>
  <c r="W10" i="40" s="1"/>
  <c r="J9" i="40"/>
  <c r="W9" i="40" s="1"/>
  <c r="J8" i="40"/>
  <c r="W8" i="40" s="1"/>
  <c r="J7" i="40"/>
  <c r="W7" i="40" s="1"/>
  <c r="B7" i="40"/>
  <c r="B8" i="40" s="1"/>
  <c r="B9" i="40" s="1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J6" i="40"/>
  <c r="W6" i="40" s="1"/>
  <c r="N4" i="40"/>
  <c r="W19" i="39"/>
  <c r="V19" i="39"/>
  <c r="W18" i="39"/>
  <c r="V18" i="39"/>
  <c r="W17" i="39"/>
  <c r="V17" i="39"/>
  <c r="W16" i="39"/>
  <c r="V16" i="39"/>
  <c r="W15" i="39"/>
  <c r="V15" i="39"/>
  <c r="J14" i="39"/>
  <c r="W14" i="39" s="1"/>
  <c r="J13" i="39"/>
  <c r="W13" i="39" s="1"/>
  <c r="J12" i="39"/>
  <c r="W12" i="39" s="1"/>
  <c r="J11" i="39"/>
  <c r="W11" i="39" s="1"/>
  <c r="J10" i="39"/>
  <c r="W10" i="39" s="1"/>
  <c r="J9" i="39"/>
  <c r="W9" i="39" s="1"/>
  <c r="J8" i="39"/>
  <c r="W8" i="39" s="1"/>
  <c r="J7" i="39"/>
  <c r="W7" i="39" s="1"/>
  <c r="B7" i="39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J6" i="39"/>
  <c r="W6" i="39" s="1"/>
  <c r="N4" i="39"/>
  <c r="W19" i="38"/>
  <c r="V19" i="38"/>
  <c r="W18" i="38"/>
  <c r="V18" i="38"/>
  <c r="W17" i="38"/>
  <c r="V17" i="38"/>
  <c r="W16" i="38"/>
  <c r="V16" i="38"/>
  <c r="W15" i="38"/>
  <c r="V15" i="38"/>
  <c r="J14" i="38"/>
  <c r="W14" i="38" s="1"/>
  <c r="J13" i="38"/>
  <c r="W13" i="38" s="1"/>
  <c r="J12" i="38"/>
  <c r="W12" i="38" s="1"/>
  <c r="V11" i="38"/>
  <c r="J11" i="38"/>
  <c r="W11" i="38" s="1"/>
  <c r="J10" i="38"/>
  <c r="W10" i="38" s="1"/>
  <c r="J9" i="38"/>
  <c r="W9" i="38" s="1"/>
  <c r="J8" i="38"/>
  <c r="W8" i="38" s="1"/>
  <c r="V7" i="38"/>
  <c r="J7" i="38"/>
  <c r="W7" i="38" s="1"/>
  <c r="B7" i="38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J6" i="38"/>
  <c r="J21" i="38" s="1"/>
  <c r="N4" i="38"/>
  <c r="W19" i="37"/>
  <c r="V19" i="37"/>
  <c r="W18" i="37"/>
  <c r="V18" i="37"/>
  <c r="W17" i="37"/>
  <c r="V17" i="37"/>
  <c r="W16" i="37"/>
  <c r="V16" i="37"/>
  <c r="W15" i="37"/>
  <c r="V15" i="37"/>
  <c r="J14" i="37"/>
  <c r="W14" i="37" s="1"/>
  <c r="J13" i="37"/>
  <c r="W13" i="37" s="1"/>
  <c r="J12" i="37"/>
  <c r="W12" i="37" s="1"/>
  <c r="J11" i="37"/>
  <c r="W11" i="37" s="1"/>
  <c r="J10" i="37"/>
  <c r="W10" i="37" s="1"/>
  <c r="J9" i="37"/>
  <c r="W9" i="37" s="1"/>
  <c r="J8" i="37"/>
  <c r="W8" i="37" s="1"/>
  <c r="J7" i="37"/>
  <c r="W7" i="37" s="1"/>
  <c r="B7" i="37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J6" i="37"/>
  <c r="W6" i="37" s="1"/>
  <c r="N4" i="37"/>
  <c r="V9" i="38" l="1"/>
  <c r="V14" i="38"/>
  <c r="V14" i="41"/>
  <c r="V13" i="38"/>
  <c r="W8" i="41"/>
  <c r="W12" i="41"/>
  <c r="W11" i="41"/>
  <c r="V10" i="41"/>
  <c r="V7" i="41"/>
  <c r="V6" i="41"/>
  <c r="W9" i="41"/>
  <c r="W13" i="41"/>
  <c r="J21" i="41"/>
  <c r="W20" i="40"/>
  <c r="P4" i="40" s="1"/>
  <c r="V6" i="40"/>
  <c r="V7" i="40"/>
  <c r="V8" i="40"/>
  <c r="V9" i="40"/>
  <c r="V10" i="40"/>
  <c r="V11" i="40"/>
  <c r="V12" i="40"/>
  <c r="V13" i="40"/>
  <c r="V14" i="40"/>
  <c r="J21" i="40"/>
  <c r="W20" i="39"/>
  <c r="P4" i="39" s="1"/>
  <c r="V6" i="39"/>
  <c r="V7" i="39"/>
  <c r="V8" i="39"/>
  <c r="V9" i="39"/>
  <c r="V10" i="39"/>
  <c r="V11" i="39"/>
  <c r="V12" i="39"/>
  <c r="V13" i="39"/>
  <c r="V14" i="39"/>
  <c r="J21" i="39"/>
  <c r="V8" i="38"/>
  <c r="V10" i="38"/>
  <c r="V12" i="38"/>
  <c r="V6" i="38"/>
  <c r="W6" i="38"/>
  <c r="W20" i="38" s="1"/>
  <c r="P4" i="38" s="1"/>
  <c r="W20" i="37"/>
  <c r="P4" i="37" s="1"/>
  <c r="V6" i="37"/>
  <c r="V7" i="37"/>
  <c r="V8" i="37"/>
  <c r="V9" i="37"/>
  <c r="V10" i="37"/>
  <c r="V11" i="37"/>
  <c r="V12" i="37"/>
  <c r="V13" i="37"/>
  <c r="V14" i="37"/>
  <c r="J21" i="37"/>
  <c r="W20" i="41" l="1"/>
  <c r="P4" i="41" s="1"/>
  <c r="V20" i="41"/>
  <c r="O4" i="41" s="1"/>
  <c r="V20" i="40"/>
  <c r="O4" i="40" s="1"/>
  <c r="V20" i="39"/>
  <c r="O4" i="39" s="1"/>
  <c r="V20" i="38"/>
  <c r="O4" i="38" s="1"/>
  <c r="R4" i="38" s="1"/>
  <c r="P6" i="38" s="1"/>
  <c r="V20" i="37"/>
  <c r="O4" i="37" s="1"/>
  <c r="Q4" i="41" l="1"/>
  <c r="R4" i="41"/>
  <c r="P6" i="41" s="1"/>
  <c r="R4" i="40"/>
  <c r="P6" i="40" s="1"/>
  <c r="Q4" i="40"/>
  <c r="R4" i="39"/>
  <c r="P6" i="39" s="1"/>
  <c r="Q4" i="39"/>
  <c r="Q4" i="38"/>
  <c r="R4" i="37"/>
  <c r="P6" i="37" s="1"/>
  <c r="Q4" i="37"/>
  <c r="W19" i="36" l="1"/>
  <c r="V19" i="36"/>
  <c r="W18" i="36"/>
  <c r="V18" i="36"/>
  <c r="W17" i="36"/>
  <c r="V17" i="36"/>
  <c r="W16" i="36"/>
  <c r="V16" i="36"/>
  <c r="W15" i="36"/>
  <c r="V15" i="36"/>
  <c r="J14" i="36"/>
  <c r="V14" i="36" s="1"/>
  <c r="J13" i="36"/>
  <c r="V13" i="36" s="1"/>
  <c r="J12" i="36"/>
  <c r="W12" i="36" s="1"/>
  <c r="J11" i="36"/>
  <c r="V11" i="36" s="1"/>
  <c r="J10" i="36"/>
  <c r="W10" i="36" s="1"/>
  <c r="J9" i="36"/>
  <c r="V9" i="36" s="1"/>
  <c r="J8" i="36"/>
  <c r="V8" i="36" s="1"/>
  <c r="J7" i="36"/>
  <c r="V7" i="36" s="1"/>
  <c r="B7" i="36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J6" i="36"/>
  <c r="V6" i="36" s="1"/>
  <c r="N4" i="36"/>
  <c r="W19" i="35"/>
  <c r="V19" i="35"/>
  <c r="W18" i="35"/>
  <c r="V18" i="35"/>
  <c r="W17" i="35"/>
  <c r="V17" i="35"/>
  <c r="W16" i="35"/>
  <c r="V16" i="35"/>
  <c r="W15" i="35"/>
  <c r="V15" i="35"/>
  <c r="J14" i="35"/>
  <c r="V14" i="35" s="1"/>
  <c r="J13" i="35"/>
  <c r="J12" i="35"/>
  <c r="V12" i="35" s="1"/>
  <c r="J11" i="35"/>
  <c r="V11" i="35" s="1"/>
  <c r="J10" i="35"/>
  <c r="V10" i="35" s="1"/>
  <c r="J9" i="35"/>
  <c r="V9" i="35" s="1"/>
  <c r="J8" i="35"/>
  <c r="W8" i="35" s="1"/>
  <c r="J7" i="35"/>
  <c r="W7" i="35" s="1"/>
  <c r="B7" i="35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J6" i="35"/>
  <c r="W6" i="35" s="1"/>
  <c r="N4" i="35"/>
  <c r="J14" i="34"/>
  <c r="W14" i="34" s="1"/>
  <c r="H13" i="34"/>
  <c r="J13" i="34" s="1"/>
  <c r="H9" i="34"/>
  <c r="J9" i="34" s="1"/>
  <c r="V9" i="34" s="1"/>
  <c r="J7" i="34"/>
  <c r="V7" i="34" s="1"/>
  <c r="J8" i="34"/>
  <c r="V8" i="34" s="1"/>
  <c r="J10" i="34"/>
  <c r="V10" i="34" s="1"/>
  <c r="J11" i="34"/>
  <c r="V11" i="34" s="1"/>
  <c r="J12" i="34"/>
  <c r="V12" i="34" s="1"/>
  <c r="J6" i="34"/>
  <c r="V6" i="34" s="1"/>
  <c r="V19" i="34"/>
  <c r="W19" i="34"/>
  <c r="W18" i="34"/>
  <c r="V18" i="34"/>
  <c r="W17" i="34"/>
  <c r="V17" i="34"/>
  <c r="W16" i="34"/>
  <c r="W15" i="34"/>
  <c r="V15" i="34"/>
  <c r="B7" i="34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N4" i="34"/>
  <c r="J7" i="33"/>
  <c r="J8" i="33"/>
  <c r="W8" i="33" s="1"/>
  <c r="J9" i="33"/>
  <c r="W9" i="33" s="1"/>
  <c r="J10" i="33"/>
  <c r="W10" i="33" s="1"/>
  <c r="J11" i="33"/>
  <c r="W11" i="33" s="1"/>
  <c r="J12" i="33"/>
  <c r="W12" i="33" s="1"/>
  <c r="J6" i="33"/>
  <c r="W6" i="33" s="1"/>
  <c r="J20" i="33"/>
  <c r="J19" i="33"/>
  <c r="V19" i="33" s="1"/>
  <c r="W18" i="33"/>
  <c r="V18" i="33"/>
  <c r="W17" i="33"/>
  <c r="V17" i="33"/>
  <c r="J16" i="33"/>
  <c r="W16" i="33" s="1"/>
  <c r="W15" i="33"/>
  <c r="W14" i="33"/>
  <c r="W13" i="33"/>
  <c r="V9" i="33"/>
  <c r="B8" i="33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7" i="33"/>
  <c r="N4" i="33"/>
  <c r="H12" i="32"/>
  <c r="J12" i="32" s="1"/>
  <c r="W12" i="32" s="1"/>
  <c r="H7" i="32"/>
  <c r="J7" i="32" s="1"/>
  <c r="J20" i="32"/>
  <c r="J19" i="32"/>
  <c r="V19" i="32" s="1"/>
  <c r="W18" i="32"/>
  <c r="V18" i="32"/>
  <c r="W17" i="32"/>
  <c r="V17" i="32"/>
  <c r="J16" i="32"/>
  <c r="W16" i="32" s="1"/>
  <c r="J15" i="32"/>
  <c r="W15" i="32" s="1"/>
  <c r="J14" i="32"/>
  <c r="W14" i="32" s="1"/>
  <c r="J13" i="32"/>
  <c r="W13" i="32" s="1"/>
  <c r="J11" i="32"/>
  <c r="W11" i="32" s="1"/>
  <c r="J10" i="32"/>
  <c r="V10" i="32" s="1"/>
  <c r="J9" i="32"/>
  <c r="V9" i="32" s="1"/>
  <c r="J8" i="32"/>
  <c r="V8" i="32" s="1"/>
  <c r="B7" i="32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J6" i="32"/>
  <c r="V6" i="32" s="1"/>
  <c r="N4" i="32"/>
  <c r="H12" i="31"/>
  <c r="J12" i="31" s="1"/>
  <c r="W12" i="31" s="1"/>
  <c r="H9" i="31"/>
  <c r="J9" i="31" s="1"/>
  <c r="W9" i="31" s="1"/>
  <c r="J7" i="31"/>
  <c r="W7" i="31" s="1"/>
  <c r="J8" i="31"/>
  <c r="W8" i="31" s="1"/>
  <c r="J10" i="31"/>
  <c r="J11" i="31"/>
  <c r="W11" i="31" s="1"/>
  <c r="J13" i="31"/>
  <c r="W13" i="31" s="1"/>
  <c r="J14" i="31"/>
  <c r="W14" i="31" s="1"/>
  <c r="J15" i="31"/>
  <c r="J16" i="31"/>
  <c r="W16" i="31" s="1"/>
  <c r="J6" i="31"/>
  <c r="W6" i="31" s="1"/>
  <c r="J20" i="31"/>
  <c r="J19" i="31"/>
  <c r="W19" i="31" s="1"/>
  <c r="W18" i="31"/>
  <c r="V18" i="31"/>
  <c r="W17" i="31"/>
  <c r="V17" i="31"/>
  <c r="W15" i="31"/>
  <c r="W10" i="31"/>
  <c r="B7" i="3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N4" i="31"/>
  <c r="J16" i="30"/>
  <c r="V16" i="30" s="1"/>
  <c r="J15" i="30"/>
  <c r="V15" i="30" s="1"/>
  <c r="J20" i="30"/>
  <c r="V19" i="30"/>
  <c r="J19" i="30"/>
  <c r="W19" i="30" s="1"/>
  <c r="W18" i="30"/>
  <c r="V18" i="30"/>
  <c r="W17" i="30"/>
  <c r="V17" i="30"/>
  <c r="J14" i="30"/>
  <c r="W14" i="30" s="1"/>
  <c r="J13" i="30"/>
  <c r="W13" i="30" s="1"/>
  <c r="J12" i="30"/>
  <c r="J11" i="30"/>
  <c r="V11" i="30" s="1"/>
  <c r="J10" i="30"/>
  <c r="V10" i="30" s="1"/>
  <c r="J9" i="30"/>
  <c r="V9" i="30" s="1"/>
  <c r="J8" i="30"/>
  <c r="V8" i="30" s="1"/>
  <c r="J7" i="30"/>
  <c r="W7" i="30" s="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J6" i="30"/>
  <c r="N4" i="30"/>
  <c r="J14" i="29"/>
  <c r="W14" i="29" s="1"/>
  <c r="J13" i="29"/>
  <c r="V13" i="29" s="1"/>
  <c r="H12" i="29"/>
  <c r="J12" i="29" s="1"/>
  <c r="V12" i="29" s="1"/>
  <c r="J11" i="29"/>
  <c r="V11" i="29" s="1"/>
  <c r="J9" i="29"/>
  <c r="W9" i="29" s="1"/>
  <c r="J10" i="29"/>
  <c r="V10" i="29" s="1"/>
  <c r="H7" i="29"/>
  <c r="J7" i="29" s="1"/>
  <c r="V7" i="29" s="1"/>
  <c r="H8" i="29"/>
  <c r="J8" i="29" s="1"/>
  <c r="V8" i="29" s="1"/>
  <c r="H6" i="29"/>
  <c r="J6" i="29" s="1"/>
  <c r="W6" i="29" s="1"/>
  <c r="J20" i="29"/>
  <c r="V19" i="29"/>
  <c r="J19" i="29"/>
  <c r="W19" i="29" s="1"/>
  <c r="W18" i="29"/>
  <c r="V18" i="29"/>
  <c r="W17" i="29"/>
  <c r="V17" i="29"/>
  <c r="W16" i="29"/>
  <c r="V16" i="29"/>
  <c r="W15" i="29"/>
  <c r="V15" i="29"/>
  <c r="W13" i="29"/>
  <c r="V9" i="29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N4" i="29"/>
  <c r="J16" i="28"/>
  <c r="J15" i="28"/>
  <c r="V15" i="28" s="1"/>
  <c r="J14" i="28"/>
  <c r="W14" i="28" s="1"/>
  <c r="J13" i="28"/>
  <c r="W13" i="28" s="1"/>
  <c r="J12" i="28"/>
  <c r="J11" i="28"/>
  <c r="J8" i="28"/>
  <c r="V8" i="28" s="1"/>
  <c r="V16" i="28"/>
  <c r="J20" i="28"/>
  <c r="J19" i="28"/>
  <c r="W19" i="28" s="1"/>
  <c r="V18" i="28"/>
  <c r="V17" i="28"/>
  <c r="V12" i="28"/>
  <c r="V11" i="28"/>
  <c r="J10" i="28"/>
  <c r="V10" i="28" s="1"/>
  <c r="J9" i="28"/>
  <c r="W9" i="28" s="1"/>
  <c r="J7" i="28"/>
  <c r="V7" i="28" s="1"/>
  <c r="B7" i="28"/>
  <c r="B8" i="28" s="1"/>
  <c r="J6" i="28"/>
  <c r="V6" i="28" s="1"/>
  <c r="N4" i="28"/>
  <c r="J7" i="27"/>
  <c r="V7" i="27" s="1"/>
  <c r="J8" i="27"/>
  <c r="V8" i="27" s="1"/>
  <c r="J9" i="27"/>
  <c r="W9" i="27" s="1"/>
  <c r="J10" i="27"/>
  <c r="W10" i="27" s="1"/>
  <c r="J11" i="27"/>
  <c r="V11" i="27" s="1"/>
  <c r="J12" i="27"/>
  <c r="V12" i="27" s="1"/>
  <c r="J13" i="27"/>
  <c r="J14" i="27"/>
  <c r="V14" i="27" s="1"/>
  <c r="J15" i="27"/>
  <c r="W15" i="27" s="1"/>
  <c r="J6" i="27"/>
  <c r="W6" i="27" s="1"/>
  <c r="J20" i="27"/>
  <c r="J19" i="27"/>
  <c r="W19" i="27" s="1"/>
  <c r="J18" i="27"/>
  <c r="W18" i="27" s="1"/>
  <c r="J17" i="27"/>
  <c r="V17" i="27" s="1"/>
  <c r="W16" i="27"/>
  <c r="V16" i="27"/>
  <c r="V9" i="27"/>
  <c r="B7" i="27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N4" i="27"/>
  <c r="H13" i="26"/>
  <c r="J13" i="26" s="1"/>
  <c r="V13" i="26" s="1"/>
  <c r="J11" i="26"/>
  <c r="V11" i="26" s="1"/>
  <c r="J7" i="26"/>
  <c r="V7" i="26" s="1"/>
  <c r="J8" i="26"/>
  <c r="V8" i="26" s="1"/>
  <c r="J9" i="26"/>
  <c r="V9" i="26" s="1"/>
  <c r="J10" i="26"/>
  <c r="V10" i="26" s="1"/>
  <c r="J6" i="26"/>
  <c r="W6" i="26" s="1"/>
  <c r="J20" i="26"/>
  <c r="J19" i="26"/>
  <c r="V19" i="26" s="1"/>
  <c r="J18" i="26"/>
  <c r="V18" i="26" s="1"/>
  <c r="J17" i="26"/>
  <c r="V17" i="26" s="1"/>
  <c r="J16" i="26"/>
  <c r="V16" i="26" s="1"/>
  <c r="J15" i="26"/>
  <c r="V15" i="26" s="1"/>
  <c r="J14" i="26"/>
  <c r="V14" i="26" s="1"/>
  <c r="J12" i="26"/>
  <c r="V12" i="26" s="1"/>
  <c r="B7" i="26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N4" i="26"/>
  <c r="H10" i="25"/>
  <c r="H9" i="25"/>
  <c r="J20" i="25"/>
  <c r="W19" i="25"/>
  <c r="J19" i="25"/>
  <c r="V19" i="25" s="1"/>
  <c r="J18" i="25"/>
  <c r="V18" i="25" s="1"/>
  <c r="J17" i="25"/>
  <c r="W17" i="25" s="1"/>
  <c r="J16" i="25"/>
  <c r="W16" i="25" s="1"/>
  <c r="J15" i="25"/>
  <c r="V15" i="25" s="1"/>
  <c r="J14" i="25"/>
  <c r="W14" i="25" s="1"/>
  <c r="J13" i="25"/>
  <c r="V13" i="25" s="1"/>
  <c r="J12" i="25"/>
  <c r="W12" i="25" s="1"/>
  <c r="J11" i="25"/>
  <c r="V11" i="25" s="1"/>
  <c r="J10" i="25"/>
  <c r="W10" i="25" s="1"/>
  <c r="J9" i="25"/>
  <c r="V9" i="25" s="1"/>
  <c r="J8" i="25"/>
  <c r="W8" i="25" s="1"/>
  <c r="J7" i="25"/>
  <c r="V7" i="25" s="1"/>
  <c r="B7" i="25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J6" i="25"/>
  <c r="N4" i="25"/>
  <c r="J7" i="24"/>
  <c r="J8" i="24"/>
  <c r="W8" i="24" s="1"/>
  <c r="J9" i="24"/>
  <c r="V9" i="24" s="1"/>
  <c r="J10" i="24"/>
  <c r="V10" i="24" s="1"/>
  <c r="H6" i="24"/>
  <c r="J6" i="24" s="1"/>
  <c r="J20" i="24"/>
  <c r="J19" i="24"/>
  <c r="V19" i="24" s="1"/>
  <c r="J18" i="24"/>
  <c r="V18" i="24" s="1"/>
  <c r="J17" i="24"/>
  <c r="V17" i="24" s="1"/>
  <c r="J16" i="24"/>
  <c r="V16" i="24" s="1"/>
  <c r="W15" i="24"/>
  <c r="J15" i="24"/>
  <c r="V15" i="24" s="1"/>
  <c r="J14" i="24"/>
  <c r="V14" i="24" s="1"/>
  <c r="J13" i="24"/>
  <c r="V13" i="24" s="1"/>
  <c r="J12" i="24"/>
  <c r="V12" i="24" s="1"/>
  <c r="J11" i="24"/>
  <c r="W9" i="24"/>
  <c r="W7" i="24"/>
  <c r="V7" i="24"/>
  <c r="B7" i="24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N4" i="24"/>
  <c r="H11" i="22"/>
  <c r="J11" i="22" s="1"/>
  <c r="W11" i="22" s="1"/>
  <c r="J10" i="22"/>
  <c r="W10" i="22" s="1"/>
  <c r="J20" i="22"/>
  <c r="J19" i="22"/>
  <c r="W19" i="22" s="1"/>
  <c r="J18" i="22"/>
  <c r="W18" i="22" s="1"/>
  <c r="J17" i="22"/>
  <c r="W17" i="22" s="1"/>
  <c r="J16" i="22"/>
  <c r="W16" i="22" s="1"/>
  <c r="J15" i="22"/>
  <c r="W15" i="22" s="1"/>
  <c r="J14" i="22"/>
  <c r="W14" i="22" s="1"/>
  <c r="J13" i="22"/>
  <c r="W13" i="22" s="1"/>
  <c r="J12" i="22"/>
  <c r="W12" i="22" s="1"/>
  <c r="W9" i="22"/>
  <c r="V7" i="22"/>
  <c r="W8" i="22"/>
  <c r="W7" i="22"/>
  <c r="B7" i="22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W6" i="22"/>
  <c r="N4" i="22"/>
  <c r="H12" i="19"/>
  <c r="G7" i="19"/>
  <c r="I7" i="19" s="1"/>
  <c r="I5" i="19"/>
  <c r="I6" i="19"/>
  <c r="I8" i="19"/>
  <c r="I9" i="19"/>
  <c r="I10" i="19"/>
  <c r="I11" i="19"/>
  <c r="I12" i="19"/>
  <c r="I13" i="19"/>
  <c r="I4" i="19"/>
  <c r="G4" i="18"/>
  <c r="I4" i="18" s="1"/>
  <c r="I11" i="18"/>
  <c r="I10" i="18"/>
  <c r="I9" i="18"/>
  <c r="I8" i="18"/>
  <c r="I7" i="18"/>
  <c r="I6" i="18"/>
  <c r="I5" i="18"/>
  <c r="I11" i="17"/>
  <c r="I10" i="17"/>
  <c r="I9" i="17"/>
  <c r="I8" i="17"/>
  <c r="I7" i="17"/>
  <c r="I6" i="17"/>
  <c r="I5" i="17"/>
  <c r="I4" i="17"/>
  <c r="I10" i="16"/>
  <c r="I9" i="16"/>
  <c r="I8" i="16"/>
  <c r="I7" i="16"/>
  <c r="I6" i="16"/>
  <c r="I5" i="16"/>
  <c r="I4" i="16"/>
  <c r="I10" i="15"/>
  <c r="I9" i="15"/>
  <c r="I8" i="15"/>
  <c r="I7" i="15"/>
  <c r="I6" i="15"/>
  <c r="I5" i="15"/>
  <c r="I4" i="15"/>
  <c r="I10" i="14"/>
  <c r="I9" i="14"/>
  <c r="I8" i="14"/>
  <c r="I7" i="14"/>
  <c r="I6" i="14"/>
  <c r="I5" i="14"/>
  <c r="I4" i="14"/>
  <c r="I11" i="13"/>
  <c r="I10" i="13"/>
  <c r="I9" i="13"/>
  <c r="I8" i="13"/>
  <c r="I7" i="13"/>
  <c r="I6" i="13"/>
  <c r="I5" i="13"/>
  <c r="I4" i="13"/>
  <c r="I14" i="12"/>
  <c r="I13" i="12"/>
  <c r="I12" i="12"/>
  <c r="I11" i="12"/>
  <c r="I10" i="12"/>
  <c r="I9" i="12"/>
  <c r="I8" i="12"/>
  <c r="I7" i="12"/>
  <c r="I6" i="12"/>
  <c r="I5" i="12"/>
  <c r="I4" i="12"/>
  <c r="I5" i="11"/>
  <c r="I6" i="11"/>
  <c r="I7" i="11"/>
  <c r="I8" i="11"/>
  <c r="I9" i="11"/>
  <c r="I10" i="11"/>
  <c r="I11" i="11"/>
  <c r="I12" i="11"/>
  <c r="I13" i="11"/>
  <c r="I14" i="11"/>
  <c r="I4" i="11"/>
  <c r="W19" i="24" l="1"/>
  <c r="V8" i="25"/>
  <c r="V14" i="25"/>
  <c r="V16" i="25"/>
  <c r="W18" i="25"/>
  <c r="W11" i="27"/>
  <c r="W17" i="27"/>
  <c r="V19" i="31"/>
  <c r="W13" i="25"/>
  <c r="V17" i="25"/>
  <c r="V13" i="34"/>
  <c r="W13" i="34"/>
  <c r="V19" i="27"/>
  <c r="W14" i="35"/>
  <c r="W17" i="24"/>
  <c r="V18" i="27"/>
  <c r="V12" i="25"/>
  <c r="W9" i="32"/>
  <c r="W19" i="32"/>
  <c r="W18" i="24"/>
  <c r="W19" i="33"/>
  <c r="V14" i="34"/>
  <c r="V7" i="35"/>
  <c r="W13" i="36"/>
  <c r="W14" i="36"/>
  <c r="V12" i="36"/>
  <c r="V20" i="36" s="1"/>
  <c r="O4" i="36" s="1"/>
  <c r="R4" i="36" s="1"/>
  <c r="P6" i="36" s="1"/>
  <c r="V10" i="36"/>
  <c r="W8" i="36"/>
  <c r="W6" i="36"/>
  <c r="W7" i="36"/>
  <c r="W11" i="36"/>
  <c r="J21" i="36"/>
  <c r="W9" i="36"/>
  <c r="V8" i="35"/>
  <c r="V6" i="35"/>
  <c r="V13" i="35"/>
  <c r="W13" i="35"/>
  <c r="W9" i="35"/>
  <c r="W10" i="35"/>
  <c r="W11" i="35"/>
  <c r="W12" i="35"/>
  <c r="J21" i="35"/>
  <c r="W6" i="34"/>
  <c r="W7" i="34"/>
  <c r="W8" i="34"/>
  <c r="W9" i="34"/>
  <c r="W10" i="34"/>
  <c r="W11" i="34"/>
  <c r="W12" i="34"/>
  <c r="V16" i="34"/>
  <c r="J21" i="34"/>
  <c r="V10" i="33"/>
  <c r="V11" i="33"/>
  <c r="V8" i="33"/>
  <c r="V6" i="33"/>
  <c r="V7" i="33"/>
  <c r="W7" i="33"/>
  <c r="W20" i="33" s="1"/>
  <c r="P4" i="33" s="1"/>
  <c r="V12" i="33"/>
  <c r="V13" i="33"/>
  <c r="V14" i="33"/>
  <c r="V15" i="33"/>
  <c r="V16" i="33"/>
  <c r="J21" i="33"/>
  <c r="V11" i="32"/>
  <c r="W7" i="32"/>
  <c r="V7" i="32"/>
  <c r="W10" i="32"/>
  <c r="W6" i="32"/>
  <c r="W8" i="32"/>
  <c r="V12" i="32"/>
  <c r="V13" i="32"/>
  <c r="V14" i="32"/>
  <c r="V15" i="32"/>
  <c r="V16" i="32"/>
  <c r="J21" i="32"/>
  <c r="W20" i="31"/>
  <c r="P4" i="31" s="1"/>
  <c r="V6" i="31"/>
  <c r="V7" i="31"/>
  <c r="V8" i="31"/>
  <c r="V9" i="31"/>
  <c r="V10" i="31"/>
  <c r="V11" i="31"/>
  <c r="V12" i="31"/>
  <c r="V13" i="31"/>
  <c r="V14" i="31"/>
  <c r="V15" i="31"/>
  <c r="V16" i="31"/>
  <c r="J21" i="31"/>
  <c r="W16" i="30"/>
  <c r="W15" i="30"/>
  <c r="V13" i="30"/>
  <c r="V14" i="30"/>
  <c r="V7" i="30"/>
  <c r="V6" i="30"/>
  <c r="J21" i="30"/>
  <c r="W6" i="30"/>
  <c r="V12" i="30"/>
  <c r="W12" i="30"/>
  <c r="W8" i="30"/>
  <c r="W9" i="30"/>
  <c r="W10" i="30"/>
  <c r="W11" i="30"/>
  <c r="V14" i="29"/>
  <c r="W12" i="29"/>
  <c r="W10" i="29"/>
  <c r="W11" i="29"/>
  <c r="W8" i="29"/>
  <c r="W7" i="29"/>
  <c r="V6" i="29"/>
  <c r="J21" i="29"/>
  <c r="B9" i="28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V9" i="28"/>
  <c r="V19" i="28"/>
  <c r="W10" i="28"/>
  <c r="W18" i="28"/>
  <c r="W17" i="28"/>
  <c r="W16" i="28"/>
  <c r="W15" i="28"/>
  <c r="V14" i="28"/>
  <c r="V13" i="28"/>
  <c r="W11" i="28"/>
  <c r="W7" i="28"/>
  <c r="W6" i="28"/>
  <c r="J21" i="28"/>
  <c r="W8" i="28"/>
  <c r="W12" i="28"/>
  <c r="V15" i="27"/>
  <c r="W14" i="27"/>
  <c r="W12" i="27"/>
  <c r="V10" i="27"/>
  <c r="W7" i="27"/>
  <c r="W8" i="27"/>
  <c r="V13" i="27"/>
  <c r="W13" i="27"/>
  <c r="V6" i="27"/>
  <c r="J21" i="27"/>
  <c r="W9" i="26"/>
  <c r="W7" i="26"/>
  <c r="W8" i="26"/>
  <c r="J21" i="26"/>
  <c r="V6" i="26"/>
  <c r="V20" i="26" s="1"/>
  <c r="O4" i="26" s="1"/>
  <c r="R4" i="26" s="1"/>
  <c r="P6" i="26" s="1"/>
  <c r="W10" i="26"/>
  <c r="W11" i="26"/>
  <c r="W12" i="26"/>
  <c r="W13" i="26"/>
  <c r="W14" i="26"/>
  <c r="W15" i="26"/>
  <c r="W16" i="26"/>
  <c r="W17" i="26"/>
  <c r="W18" i="26"/>
  <c r="W19" i="26"/>
  <c r="V10" i="25"/>
  <c r="W9" i="25"/>
  <c r="W7" i="25"/>
  <c r="W11" i="25"/>
  <c r="W15" i="25"/>
  <c r="V6" i="25"/>
  <c r="W6" i="25"/>
  <c r="J21" i="25"/>
  <c r="W16" i="24"/>
  <c r="W13" i="24"/>
  <c r="V8" i="24"/>
  <c r="V6" i="24"/>
  <c r="W6" i="24"/>
  <c r="W12" i="24"/>
  <c r="W14" i="24"/>
  <c r="V11" i="24"/>
  <c r="W11" i="24"/>
  <c r="W10" i="24"/>
  <c r="J21" i="24"/>
  <c r="W20" i="22"/>
  <c r="P4" i="22" s="1"/>
  <c r="V6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J21" i="22"/>
  <c r="I14" i="19"/>
  <c r="I12" i="18"/>
  <c r="I12" i="17"/>
  <c r="I11" i="16"/>
  <c r="I11" i="15"/>
  <c r="I12" i="14"/>
  <c r="I12" i="13"/>
  <c r="I15" i="12"/>
  <c r="I15" i="11"/>
  <c r="I14" i="8"/>
  <c r="I17" i="8"/>
  <c r="I16" i="8"/>
  <c r="I15" i="8"/>
  <c r="I13" i="8"/>
  <c r="I12" i="8"/>
  <c r="I11" i="8"/>
  <c r="I10" i="8"/>
  <c r="I9" i="8"/>
  <c r="I8" i="8"/>
  <c r="I7" i="8"/>
  <c r="I6" i="8"/>
  <c r="I5" i="8"/>
  <c r="I12" i="7"/>
  <c r="I13" i="7"/>
  <c r="I14" i="7"/>
  <c r="I15" i="7"/>
  <c r="I16" i="7"/>
  <c r="I6" i="7"/>
  <c r="I7" i="7"/>
  <c r="I8" i="7"/>
  <c r="I9" i="7"/>
  <c r="I10" i="7"/>
  <c r="I11" i="7"/>
  <c r="I5" i="7"/>
  <c r="I17" i="7" l="1"/>
  <c r="V20" i="34"/>
  <c r="O4" i="34" s="1"/>
  <c r="R4" i="34" s="1"/>
  <c r="P6" i="34" s="1"/>
  <c r="W20" i="36"/>
  <c r="P4" i="36" s="1"/>
  <c r="Q4" i="36" s="1"/>
  <c r="W20" i="35"/>
  <c r="P4" i="35" s="1"/>
  <c r="V20" i="35"/>
  <c r="O4" i="35" s="1"/>
  <c r="R4" i="35" s="1"/>
  <c r="P6" i="35" s="1"/>
  <c r="W20" i="34"/>
  <c r="P4" i="34" s="1"/>
  <c r="Q4" i="34" s="1"/>
  <c r="V20" i="33"/>
  <c r="O4" i="33" s="1"/>
  <c r="Q4" i="33" s="1"/>
  <c r="V20" i="32"/>
  <c r="O4" i="32" s="1"/>
  <c r="W20" i="32"/>
  <c r="P4" i="32" s="1"/>
  <c r="V20" i="31"/>
  <c r="O4" i="31" s="1"/>
  <c r="V20" i="30"/>
  <c r="O4" i="30" s="1"/>
  <c r="W20" i="30"/>
  <c r="P4" i="30" s="1"/>
  <c r="V20" i="29"/>
  <c r="O4" i="29" s="1"/>
  <c r="R4" i="29" s="1"/>
  <c r="P6" i="29" s="1"/>
  <c r="W20" i="29"/>
  <c r="P4" i="29" s="1"/>
  <c r="V20" i="28"/>
  <c r="O4" i="28" s="1"/>
  <c r="R4" i="28" s="1"/>
  <c r="P6" i="28" s="1"/>
  <c r="W20" i="28"/>
  <c r="P4" i="28" s="1"/>
  <c r="W20" i="27"/>
  <c r="P4" i="27" s="1"/>
  <c r="V20" i="27"/>
  <c r="O4" i="27" s="1"/>
  <c r="W20" i="26"/>
  <c r="P4" i="26" s="1"/>
  <c r="Q4" i="26" s="1"/>
  <c r="V20" i="25"/>
  <c r="O4" i="25" s="1"/>
  <c r="R4" i="25" s="1"/>
  <c r="P6" i="25" s="1"/>
  <c r="W20" i="25"/>
  <c r="P4" i="25" s="1"/>
  <c r="V20" i="24"/>
  <c r="O4" i="24" s="1"/>
  <c r="R4" i="24" s="1"/>
  <c r="P6" i="24" s="1"/>
  <c r="W20" i="24"/>
  <c r="P4" i="24" s="1"/>
  <c r="V20" i="22"/>
  <c r="O4" i="22" s="1"/>
  <c r="I18" i="8"/>
  <c r="I14" i="6"/>
  <c r="I13" i="6"/>
  <c r="I12" i="6"/>
  <c r="I11" i="6"/>
  <c r="I10" i="6"/>
  <c r="I9" i="6"/>
  <c r="I8" i="6"/>
  <c r="I7" i="6"/>
  <c r="I6" i="6"/>
  <c r="I5" i="6"/>
  <c r="I15" i="5"/>
  <c r="I14" i="5"/>
  <c r="I13" i="5"/>
  <c r="I12" i="5"/>
  <c r="I11" i="5"/>
  <c r="I10" i="5"/>
  <c r="I9" i="5"/>
  <c r="I8" i="5"/>
  <c r="I7" i="5"/>
  <c r="I6" i="5"/>
  <c r="I5" i="5"/>
  <c r="I14" i="4"/>
  <c r="I13" i="4"/>
  <c r="I12" i="4"/>
  <c r="I11" i="4"/>
  <c r="I10" i="4"/>
  <c r="I9" i="4"/>
  <c r="I8" i="4"/>
  <c r="I7" i="4"/>
  <c r="I6" i="4"/>
  <c r="I5" i="4"/>
  <c r="I12" i="3"/>
  <c r="I11" i="3"/>
  <c r="I10" i="3"/>
  <c r="I9" i="3"/>
  <c r="I8" i="3"/>
  <c r="I7" i="3"/>
  <c r="I6" i="3"/>
  <c r="I5" i="3"/>
  <c r="I12" i="2"/>
  <c r="I11" i="2"/>
  <c r="I10" i="2"/>
  <c r="I9" i="2"/>
  <c r="I7" i="2"/>
  <c r="I8" i="2"/>
  <c r="I6" i="2"/>
  <c r="I5" i="2"/>
  <c r="I6" i="1"/>
  <c r="I7" i="1"/>
  <c r="I8" i="1"/>
  <c r="I9" i="1"/>
  <c r="I10" i="1"/>
  <c r="I11" i="1"/>
  <c r="I12" i="1"/>
  <c r="I13" i="1"/>
  <c r="I14" i="1"/>
  <c r="I5" i="1"/>
  <c r="I16" i="6" l="1"/>
  <c r="I15" i="2"/>
  <c r="I18" i="5"/>
  <c r="I15" i="4"/>
  <c r="Q4" i="32"/>
  <c r="Q4" i="35"/>
  <c r="R4" i="33"/>
  <c r="P6" i="33" s="1"/>
  <c r="R4" i="32"/>
  <c r="P6" i="32" s="1"/>
  <c r="R4" i="31"/>
  <c r="P6" i="31" s="1"/>
  <c r="Q4" i="31"/>
  <c r="R4" i="30"/>
  <c r="P6" i="30" s="1"/>
  <c r="Q4" i="30"/>
  <c r="Q4" i="29"/>
  <c r="Q4" i="28"/>
  <c r="R4" i="27"/>
  <c r="P6" i="27" s="1"/>
  <c r="Q4" i="27"/>
  <c r="Q4" i="25"/>
  <c r="Q4" i="24"/>
  <c r="R4" i="22"/>
  <c r="P6" i="22" s="1"/>
  <c r="Q4" i="22"/>
  <c r="I15" i="3"/>
</calcChain>
</file>

<file path=xl/sharedStrings.xml><?xml version="1.0" encoding="utf-8"?>
<sst xmlns="http://schemas.openxmlformats.org/spreadsheetml/2006/main" count="4034" uniqueCount="239">
  <si>
    <t xml:space="preserve">         </t>
  </si>
  <si>
    <t>Winners Capital Line</t>
  </si>
  <si>
    <t>DATE</t>
  </si>
  <si>
    <t>BUY/SELL</t>
  </si>
  <si>
    <t>SCRIPTS</t>
  </si>
  <si>
    <t>ENTRY</t>
  </si>
  <si>
    <t>EXIT</t>
  </si>
  <si>
    <t>QTY</t>
  </si>
  <si>
    <t>TOTAL POINTS</t>
  </si>
  <si>
    <t xml:space="preserve">PROFIT </t>
  </si>
  <si>
    <t xml:space="preserve">                                                                     PERFORMANCE  OF ULTRA BTST/STBT EQUITY FEBRUARY 2016 </t>
  </si>
  <si>
    <t xml:space="preserve">                                                                       PERFORMANCE  OF ULTRA BTST/STBT EQUITY JANUARY 2016 </t>
  </si>
  <si>
    <t>SELL</t>
  </si>
  <si>
    <t>SBIN</t>
  </si>
  <si>
    <t>JSWSTEEL</t>
  </si>
  <si>
    <t xml:space="preserve">BUY </t>
  </si>
  <si>
    <t>NIFTY</t>
  </si>
  <si>
    <t>M&amp;M</t>
  </si>
  <si>
    <t>LT</t>
  </si>
  <si>
    <t>BUY</t>
  </si>
  <si>
    <t>BANKNIFTY</t>
  </si>
  <si>
    <t>CANBK</t>
  </si>
  <si>
    <t xml:space="preserve">YESBANK </t>
  </si>
  <si>
    <t xml:space="preserve">                                                                     PERFORMANCE  OF ULTRA BTST/STBT EQUITY MARCH 2016 </t>
  </si>
  <si>
    <t>TATAMOTORS</t>
  </si>
  <si>
    <t xml:space="preserve">                                                                     PERFORMANCE  OF ULTRA BTST/STBT EQUITY APRIL 2016 </t>
  </si>
  <si>
    <t>EXIDEIND</t>
  </si>
  <si>
    <t>MARUTI</t>
  </si>
  <si>
    <t>ICICIBANK</t>
  </si>
  <si>
    <t xml:space="preserve">                                                                     PERFORMANCE  OF ULTRA BTST/STBT EQUITY MAY 2016 </t>
  </si>
  <si>
    <t>ICICIBAK</t>
  </si>
  <si>
    <t>HCLTECH</t>
  </si>
  <si>
    <t xml:space="preserve">                                                                     PERFORMANCE  OF ULTRA BTST/STBT EQUITY JUNE 2016 </t>
  </si>
  <si>
    <t>YESBANK</t>
  </si>
  <si>
    <t>HINDPETRO</t>
  </si>
  <si>
    <t xml:space="preserve">                                                                     PERFORMANCE  OF ULTRA BTST/STBT EQUITY JULY 2016 </t>
  </si>
  <si>
    <t>SUNPHARMA</t>
  </si>
  <si>
    <t>BATAINDIA</t>
  </si>
  <si>
    <t>AXISBANK</t>
  </si>
  <si>
    <t xml:space="preserve">                                                                     PERFORMANCE  OF ULTRA BTST/STBT EQUITY AUGUST 2016 </t>
  </si>
  <si>
    <t xml:space="preserve">                                                                     PERFORMANCE  OF ULTRA BTST/STBT EQUITY SEPTEMBER - 2016 </t>
  </si>
  <si>
    <t xml:space="preserve">                                                                     PERFORMANCE  OF ULTRA BTST/STBT EQUITY OCT-2016 </t>
  </si>
  <si>
    <t>VEDL</t>
  </si>
  <si>
    <t>M&amp;MFIN</t>
  </si>
  <si>
    <t>KPIT</t>
  </si>
  <si>
    <t xml:space="preserve">                                                                     PERFORMANCE  OF ULTRA BTST/STBT EQUITY NOVEMBER - 2016 </t>
  </si>
  <si>
    <t xml:space="preserve">                                                                     PERFORMANCE  OF ULTRA BTST/STBT EQUITY DECEMBER - 2016 </t>
  </si>
  <si>
    <t>INFRATEL</t>
  </si>
  <si>
    <t xml:space="preserve">                                                                     PERFORMANCE  OF ULTRA BTST/STBT EQUITY JANUARY - 2017</t>
  </si>
  <si>
    <t xml:space="preserve">                                                                     PERFORMANCE  OF ULTRA BTST/STBT EQUITY FEBRUARY - 2017</t>
  </si>
  <si>
    <t xml:space="preserve">                                                                     PERFORMANCE  OF ULTRA BTST/STBT EQUITY MARCH - 2017</t>
  </si>
  <si>
    <t xml:space="preserve">                                                                     PERFORMANCE  OF ULTRA BTST/STBT EQUITY APRIL - 2017</t>
  </si>
  <si>
    <t xml:space="preserve">                                                                     PERFORMANCE  OF ULTRA BTST/STBT EQUITY MAY - 2017</t>
  </si>
  <si>
    <t xml:space="preserve">                                                                     PERFORMANCE  OF ULTRA BTST/STBT EQUITY JUNE- 2017</t>
  </si>
  <si>
    <t>DIVISLAB</t>
  </si>
  <si>
    <t>PEL</t>
  </si>
  <si>
    <t>RELIANCE</t>
  </si>
  <si>
    <t xml:space="preserve">                                                                     PERFORMANCE  OF ULTRA BTST/STBT EQUITY JULY- 2017</t>
  </si>
  <si>
    <t>DRREDDY</t>
  </si>
  <si>
    <t>Winnes Capital Line</t>
  </si>
  <si>
    <t>CALLS DETAILS</t>
  </si>
  <si>
    <t>TOTAL CALLS</t>
  </si>
  <si>
    <t>TGT HIT</t>
  </si>
  <si>
    <t>SL HIT</t>
  </si>
  <si>
    <t>BE EXIT</t>
  </si>
  <si>
    <t>ACCURACY</t>
  </si>
  <si>
    <t>Sr.</t>
  </si>
  <si>
    <t>Accuracy of the Month</t>
  </si>
  <si>
    <t>www.winnerscapitalline.com</t>
  </si>
  <si>
    <t>Total</t>
  </si>
  <si>
    <t>Back</t>
  </si>
  <si>
    <t>↓↓↓↓↓</t>
  </si>
  <si>
    <t>Click any Month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</si>
  <si>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</si>
  <si>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</si>
  <si>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</si>
  <si>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</si>
  <si>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</si>
  <si>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</si>
  <si>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</si>
  <si>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</si>
  <si>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</si>
  <si>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</si>
  <si>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AUGUST</t>
  </si>
  <si>
    <t>September</t>
  </si>
  <si>
    <t>October</t>
  </si>
  <si>
    <t>November</t>
  </si>
  <si>
    <t>December</t>
  </si>
  <si>
    <t xml:space="preserve"> </t>
  </si>
  <si>
    <t>PERFORMANCE  OF ULTRA BTST/STBT  EQUITY</t>
  </si>
  <si>
    <t>BTST EQUITY</t>
  </si>
  <si>
    <t>SEPTEMBER</t>
  </si>
  <si>
    <t>UJJIVAN</t>
  </si>
  <si>
    <t>OCTOBER</t>
  </si>
  <si>
    <t>NOVEMBER</t>
  </si>
  <si>
    <t>DECEMBER</t>
  </si>
  <si>
    <t>APOLLOHOSP</t>
  </si>
  <si>
    <t>BAJFINANCE</t>
  </si>
  <si>
    <t>ZEEL</t>
  </si>
  <si>
    <t xml:space="preserve">NIFTY </t>
  </si>
  <si>
    <t>ARVIND</t>
  </si>
  <si>
    <t>WOCKPHARMA</t>
  </si>
  <si>
    <t>NTPC</t>
  </si>
  <si>
    <t>HAVELLS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</si>
  <si>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</si>
  <si>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</si>
  <si>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</si>
  <si>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</si>
  <si>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</si>
  <si>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</si>
  <si>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</si>
  <si>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</si>
  <si>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</si>
  <si>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</si>
  <si>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</si>
  <si>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</si>
  <si>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GRASIM</t>
  </si>
  <si>
    <t>TITAN</t>
  </si>
  <si>
    <t>MINDTREE</t>
  </si>
  <si>
    <t xml:space="preserve">RELIANCE </t>
  </si>
  <si>
    <t>JUBLFOOD</t>
  </si>
  <si>
    <t>KOTAKBANK</t>
  </si>
  <si>
    <t xml:space="preserve">TECHM </t>
  </si>
  <si>
    <t xml:space="preserve">HDFC </t>
  </si>
  <si>
    <t>IOC</t>
  </si>
  <si>
    <t>INDUSINDBK</t>
  </si>
  <si>
    <t>TCS</t>
  </si>
  <si>
    <t>HDFC</t>
  </si>
  <si>
    <t>AMARAJABAT</t>
  </si>
  <si>
    <t>TVSMOTOR</t>
  </si>
  <si>
    <t xml:space="preserve">INDIGO </t>
  </si>
  <si>
    <t>MGL</t>
  </si>
  <si>
    <t>HEROMOTOCO</t>
  </si>
  <si>
    <t>HINDUNILVR</t>
  </si>
  <si>
    <t>CUMMINSIND</t>
  </si>
  <si>
    <t>HDFCBANK</t>
  </si>
  <si>
    <t>SRF</t>
  </si>
  <si>
    <t>ACC</t>
  </si>
  <si>
    <t>HDFCLIFE</t>
  </si>
  <si>
    <t>TECHM</t>
  </si>
  <si>
    <t>LUPIN</t>
  </si>
  <si>
    <t>SUNTV</t>
  </si>
  <si>
    <t>RAMCOCEM</t>
  </si>
  <si>
    <t>PIDILITIND</t>
  </si>
  <si>
    <t>SBILIFE</t>
  </si>
  <si>
    <t xml:space="preserve">INDUSINDBK </t>
  </si>
  <si>
    <t>LICHSGFIN</t>
  </si>
  <si>
    <t>BANDHANBANK</t>
  </si>
  <si>
    <t>VOLTAS</t>
  </si>
  <si>
    <t>MANAPPURAM</t>
  </si>
  <si>
    <t>TVSMOTORS</t>
  </si>
  <si>
    <t>ITC</t>
  </si>
  <si>
    <t>INDIGO</t>
  </si>
  <si>
    <t>MARICO</t>
  </si>
  <si>
    <t>TATACONSUM</t>
  </si>
  <si>
    <t>MCDOWELL-N</t>
  </si>
  <si>
    <t>BAJAJAUTO</t>
  </si>
  <si>
    <t>BALKRISIND</t>
  </si>
  <si>
    <t>ICICIPRULI</t>
  </si>
  <si>
    <t>RBLBANK</t>
  </si>
  <si>
    <t>GODREJPROP</t>
  </si>
  <si>
    <t>NMDC</t>
  </si>
  <si>
    <t>BRITANNIA</t>
  </si>
  <si>
    <t>MOTHERSUMI</t>
  </si>
  <si>
    <t>IBULHSGFIN</t>
  </si>
  <si>
    <t>AUBANK</t>
  </si>
  <si>
    <t xml:space="preserve">VEDL </t>
  </si>
  <si>
    <t>INFY</t>
  </si>
  <si>
    <t>BHARATFORG</t>
  </si>
  <si>
    <t>AARTIIND</t>
  </si>
  <si>
    <t>UBL</t>
  </si>
  <si>
    <t>SIEMEANS</t>
  </si>
  <si>
    <t>DIXON</t>
  </si>
  <si>
    <t xml:space="preserve">HAL </t>
  </si>
  <si>
    <t>ABFRL</t>
  </si>
  <si>
    <t>BERGEPAINT</t>
  </si>
  <si>
    <t>ASTRAL</t>
  </si>
  <si>
    <t>GUJGASLTD</t>
  </si>
  <si>
    <t>DLF</t>
  </si>
  <si>
    <t>ULTRACEMCO</t>
  </si>
  <si>
    <t>TORNTPOWER</t>
  </si>
  <si>
    <t>NAVINFLOUR</t>
  </si>
  <si>
    <t>IDFCFIRSTB</t>
  </si>
  <si>
    <t xml:space="preserve">BANKNIFTY </t>
  </si>
  <si>
    <t>BANKNARODA</t>
  </si>
  <si>
    <t>SBICARD</t>
  </si>
  <si>
    <t>POLCAB</t>
  </si>
  <si>
    <t>TATASTEEL</t>
  </si>
  <si>
    <t>ICICIGI</t>
  </si>
  <si>
    <t>CUMMINSID</t>
  </si>
  <si>
    <t>LTI</t>
  </si>
  <si>
    <t>GNFC</t>
  </si>
  <si>
    <t>SRTRASFIN</t>
  </si>
  <si>
    <t>ASIANPAINT</t>
  </si>
  <si>
    <t>GUJGAS</t>
  </si>
  <si>
    <t>ADANIENT</t>
  </si>
  <si>
    <t>ONGC</t>
  </si>
  <si>
    <t>HCLTEH</t>
  </si>
  <si>
    <t>SRTRANSFIN</t>
  </si>
  <si>
    <t>TATACHEM</t>
  </si>
  <si>
    <t>COROMANDEL</t>
  </si>
  <si>
    <t>MCX</t>
  </si>
  <si>
    <t>BHARTIARTL</t>
  </si>
  <si>
    <t xml:space="preserve">MARUTI </t>
  </si>
  <si>
    <t xml:space="preserve">HCLTECH </t>
  </si>
  <si>
    <t>BAJAJFINSV</t>
  </si>
  <si>
    <t>SIEMENS</t>
  </si>
  <si>
    <t>LTTS</t>
  </si>
  <si>
    <t>UPL</t>
  </si>
  <si>
    <t>ADANIPORTS</t>
  </si>
  <si>
    <t>JANUARY</t>
  </si>
  <si>
    <t>FEBRUARY</t>
  </si>
  <si>
    <t>MARCH</t>
  </si>
  <si>
    <t>APRIL</t>
  </si>
  <si>
    <t>MAY</t>
  </si>
  <si>
    <t>JUNE</t>
  </si>
  <si>
    <t>JULY</t>
  </si>
  <si>
    <t xml:space="preserve">BBTC </t>
  </si>
  <si>
    <t>INDIAMART</t>
  </si>
  <si>
    <t>JK CEMENT</t>
  </si>
  <si>
    <t>CANFINHOME</t>
  </si>
  <si>
    <t>WIPRO</t>
  </si>
  <si>
    <t>BANKBARODA</t>
  </si>
  <si>
    <t>HAL</t>
  </si>
  <si>
    <t>BAKNIFTY</t>
  </si>
  <si>
    <t>LALPATHLAB</t>
  </si>
  <si>
    <t>BAJFINACE</t>
  </si>
  <si>
    <t xml:space="preserve">  </t>
  </si>
  <si>
    <t>BAKNNIFTY</t>
  </si>
  <si>
    <t>BSOFT</t>
  </si>
  <si>
    <t>TRENT</t>
  </si>
  <si>
    <t>TATACOMM</t>
  </si>
  <si>
    <t>IGL</t>
  </si>
  <si>
    <t>HDFCAMC</t>
  </si>
  <si>
    <t>ABB</t>
  </si>
  <si>
    <t>PVRINOX</t>
  </si>
  <si>
    <t>BHEL</t>
  </si>
  <si>
    <t>POLYCAB</t>
  </si>
  <si>
    <t xml:space="preserve">DIXON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</si>
</sst>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/yy;@"/>
    <numFmt numFmtId="165" formatCode="0_ ;[Red]\-0\ "/>
  </numFmts>
  <fonts count="31" x14ac:knownFonts="1">
    <font>
      <sz val="11"/>
      <color theme="1"/>
      <name val="Calibri"/>
      <family val="2"/>
      <scheme val="minor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name val="Calibri"/>
      <family val="2"/>
      <scheme val="minor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72"/>
      <color rgb="FFFF0000"/>
      <name val="Calibri"/>
      <family val="2"/>
      <scheme val="minor"/>
    </font>
    <font>
      <b/>
      <sz val="70"/>
      <color rgb="FFFF0000"/>
      <name val="Calibri"/>
      <family val="2"/>
      <scheme val="minor"/>
    </font>
    <font>
      <b/>
      <sz val="28"/>
      <color rgb="FFFFC000"/>
      <name val="Calibri"/>
      <family val="2"/>
    </font>
    <font>
      <b/>
      <sz val="26"/>
      <color rgb="FFFFC000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26"/>
      <color theme="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</cellStyleXfs>
  <cellXfs count="189">
    <xf numFmtId="0" fontId="0" fillId="0" borderId="0" xfId="0"/>
    <xf numFmtId="49" fontId="3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14" fontId="5" fillId="0" borderId="0" xfId="0" applyNumberFormat="1" applyFont="1"/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5" xfId="0" applyFill="1" applyBorder="1" applyAlignment="1">
      <alignment shrinkToFit="1"/>
    </xf>
    <xf numFmtId="0" fontId="0" fillId="4" borderId="6" xfId="0" applyFill="1" applyBorder="1" applyAlignment="1">
      <alignment shrinkToFit="1"/>
    </xf>
    <xf numFmtId="0" fontId="0" fillId="4" borderId="7" xfId="0" applyFill="1" applyBorder="1" applyAlignment="1">
      <alignment shrinkToFit="1"/>
    </xf>
    <xf numFmtId="0" fontId="0" fillId="7" borderId="0" xfId="0" applyFill="1" applyAlignment="1">
      <alignment shrinkToFit="1"/>
    </xf>
    <xf numFmtId="0" fontId="0" fillId="4" borderId="8" xfId="0" applyFill="1" applyBorder="1" applyAlignment="1">
      <alignment shrinkToFit="1"/>
    </xf>
    <xf numFmtId="0" fontId="0" fillId="4" borderId="11" xfId="0" applyFill="1" applyBorder="1" applyAlignment="1">
      <alignment shrinkToFit="1"/>
    </xf>
    <xf numFmtId="0" fontId="3" fillId="3" borderId="17" xfId="0" applyFont="1" applyFill="1" applyBorder="1" applyAlignment="1">
      <alignment horizontal="center" shrinkToFit="1"/>
    </xf>
    <xf numFmtId="49" fontId="3" fillId="3" borderId="18" xfId="0" applyNumberFormat="1" applyFont="1" applyFill="1" applyBorder="1" applyAlignment="1">
      <alignment horizontal="center" shrinkToFit="1"/>
    </xf>
    <xf numFmtId="0" fontId="4" fillId="3" borderId="18" xfId="0" applyFont="1" applyFill="1" applyBorder="1" applyAlignment="1">
      <alignment horizontal="center" shrinkToFit="1"/>
    </xf>
    <xf numFmtId="0" fontId="3" fillId="3" borderId="18" xfId="0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14" fontId="0" fillId="0" borderId="22" xfId="0" applyNumberFormat="1" applyBorder="1" applyAlignment="1">
      <alignment horizontal="center" shrinkToFit="1"/>
    </xf>
    <xf numFmtId="1" fontId="0" fillId="0" borderId="22" xfId="0" applyNumberFormat="1" applyBorder="1" applyAlignment="1">
      <alignment horizontal="center" shrinkToFit="1"/>
    </xf>
    <xf numFmtId="165" fontId="0" fillId="0" borderId="22" xfId="0" applyNumberFormat="1" applyBorder="1" applyAlignment="1">
      <alignment horizontal="center" shrinkToFit="1"/>
    </xf>
    <xf numFmtId="165" fontId="0" fillId="0" borderId="25" xfId="0" applyNumberForma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14" fontId="0" fillId="0" borderId="28" xfId="0" applyNumberFormat="1" applyBorder="1" applyAlignment="1">
      <alignment horizontal="center" shrinkToFit="1"/>
    </xf>
    <xf numFmtId="1" fontId="0" fillId="0" borderId="28" xfId="0" applyNumberFormat="1" applyBorder="1" applyAlignment="1">
      <alignment horizontal="center" shrinkToFit="1"/>
    </xf>
    <xf numFmtId="165" fontId="0" fillId="0" borderId="28" xfId="0" applyNumberFormat="1" applyBorder="1" applyAlignment="1">
      <alignment horizontal="center" shrinkToFit="1"/>
    </xf>
    <xf numFmtId="165" fontId="0" fillId="0" borderId="31" xfId="0" applyNumberFormat="1" applyBorder="1" applyAlignment="1">
      <alignment horizontal="center" shrinkToFit="1"/>
    </xf>
    <xf numFmtId="0" fontId="0" fillId="7" borderId="0" xfId="0" applyFill="1" applyAlignment="1">
      <alignment horizontal="center" shrinkToFit="1"/>
    </xf>
    <xf numFmtId="0" fontId="22" fillId="9" borderId="39" xfId="0" applyFont="1" applyFill="1" applyBorder="1" applyAlignment="1">
      <alignment horizontal="center" shrinkToFit="1"/>
    </xf>
    <xf numFmtId="1" fontId="22" fillId="9" borderId="39" xfId="0" applyNumberFormat="1" applyFont="1" applyFill="1" applyBorder="1" applyAlignment="1">
      <alignment horizontal="center" shrinkToFit="1"/>
    </xf>
    <xf numFmtId="0" fontId="0" fillId="4" borderId="35" xfId="0" applyFill="1" applyBorder="1" applyAlignment="1">
      <alignment shrinkToFit="1"/>
    </xf>
    <xf numFmtId="0" fontId="0" fillId="4" borderId="1" xfId="0" applyFill="1" applyBorder="1" applyAlignment="1">
      <alignment shrinkToFit="1"/>
    </xf>
    <xf numFmtId="0" fontId="0" fillId="4" borderId="38" xfId="0" applyFill="1" applyBorder="1" applyAlignment="1">
      <alignment shrinkToFit="1"/>
    </xf>
    <xf numFmtId="0" fontId="0" fillId="7" borderId="0" xfId="0" applyFill="1" applyAlignment="1">
      <alignment horizontal="center"/>
    </xf>
    <xf numFmtId="0" fontId="0" fillId="7" borderId="0" xfId="0" applyFill="1"/>
    <xf numFmtId="0" fontId="28" fillId="14" borderId="6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12" fillId="11" borderId="12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19" fillId="16" borderId="25" xfId="2" applyFill="1" applyBorder="1" applyAlignment="1" applyProtection="1">
      <alignment horizontal="center"/>
    </xf>
    <xf numFmtId="0" fontId="0" fillId="17" borderId="21" xfId="0" applyFill="1" applyBorder="1" applyAlignment="1">
      <alignment horizontal="center"/>
    </xf>
    <xf numFmtId="0" fontId="19" fillId="17" borderId="25" xfId="2" applyFill="1" applyBorder="1" applyAlignment="1" applyProtection="1">
      <alignment horizontal="center"/>
    </xf>
    <xf numFmtId="0" fontId="0" fillId="15" borderId="27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19" fillId="16" borderId="31" xfId="2" applyFill="1" applyBorder="1" applyAlignment="1" applyProtection="1">
      <alignment horizontal="center"/>
    </xf>
    <xf numFmtId="0" fontId="0" fillId="17" borderId="27" xfId="0" applyFill="1" applyBorder="1" applyAlignment="1">
      <alignment horizontal="center"/>
    </xf>
    <xf numFmtId="0" fontId="19" fillId="17" borderId="31" xfId="2" applyFill="1" applyBorder="1" applyAlignment="1" applyProtection="1">
      <alignment horizontal="center"/>
    </xf>
    <xf numFmtId="0" fontId="19" fillId="15" borderId="31" xfId="2" applyFill="1" applyBorder="1" applyAlignment="1" applyProtection="1">
      <alignment horizontal="center"/>
    </xf>
    <xf numFmtId="0" fontId="0" fillId="15" borderId="40" xfId="0" applyFill="1" applyBorder="1" applyAlignment="1">
      <alignment horizontal="center"/>
    </xf>
    <xf numFmtId="0" fontId="19" fillId="15" borderId="41" xfId="2" applyFill="1" applyBorder="1" applyAlignment="1" applyProtection="1">
      <alignment horizontal="center"/>
    </xf>
    <xf numFmtId="0" fontId="0" fillId="16" borderId="40" xfId="0" applyFill="1" applyBorder="1" applyAlignment="1">
      <alignment horizontal="center"/>
    </xf>
    <xf numFmtId="0" fontId="19" fillId="16" borderId="41" xfId="2" applyFill="1" applyBorder="1" applyAlignment="1" applyProtection="1">
      <alignment horizontal="center"/>
    </xf>
    <xf numFmtId="0" fontId="0" fillId="17" borderId="40" xfId="0" applyFill="1" applyBorder="1" applyAlignment="1">
      <alignment horizontal="center"/>
    </xf>
    <xf numFmtId="0" fontId="19" fillId="17" borderId="41" xfId="2" applyFill="1" applyBorder="1" applyAlignment="1" applyProtection="1">
      <alignment horizontal="center"/>
    </xf>
    <xf numFmtId="0" fontId="30" fillId="11" borderId="39" xfId="2" applyFont="1" applyFill="1" applyBorder="1" applyAlignment="1" applyProtection="1">
      <alignment horizontal="center" vertical="center" shrinkToFit="1"/>
    </xf>
    <xf numFmtId="0" fontId="0" fillId="7" borderId="42" xfId="0" applyFill="1" applyBorder="1" applyAlignment="1">
      <alignment shrinkToFit="1"/>
    </xf>
    <xf numFmtId="0" fontId="0" fillId="7" borderId="43" xfId="0" applyFill="1" applyBorder="1" applyAlignment="1">
      <alignment shrinkToFit="1"/>
    </xf>
    <xf numFmtId="0" fontId="0" fillId="7" borderId="44" xfId="0" applyFill="1" applyBorder="1" applyAlignment="1">
      <alignment shrinkToFit="1"/>
    </xf>
    <xf numFmtId="0" fontId="0" fillId="7" borderId="45" xfId="0" applyFill="1" applyBorder="1" applyAlignment="1">
      <alignment shrinkToFit="1"/>
    </xf>
    <xf numFmtId="0" fontId="0" fillId="7" borderId="46" xfId="0" applyFill="1" applyBorder="1" applyAlignment="1">
      <alignment shrinkToFit="1"/>
    </xf>
    <xf numFmtId="0" fontId="0" fillId="7" borderId="46" xfId="0" applyFill="1" applyBorder="1" applyAlignment="1">
      <alignment horizontal="center" shrinkToFit="1"/>
    </xf>
    <xf numFmtId="0" fontId="0" fillId="7" borderId="47" xfId="0" applyFill="1" applyBorder="1" applyAlignment="1">
      <alignment shrinkToFit="1"/>
    </xf>
    <xf numFmtId="0" fontId="0" fillId="7" borderId="48" xfId="0" applyFill="1" applyBorder="1" applyAlignment="1">
      <alignment shrinkToFit="1"/>
    </xf>
    <xf numFmtId="0" fontId="0" fillId="7" borderId="49" xfId="0" applyFill="1" applyBorder="1" applyAlignment="1">
      <alignment shrinkToFit="1"/>
    </xf>
    <xf numFmtId="0" fontId="19" fillId="15" borderId="25" xfId="2" applyFill="1" applyBorder="1" applyAlignment="1" applyProtection="1">
      <alignment horizontal="center"/>
    </xf>
    <xf numFmtId="2" fontId="0" fillId="0" borderId="28" xfId="0" applyNumberFormat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3" fillId="3" borderId="1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165" fontId="0" fillId="0" borderId="50" xfId="0" applyNumberFormat="1" applyBorder="1" applyAlignment="1">
      <alignment horizontal="center" shrinkToFit="1"/>
    </xf>
    <xf numFmtId="49" fontId="3" fillId="3" borderId="4" xfId="0" applyNumberFormat="1" applyFont="1" applyFill="1" applyBorder="1" applyAlignment="1">
      <alignment horizontal="center" shrinkToFit="1"/>
    </xf>
    <xf numFmtId="14" fontId="0" fillId="0" borderId="50" xfId="0" applyNumberForma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4" fillId="3" borderId="4" xfId="0" applyFont="1" applyFill="1" applyBorder="1" applyAlignment="1">
      <alignment horizontal="center" shrinkToFit="1"/>
    </xf>
    <xf numFmtId="0" fontId="22" fillId="9" borderId="26" xfId="0" applyFont="1" applyFill="1" applyBorder="1" applyAlignment="1">
      <alignment horizontal="center" shrinkToFit="1"/>
    </xf>
    <xf numFmtId="1" fontId="22" fillId="9" borderId="26" xfId="0" applyNumberFormat="1" applyFont="1" applyFill="1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14" fontId="0" fillId="0" borderId="21" xfId="0" applyNumberFormat="1" applyBorder="1" applyAlignment="1">
      <alignment horizontal="center" shrinkToFit="1"/>
    </xf>
    <xf numFmtId="14" fontId="0" fillId="0" borderId="27" xfId="0" applyNumberFormat="1" applyBorder="1" applyAlignment="1">
      <alignment horizontal="center" shrinkToFit="1"/>
    </xf>
    <xf numFmtId="14" fontId="0" fillId="0" borderId="40" xfId="0" applyNumberFormat="1" applyBorder="1" applyAlignment="1">
      <alignment horizontal="center" shrinkToFit="1"/>
    </xf>
    <xf numFmtId="1" fontId="0" fillId="0" borderId="53" xfId="0" applyNumberFormat="1" applyBorder="1" applyAlignment="1">
      <alignment horizontal="center" shrinkToFit="1"/>
    </xf>
    <xf numFmtId="165" fontId="0" fillId="0" borderId="53" xfId="0" applyNumberFormat="1" applyBorder="1" applyAlignment="1">
      <alignment horizontal="center" shrinkToFit="1"/>
    </xf>
    <xf numFmtId="165" fontId="0" fillId="0" borderId="41" xfId="0" applyNumberFormat="1" applyBorder="1" applyAlignment="1">
      <alignment horizontal="center" shrinkToFit="1"/>
    </xf>
    <xf numFmtId="0" fontId="0" fillId="18" borderId="28" xfId="0" applyFill="1" applyBorder="1" applyAlignment="1">
      <alignment horizontal="center"/>
    </xf>
    <xf numFmtId="0" fontId="19" fillId="18" borderId="28" xfId="2" applyFill="1" applyBorder="1" applyAlignment="1" applyProtection="1">
      <alignment horizontal="center"/>
    </xf>
    <xf numFmtId="0" fontId="0" fillId="19" borderId="28" xfId="0" applyFill="1" applyBorder="1" applyAlignment="1">
      <alignment horizontal="center"/>
    </xf>
    <xf numFmtId="0" fontId="19" fillId="19" borderId="28" xfId="2" applyFill="1" applyBorder="1" applyAlignment="1" applyProtection="1">
      <alignment horizontal="center"/>
    </xf>
    <xf numFmtId="0" fontId="19" fillId="19" borderId="28" xfId="2" applyFill="1" applyBorder="1" applyAlignment="1" applyProtection="1">
      <alignment horizontal="center" vertical="center"/>
    </xf>
    <xf numFmtId="14" fontId="0" fillId="0" borderId="54" xfId="0" applyNumberFormat="1" applyBorder="1" applyAlignment="1">
      <alignment horizontal="center" shrinkToFit="1"/>
    </xf>
    <xf numFmtId="1" fontId="0" fillId="0" borderId="55" xfId="0" applyNumberForma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3" fillId="3" borderId="12" xfId="0" applyFont="1" applyFill="1" applyBorder="1" applyAlignment="1">
      <alignment horizontal="center" shrinkToFit="1"/>
    </xf>
    <xf numFmtId="0" fontId="19" fillId="18" borderId="28" xfId="2" applyFill="1" applyBorder="1" applyAlignment="1" applyProtection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4" fillId="9" borderId="4" xfId="0" applyFont="1" applyFill="1" applyBorder="1" applyAlignment="1">
      <alignment horizontal="center" vertical="center" shrinkToFit="1"/>
    </xf>
    <xf numFmtId="0" fontId="14" fillId="9" borderId="15" xfId="0" applyFont="1" applyFill="1" applyBorder="1" applyAlignment="1">
      <alignment horizontal="center" vertical="center" shrinkToFit="1"/>
    </xf>
    <xf numFmtId="164" fontId="2" fillId="20" borderId="9" xfId="0" applyNumberFormat="1" applyFont="1" applyFill="1" applyBorder="1" applyAlignment="1">
      <alignment horizontal="center" shrinkToFit="1"/>
    </xf>
    <xf numFmtId="164" fontId="2" fillId="20" borderId="2" xfId="0" applyNumberFormat="1" applyFont="1" applyFill="1" applyBorder="1" applyAlignment="1">
      <alignment horizontal="center" shrinkToFit="1"/>
    </xf>
    <xf numFmtId="164" fontId="2" fillId="20" borderId="10" xfId="0" applyNumberFormat="1" applyFont="1" applyFill="1" applyBorder="1" applyAlignment="1">
      <alignment horizontal="center" shrinkToFit="1"/>
    </xf>
    <xf numFmtId="0" fontId="17" fillId="11" borderId="5" xfId="0" applyFont="1" applyFill="1" applyBorder="1" applyAlignment="1">
      <alignment horizontal="center" vertical="center" shrinkToFit="1"/>
    </xf>
    <xf numFmtId="0" fontId="17" fillId="11" borderId="6" xfId="0" applyFont="1" applyFill="1" applyBorder="1" applyAlignment="1">
      <alignment horizontal="center" vertical="center" shrinkToFit="1"/>
    </xf>
    <xf numFmtId="0" fontId="17" fillId="11" borderId="3" xfId="0" applyFont="1" applyFill="1" applyBorder="1" applyAlignment="1">
      <alignment horizontal="center" vertical="center" shrinkToFit="1"/>
    </xf>
    <xf numFmtId="0" fontId="17" fillId="11" borderId="8" xfId="0" applyFont="1" applyFill="1" applyBorder="1" applyAlignment="1">
      <alignment horizontal="center" vertical="center" shrinkToFit="1"/>
    </xf>
    <xf numFmtId="0" fontId="17" fillId="11" borderId="0" xfId="0" applyFont="1" applyFill="1" applyAlignment="1">
      <alignment horizontal="center" vertical="center" shrinkToFit="1"/>
    </xf>
    <xf numFmtId="0" fontId="17" fillId="11" borderId="33" xfId="0" applyFont="1" applyFill="1" applyBorder="1" applyAlignment="1">
      <alignment horizontal="center" vertical="center" shrinkToFit="1"/>
    </xf>
    <xf numFmtId="0" fontId="17" fillId="11" borderId="35" xfId="0" applyFont="1" applyFill="1" applyBorder="1" applyAlignment="1">
      <alignment horizontal="center" vertical="center" shrinkToFit="1"/>
    </xf>
    <xf numFmtId="0" fontId="17" fillId="11" borderId="1" xfId="0" applyFont="1" applyFill="1" applyBorder="1" applyAlignment="1">
      <alignment horizontal="center" vertical="center" shrinkToFit="1"/>
    </xf>
    <xf numFmtId="0" fontId="17" fillId="11" borderId="36" xfId="0" applyFont="1" applyFill="1" applyBorder="1" applyAlignment="1">
      <alignment horizontal="center" vertical="center" shrinkToFit="1"/>
    </xf>
    <xf numFmtId="10" fontId="18" fillId="8" borderId="32" xfId="0" applyNumberFormat="1" applyFont="1" applyFill="1" applyBorder="1" applyAlignment="1">
      <alignment horizontal="center" vertical="center" shrinkToFit="1"/>
    </xf>
    <xf numFmtId="10" fontId="18" fillId="8" borderId="6" xfId="0" applyNumberFormat="1" applyFont="1" applyFill="1" applyBorder="1" applyAlignment="1">
      <alignment horizontal="center" vertical="center" shrinkToFit="1"/>
    </xf>
    <xf numFmtId="10" fontId="18" fillId="8" borderId="7" xfId="0" applyNumberFormat="1" applyFont="1" applyFill="1" applyBorder="1" applyAlignment="1">
      <alignment horizontal="center" vertical="center" shrinkToFit="1"/>
    </xf>
    <xf numFmtId="10" fontId="18" fillId="8" borderId="34" xfId="0" applyNumberFormat="1" applyFont="1" applyFill="1" applyBorder="1" applyAlignment="1">
      <alignment horizontal="center" vertical="center" shrinkToFit="1"/>
    </xf>
    <xf numFmtId="10" fontId="18" fillId="8" borderId="0" xfId="0" applyNumberFormat="1" applyFont="1" applyFill="1" applyAlignment="1">
      <alignment horizontal="center" vertical="center" shrinkToFit="1"/>
    </xf>
    <xf numFmtId="10" fontId="18" fillId="8" borderId="11" xfId="0" applyNumberFormat="1" applyFont="1" applyFill="1" applyBorder="1" applyAlignment="1">
      <alignment horizontal="center" vertical="center" shrinkToFit="1"/>
    </xf>
    <xf numFmtId="10" fontId="18" fillId="8" borderId="37" xfId="0" applyNumberFormat="1" applyFont="1" applyFill="1" applyBorder="1" applyAlignment="1">
      <alignment horizontal="center" vertical="center" shrinkToFit="1"/>
    </xf>
    <xf numFmtId="10" fontId="18" fillId="8" borderId="1" xfId="0" applyNumberFormat="1" applyFont="1" applyFill="1" applyBorder="1" applyAlignment="1">
      <alignment horizontal="center" vertical="center" shrinkToFit="1"/>
    </xf>
    <xf numFmtId="10" fontId="18" fillId="8" borderId="38" xfId="0" applyNumberFormat="1" applyFont="1" applyFill="1" applyBorder="1" applyAlignment="1">
      <alignment horizontal="center" vertical="center" shrinkToFit="1"/>
    </xf>
    <xf numFmtId="0" fontId="20" fillId="0" borderId="9" xfId="2" applyNumberFormat="1" applyFont="1" applyBorder="1" applyAlignment="1" applyProtection="1">
      <alignment horizontal="center" shrinkToFit="1"/>
    </xf>
    <xf numFmtId="0" fontId="21" fillId="0" borderId="2" xfId="0" applyFont="1" applyBorder="1" applyAlignment="1">
      <alignment horizontal="center" shrinkToFit="1"/>
    </xf>
    <xf numFmtId="0" fontId="21" fillId="0" borderId="10" xfId="0" applyFont="1" applyBorder="1" applyAlignment="1">
      <alignment horizontal="center" shrinkToFit="1"/>
    </xf>
    <xf numFmtId="0" fontId="15" fillId="9" borderId="13" xfId="0" applyFont="1" applyFill="1" applyBorder="1" applyAlignment="1">
      <alignment horizontal="center" vertical="center" shrinkToFit="1"/>
    </xf>
    <xf numFmtId="0" fontId="15" fillId="9" borderId="16" xfId="0" applyFont="1" applyFill="1" applyBorder="1" applyAlignment="1">
      <alignment horizontal="center" vertical="center" shrinkToFit="1"/>
    </xf>
    <xf numFmtId="164" fontId="2" fillId="10" borderId="9" xfId="0" applyNumberFormat="1" applyFont="1" applyFill="1" applyBorder="1" applyAlignment="1">
      <alignment horizontal="center" shrinkToFit="1"/>
    </xf>
    <xf numFmtId="164" fontId="2" fillId="10" borderId="2" xfId="0" applyNumberFormat="1" applyFont="1" applyFill="1" applyBorder="1" applyAlignment="1">
      <alignment horizontal="center" shrinkToFit="1"/>
    </xf>
    <xf numFmtId="164" fontId="2" fillId="10" borderId="10" xfId="0" applyNumberFormat="1" applyFont="1" applyFill="1" applyBorder="1" applyAlignment="1">
      <alignment horizontal="center" shrinkToFit="1"/>
    </xf>
    <xf numFmtId="0" fontId="16" fillId="8" borderId="20" xfId="0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10" fontId="13" fillId="2" borderId="24" xfId="1" applyNumberFormat="1" applyFont="1" applyFill="1" applyBorder="1" applyAlignment="1">
      <alignment horizontal="center" vertical="center" shrinkToFit="1"/>
    </xf>
    <xf numFmtId="10" fontId="13" fillId="2" borderId="30" xfId="1" applyNumberFormat="1" applyFont="1" applyFill="1" applyBorder="1" applyAlignment="1">
      <alignment horizontal="center" vertical="center" shrinkToFit="1"/>
    </xf>
    <xf numFmtId="0" fontId="1" fillId="8" borderId="9" xfId="0" applyFont="1" applyFill="1" applyBorder="1" applyAlignment="1">
      <alignment horizontal="center" vertical="center" shrinkToFit="1"/>
    </xf>
    <xf numFmtId="0" fontId="1" fillId="8" borderId="2" xfId="0" applyFont="1" applyFill="1" applyBorder="1" applyAlignment="1">
      <alignment horizontal="center" vertical="center" shrinkToFit="1"/>
    </xf>
    <xf numFmtId="0" fontId="1" fillId="8" borderId="10" xfId="0" applyFont="1" applyFill="1" applyBorder="1" applyAlignment="1">
      <alignment horizontal="center" vertical="center" shrinkToFit="1"/>
    </xf>
    <xf numFmtId="2" fontId="14" fillId="9" borderId="12" xfId="0" applyNumberFormat="1" applyFont="1" applyFill="1" applyBorder="1" applyAlignment="1">
      <alignment horizontal="center" vertical="center" shrinkToFit="1"/>
    </xf>
    <xf numFmtId="2" fontId="14" fillId="9" borderId="14" xfId="0" applyNumberFormat="1" applyFont="1" applyFill="1" applyBorder="1" applyAlignment="1">
      <alignment horizontal="center" vertical="center" shrinkToFit="1"/>
    </xf>
    <xf numFmtId="0" fontId="14" fillId="9" borderId="4" xfId="0" applyFont="1" applyFill="1" applyBorder="1" applyAlignment="1">
      <alignment horizontal="center" vertical="center" wrapText="1" shrinkToFit="1"/>
    </xf>
    <xf numFmtId="0" fontId="14" fillId="9" borderId="15" xfId="0" applyFont="1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shrinkToFit="1"/>
    </xf>
    <xf numFmtId="0" fontId="21" fillId="0" borderId="38" xfId="0" applyFont="1" applyBorder="1" applyAlignment="1">
      <alignment horizontal="center" shrinkToFit="1"/>
    </xf>
    <xf numFmtId="0" fontId="20" fillId="0" borderId="35" xfId="2" applyNumberFormat="1" applyFont="1" applyBorder="1" applyAlignment="1" applyProtection="1">
      <alignment horizontal="center" shrinkToFit="1"/>
    </xf>
    <xf numFmtId="0" fontId="25" fillId="12" borderId="5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25" fillId="12" borderId="35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2" borderId="38" xfId="0" applyFont="1" applyFill="1" applyBorder="1" applyAlignment="1">
      <alignment horizontal="center" vertical="center"/>
    </xf>
    <xf numFmtId="0" fontId="26" fillId="13" borderId="5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6" fillId="13" borderId="7" xfId="0" applyFont="1" applyFill="1" applyBorder="1" applyAlignment="1">
      <alignment horizontal="center" vertical="center"/>
    </xf>
    <xf numFmtId="0" fontId="26" fillId="13" borderId="8" xfId="0" applyFont="1" applyFill="1" applyBorder="1" applyAlignment="1">
      <alignment horizontal="center" vertical="center"/>
    </xf>
    <xf numFmtId="0" fontId="26" fillId="13" borderId="0" xfId="0" applyFont="1" applyFill="1" applyAlignment="1">
      <alignment horizontal="center" vertical="center"/>
    </xf>
    <xf numFmtId="0" fontId="26" fillId="13" borderId="11" xfId="0" applyFont="1" applyFill="1" applyBorder="1" applyAlignment="1">
      <alignment horizontal="center" vertical="center"/>
    </xf>
    <xf numFmtId="0" fontId="26" fillId="13" borderId="35" xfId="0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/>
    </xf>
    <xf numFmtId="0" fontId="26" fillId="13" borderId="38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27" fillId="14" borderId="35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vertical="center"/>
    </xf>
    <xf numFmtId="0" fontId="27" fillId="14" borderId="7" xfId="0" applyFont="1" applyFill="1" applyBorder="1" applyAlignment="1">
      <alignment horizontal="center" vertical="center"/>
    </xf>
    <xf numFmtId="0" fontId="27" fillId="14" borderId="38" xfId="0" applyFont="1" applyFill="1" applyBorder="1" applyAlignment="1">
      <alignment horizontal="center" vertical="center"/>
    </xf>
  </cellXfs>
  <cellStyles count="5">
    <cellStyle name="Excel Built-in Normal" xfId="3" xr:uid="{00000000-0005-0000-0000-000000000000}"/>
    <cellStyle name="Hyperlink" xfId="2" builtinId="8"/>
    <cellStyle name="Normal" xfId="0" builtinId="0"/>
    <cellStyle name="Normal 2" xfId="4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5984" y="2493586"/>
          <a:ext cx="4132770" cy="16699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43175"/>
          <a:ext cx="4133850" cy="17010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43175"/>
          <a:ext cx="4133850" cy="17010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2431" y="2449830"/>
          <a:ext cx="4227195" cy="16381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33650"/>
          <a:ext cx="4133850" cy="17010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6" y="2524125"/>
          <a:ext cx="4133850" cy="17010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24125"/>
          <a:ext cx="4133850" cy="170104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598407</xdr:colOff>
      <xdr:row>11</xdr:row>
      <xdr:rowOff>19050</xdr:rowOff>
    </xdr:from>
    <xdr:to>
      <xdr:col>17</xdr:col>
      <xdr:colOff>665868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0211" y="2493586"/>
          <a:ext cx="4132770" cy="166991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598407</xdr:colOff>
      <xdr:row>11</xdr:row>
      <xdr:rowOff>19050</xdr:rowOff>
    </xdr:from>
    <xdr:to>
      <xdr:col>17</xdr:col>
      <xdr:colOff>665868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4582" y="2524125"/>
          <a:ext cx="4134636" cy="170104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38690</xdr:colOff>
      <xdr:row>11</xdr:row>
      <xdr:rowOff>19049</xdr:rowOff>
    </xdr:from>
    <xdr:to>
      <xdr:col>17</xdr:col>
      <xdr:colOff>697191</xdr:colOff>
      <xdr:row>19</xdr:row>
      <xdr:rowOff>179389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9309" y="2493585"/>
          <a:ext cx="4114995" cy="16627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52700"/>
          <a:ext cx="4133850" cy="170104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9672" y="2493586"/>
          <a:ext cx="4114995" cy="1662737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52700"/>
          <a:ext cx="4133850" cy="1701047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157113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52700"/>
          <a:ext cx="4133850" cy="1701047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62225"/>
          <a:ext cx="4133850" cy="1700163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24125"/>
          <a:ext cx="4133850" cy="1701047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19053</xdr:colOff>
      <xdr:row>11</xdr:row>
      <xdr:rowOff>19050</xdr:rowOff>
    </xdr:from>
    <xdr:to>
      <xdr:col>17</xdr:col>
      <xdr:colOff>677554</xdr:colOff>
      <xdr:row>19</xdr:row>
      <xdr:rowOff>179390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8" y="2524125"/>
          <a:ext cx="4116076" cy="1693865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695327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6" y="2524125"/>
          <a:ext cx="4133851" cy="1701047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461522</xdr:colOff>
      <xdr:row>9</xdr:row>
      <xdr:rowOff>136885</xdr:rowOff>
    </xdr:from>
    <xdr:to>
      <xdr:col>18</xdr:col>
      <xdr:colOff>137475</xdr:colOff>
      <xdr:row>22</xdr:row>
      <xdr:rowOff>68737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5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3326" y="2228457"/>
          <a:ext cx="4458092" cy="1669919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461522</xdr:colOff>
      <xdr:row>9</xdr:row>
      <xdr:rowOff>136885</xdr:rowOff>
    </xdr:from>
    <xdr:to>
      <xdr:col>18</xdr:col>
      <xdr:colOff>137475</xdr:colOff>
      <xdr:row>22</xdr:row>
      <xdr:rowOff>68737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7697" y="2251435"/>
          <a:ext cx="4457503" cy="1684452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29461</xdr:colOff>
      <xdr:row>11</xdr:row>
      <xdr:rowOff>50473</xdr:rowOff>
    </xdr:from>
    <xdr:to>
      <xdr:col>17</xdr:col>
      <xdr:colOff>644164</xdr:colOff>
      <xdr:row>19</xdr:row>
      <xdr:rowOff>141402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E8105B10-00E8-4223-9560-1447D7A50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0038" y="2454308"/>
          <a:ext cx="4181178" cy="15442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43175"/>
          <a:ext cx="4133850" cy="1701047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29461</xdr:colOff>
      <xdr:row>11</xdr:row>
      <xdr:rowOff>50473</xdr:rowOff>
    </xdr:from>
    <xdr:to>
      <xdr:col>17</xdr:col>
      <xdr:colOff>644164</xdr:colOff>
      <xdr:row>19</xdr:row>
      <xdr:rowOff>141402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22BFB6DF-6694-4415-8268-274AEDB9B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3361" y="2466013"/>
          <a:ext cx="4165623" cy="1561589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10574</xdr:colOff>
      <xdr:row>1</xdr:row>
      <xdr:rowOff>10585</xdr:rowOff>
    </xdr:from>
    <xdr:to>
      <xdr:col>4</xdr:col>
      <xdr:colOff>571492</xdr:colOff>
      <xdr:row>10</xdr:row>
      <xdr:rowOff>169335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6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549" y="210610"/>
          <a:ext cx="2542118" cy="1787525"/>
        </a:xfrm>
        <a:prstGeom prst="rect">
          <a:avLst/>
        </a:prstGeom>
      </xdr:spPr>
    </xdr:pic>
    <xdr:clientData/>
  </xdr:twoCellAnchor>
  <xdr:oneCellAnchor>
    <xdr:from>
      <xdr:col>5</xdr:col>
      <xdr:colOff>21165</xdr:colOff>
      <xdr:row>1</xdr:row>
      <xdr:rowOff>10583</xdr:rowOff>
    </xdr:from>
    <xdr:ext cx="7186083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4678890" y="210608"/>
          <a:ext cx="718608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Winners</a:t>
          </a:r>
          <a:r>
            <a:rPr lang="en-U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Capital Line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glow rad="101600">
                <a:schemeClr val="accent2">
                  <a:satMod val="175000"/>
                  <a:alpha val="40000"/>
                </a:schemeClr>
              </a:glow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10583</xdr:colOff>
      <xdr:row>5</xdr:row>
      <xdr:rowOff>126989</xdr:rowOff>
    </xdr:from>
    <xdr:ext cx="7207249" cy="84375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6100-000004000000}"/>
            </a:ext>
          </a:extLst>
        </xdr:cNvPr>
        <xdr:cNvSpPr/>
      </xdr:nvSpPr>
      <xdr:spPr>
        <a:xfrm>
          <a:off x="4668308" y="1050914"/>
          <a:ext cx="7207249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Grow With</a:t>
          </a:r>
          <a:r>
            <a:rPr lang="en-US" sz="4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Experts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11</xdr:row>
      <xdr:rowOff>19050</xdr:rowOff>
    </xdr:from>
    <xdr:to>
      <xdr:col>17</xdr:col>
      <xdr:colOff>695326</xdr:colOff>
      <xdr:row>19</xdr:row>
      <xdr:rowOff>186572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6" y="2543175"/>
          <a:ext cx="4133850" cy="1701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innerscapitalline.com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innerscapitalline.com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winnerscapitalline.com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winnerscapitalline.com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winnerscapitalline.com/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winnerscapitalline.com/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winnerscapitalline.com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winnerscapitalline.com/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winnerscapitalline.com/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winnerscapitalline.com/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winnerscapitalline.com/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winnerscapitalline.com/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winnerscapitalline.com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winnerscapitalline.com/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winnerscapitalline.com/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winnerscapitalline.com/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winnerscapitalline.com/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winnerscapitalline.com/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winnerscapitalline.com/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winnerscapitalline.com/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winnerscapitalline.com/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winnerscapitalline.com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winnerscapitalline.com/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winnerscapitalline.com/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winnerscapitalline.com/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winnerscapitalline.com/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winnerscapitalline.com/" TargetMode="Externa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winnerscapitalline.com/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winnerscapitalline.com/" TargetMode="Externa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www.winnerscapitalline.com/" TargetMode="Externa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winnerscapitalline.com/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winnerscapitalline.com/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www.winnerscapitalline.com/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www.winnerscapitalline.com/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www.winnerscapitalline.com/" TargetMode="Externa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www.winnerscapitalline.com/" TargetMode="Externa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winnerscapitalline.com/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winnerscapitalline.com/" TargetMode="Externa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winnerscapitalline.com/" TargetMode="Externa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www.winnerscapitalline.com/" TargetMode="Externa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://www.winnerscapitalline.com/" TargetMode="Externa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://www.winnerscapitalline.com/" TargetMode="Externa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://www.winnerscapitalline.com/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://www.winnerscapitalline.com/" TargetMode="Externa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://www.winnerscapitalline.com/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://www.winnerscapitalline.com/" TargetMode="Externa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7.xml"/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www.winnerscapitalline.com/" TargetMode="Externa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8.xml"/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www.winnerscapitalline.com/" TargetMode="Externa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://www.winnerscapitalline.com/" TargetMode="Externa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://www.winnerscapitalline.com/" TargetMode="Externa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1.xml"/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://www.winnerscapitalline.com/" TargetMode="Externa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://www.winnerscapitalline.com/" TargetMode="Externa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3.xml"/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://www.winnerscapitalline.com/" TargetMode="Externa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4.xml"/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://www.winnerscapitalline.com/" TargetMode="Externa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58.bin"/><Relationship Id="rId1" Type="http://schemas.openxmlformats.org/officeDocument/2006/relationships/hyperlink" Target="http://www.winnerscapitalline.com/" TargetMode="Externa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6.xml"/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http://www.winnerscapitalline.com/" TargetMode="Externa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7.xml"/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://www.winnerscapitalline.com/" TargetMode="Externa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8.xml"/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://www.winnerscapitalline.com/" TargetMode="Externa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9.xml"/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://www.winnerscapitalline.com/" TargetMode="External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0.xml"/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http://www.winnerscapitalline.com/" TargetMode="External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1.xml"/><Relationship Id="rId2" Type="http://schemas.openxmlformats.org/officeDocument/2006/relationships/printerSettings" Target="../printerSettings/printerSettings64.bin"/><Relationship Id="rId1" Type="http://schemas.openxmlformats.org/officeDocument/2006/relationships/hyperlink" Target="http://www.winnerscapitalline.com/" TargetMode="External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2.xml"/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://www.winnerscapitalline.com/" TargetMode="Externa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3.xml"/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http://www.winnerscapitalline.com/" TargetMode="External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4.xml"/><Relationship Id="rId2" Type="http://schemas.openxmlformats.org/officeDocument/2006/relationships/printerSettings" Target="../printerSettings/printerSettings67.bin"/><Relationship Id="rId1" Type="http://schemas.openxmlformats.org/officeDocument/2006/relationships/hyperlink" Target="http://www.winnerscapitalline.com/" TargetMode="External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5.xml"/><Relationship Id="rId2" Type="http://schemas.openxmlformats.org/officeDocument/2006/relationships/printerSettings" Target="../printerSettings/printerSettings68.bin"/><Relationship Id="rId1" Type="http://schemas.openxmlformats.org/officeDocument/2006/relationships/hyperlink" Target="http://www.winnerscapitalline.com/" TargetMode="External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6.xml"/><Relationship Id="rId2" Type="http://schemas.openxmlformats.org/officeDocument/2006/relationships/printerSettings" Target="../printerSettings/printerSettings69.bin"/><Relationship Id="rId1" Type="http://schemas.openxmlformats.org/officeDocument/2006/relationships/hyperlink" Target="http://www.winnerscapitalline.com/" TargetMode="External"/></Relationships>
</file>

<file path=xl/worksheets/_rels/sheet8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7.xml"/><Relationship Id="rId2" Type="http://schemas.openxmlformats.org/officeDocument/2006/relationships/printerSettings" Target="../printerSettings/printerSettings70.bin"/><Relationship Id="rId1" Type="http://schemas.openxmlformats.org/officeDocument/2006/relationships/hyperlink" Target="http://www.winnerscapitalline.com/" TargetMode="External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8.xml"/><Relationship Id="rId2" Type="http://schemas.openxmlformats.org/officeDocument/2006/relationships/printerSettings" Target="../printerSettings/printerSettings71.bin"/><Relationship Id="rId1" Type="http://schemas.openxmlformats.org/officeDocument/2006/relationships/hyperlink" Target="http://www.winnerscapitalline.com/" TargetMode="External"/></Relationships>
</file>

<file path=xl/worksheets/_rels/sheet8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9.xml"/><Relationship Id="rId2" Type="http://schemas.openxmlformats.org/officeDocument/2006/relationships/printerSettings" Target="../printerSettings/printerSettings72.bin"/><Relationship Id="rId1" Type="http://schemas.openxmlformats.org/officeDocument/2006/relationships/hyperlink" Target="http://www.winnerscapitalline.com/" TargetMode="External"/></Relationships>
</file>

<file path=xl/worksheets/_rels/sheet8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0.xml"/><Relationship Id="rId2" Type="http://schemas.openxmlformats.org/officeDocument/2006/relationships/printerSettings" Target="../printerSettings/printerSettings73.bin"/><Relationship Id="rId1" Type="http://schemas.openxmlformats.org/officeDocument/2006/relationships/hyperlink" Target="http://www.winnerscapitalline.com/" TargetMode="External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1.xml"/><Relationship Id="rId2" Type="http://schemas.openxmlformats.org/officeDocument/2006/relationships/printerSettings" Target="../printerSettings/printerSettings74.bin"/><Relationship Id="rId1" Type="http://schemas.openxmlformats.org/officeDocument/2006/relationships/hyperlink" Target="http://www.winnerscapitalline.com/" TargetMode="External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2.xml"/><Relationship Id="rId2" Type="http://schemas.openxmlformats.org/officeDocument/2006/relationships/printerSettings" Target="../printerSettings/printerSettings75.bin"/><Relationship Id="rId1" Type="http://schemas.openxmlformats.org/officeDocument/2006/relationships/hyperlink" Target="http://www.winnerscapitalline.com/" TargetMode="External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3.xml"/><Relationship Id="rId2" Type="http://schemas.openxmlformats.org/officeDocument/2006/relationships/printerSettings" Target="../printerSettings/printerSettings76.bin"/><Relationship Id="rId1" Type="http://schemas.openxmlformats.org/officeDocument/2006/relationships/hyperlink" Target="http://www.winnerscapitalline.com/" TargetMode="External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4.xml"/><Relationship Id="rId2" Type="http://schemas.openxmlformats.org/officeDocument/2006/relationships/printerSettings" Target="../printerSettings/printerSettings77.bin"/><Relationship Id="rId1" Type="http://schemas.openxmlformats.org/officeDocument/2006/relationships/hyperlink" Target="http://www.winnerscapitalline.com/" TargetMode="External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5.xml"/><Relationship Id="rId2" Type="http://schemas.openxmlformats.org/officeDocument/2006/relationships/printerSettings" Target="../printerSettings/printerSettings78.bin"/><Relationship Id="rId1" Type="http://schemas.openxmlformats.org/officeDocument/2006/relationships/hyperlink" Target="http://www.winnerscapitalline.com/" TargetMode="External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6.xml"/><Relationship Id="rId2" Type="http://schemas.openxmlformats.org/officeDocument/2006/relationships/printerSettings" Target="../printerSettings/printerSettings79.bin"/><Relationship Id="rId1" Type="http://schemas.openxmlformats.org/officeDocument/2006/relationships/hyperlink" Target="http://www.winnerscapitalline.com/" TargetMode="External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7.xml"/><Relationship Id="rId2" Type="http://schemas.openxmlformats.org/officeDocument/2006/relationships/printerSettings" Target="../printerSettings/printerSettings80.bin"/><Relationship Id="rId1" Type="http://schemas.openxmlformats.org/officeDocument/2006/relationships/hyperlink" Target="http://www.winnerscapitalline.com/" TargetMode="External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8.xml"/><Relationship Id="rId2" Type="http://schemas.openxmlformats.org/officeDocument/2006/relationships/printerSettings" Target="../printerSettings/printerSettings81.bin"/><Relationship Id="rId1" Type="http://schemas.openxmlformats.org/officeDocument/2006/relationships/hyperlink" Target="http://www.winnerscapitalline.com/" TargetMode="External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9.xml"/><Relationship Id="rId2" Type="http://schemas.openxmlformats.org/officeDocument/2006/relationships/printerSettings" Target="../printerSettings/printerSettings82.bin"/><Relationship Id="rId1" Type="http://schemas.openxmlformats.org/officeDocument/2006/relationships/hyperlink" Target="http://www.winnerscapitalline.com/" TargetMode="External"/></Relationships>
</file>

<file path=xl/worksheets/_rels/sheet9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0.xml"/><Relationship Id="rId2" Type="http://schemas.openxmlformats.org/officeDocument/2006/relationships/printerSettings" Target="../printerSettings/printerSettings83.bin"/><Relationship Id="rId1" Type="http://schemas.openxmlformats.org/officeDocument/2006/relationships/hyperlink" Target="http://www.winnerscapital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K2" sqref="K2"/>
    </sheetView>
  </sheetViews>
  <sheetFormatPr defaultRowHeight="14.4" x14ac:dyDescent="0.3"/>
  <cols>
    <col min="1" max="1" width="9.109375" style="7"/>
    <col min="2" max="2" width="21" customWidth="1"/>
    <col min="3" max="3" width="18.33203125" customWidth="1"/>
    <col min="4" max="4" width="22.441406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  <col min="11" max="11" width="12" customWidth="1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11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8">
        <v>42370</v>
      </c>
      <c r="C5" s="4" t="s">
        <v>15</v>
      </c>
      <c r="D5" s="4" t="s">
        <v>14</v>
      </c>
      <c r="E5" s="4">
        <v>1035</v>
      </c>
      <c r="F5" s="4">
        <v>1050</v>
      </c>
      <c r="G5" s="4">
        <v>15</v>
      </c>
      <c r="H5" s="4">
        <v>600</v>
      </c>
      <c r="I5" s="4">
        <f>H5*G5</f>
        <v>9000</v>
      </c>
    </row>
    <row r="6" spans="1:11" ht="25.8" x14ac:dyDescent="0.5">
      <c r="B6" s="11">
        <v>42373</v>
      </c>
      <c r="C6" s="12" t="s">
        <v>12</v>
      </c>
      <c r="D6" s="12" t="s">
        <v>16</v>
      </c>
      <c r="E6" s="12">
        <v>7830</v>
      </c>
      <c r="F6" s="12">
        <v>7780</v>
      </c>
      <c r="G6" s="12">
        <v>50</v>
      </c>
      <c r="H6" s="12">
        <v>150</v>
      </c>
      <c r="I6" s="4">
        <f t="shared" ref="I6:I14" si="0">H6*G6</f>
        <v>7500</v>
      </c>
    </row>
    <row r="7" spans="1:11" ht="25.8" x14ac:dyDescent="0.5">
      <c r="B7" s="13">
        <v>42375</v>
      </c>
      <c r="C7" s="12" t="s">
        <v>12</v>
      </c>
      <c r="D7" s="12" t="s">
        <v>13</v>
      </c>
      <c r="E7" s="12">
        <v>217</v>
      </c>
      <c r="F7" s="12">
        <v>213</v>
      </c>
      <c r="G7" s="12">
        <v>4</v>
      </c>
      <c r="H7" s="12">
        <v>2000</v>
      </c>
      <c r="I7" s="4">
        <f t="shared" si="0"/>
        <v>8000</v>
      </c>
    </row>
    <row r="8" spans="1:11" ht="25.8" x14ac:dyDescent="0.5">
      <c r="B8" s="9">
        <v>42377</v>
      </c>
      <c r="C8" s="4" t="s">
        <v>12</v>
      </c>
      <c r="D8" s="4" t="s">
        <v>17</v>
      </c>
      <c r="E8" s="4">
        <v>1200</v>
      </c>
      <c r="F8" s="4">
        <v>1180</v>
      </c>
      <c r="G8" s="4">
        <v>20</v>
      </c>
      <c r="H8" s="4">
        <v>400</v>
      </c>
      <c r="I8" s="4">
        <f t="shared" si="0"/>
        <v>8000</v>
      </c>
    </row>
    <row r="9" spans="1:11" ht="25.8" x14ac:dyDescent="0.5">
      <c r="B9" s="9">
        <v>42381</v>
      </c>
      <c r="C9" s="4" t="s">
        <v>12</v>
      </c>
      <c r="D9" s="4" t="s">
        <v>18</v>
      </c>
      <c r="E9" s="4">
        <v>1190</v>
      </c>
      <c r="F9" s="4">
        <v>1170</v>
      </c>
      <c r="G9" s="4">
        <v>20</v>
      </c>
      <c r="H9" s="4">
        <v>300</v>
      </c>
      <c r="I9" s="4">
        <f t="shared" si="0"/>
        <v>6000</v>
      </c>
    </row>
    <row r="10" spans="1:11" ht="25.8" x14ac:dyDescent="0.5">
      <c r="B10" s="9">
        <v>42384</v>
      </c>
      <c r="C10" s="4" t="s">
        <v>12</v>
      </c>
      <c r="D10" s="4" t="s">
        <v>16</v>
      </c>
      <c r="E10" s="4">
        <v>7460</v>
      </c>
      <c r="F10" s="4">
        <v>7410</v>
      </c>
      <c r="G10" s="4">
        <v>50</v>
      </c>
      <c r="H10" s="4">
        <v>150</v>
      </c>
      <c r="I10" s="4">
        <f t="shared" si="0"/>
        <v>7500</v>
      </c>
    </row>
    <row r="11" spans="1:11" ht="25.8" x14ac:dyDescent="0.5">
      <c r="B11" s="9">
        <v>42388</v>
      </c>
      <c r="C11" s="4" t="s">
        <v>12</v>
      </c>
      <c r="D11" s="4" t="s">
        <v>13</v>
      </c>
      <c r="E11" s="4">
        <v>183</v>
      </c>
      <c r="F11" s="4">
        <v>179</v>
      </c>
      <c r="G11" s="4">
        <v>4</v>
      </c>
      <c r="H11" s="4">
        <v>2000</v>
      </c>
      <c r="I11" s="4">
        <f t="shared" si="0"/>
        <v>8000</v>
      </c>
    </row>
    <row r="12" spans="1:11" ht="25.8" x14ac:dyDescent="0.5">
      <c r="B12" s="8">
        <v>42391</v>
      </c>
      <c r="C12" s="4" t="s">
        <v>19</v>
      </c>
      <c r="D12" s="4" t="s">
        <v>13</v>
      </c>
      <c r="E12" s="4">
        <v>184</v>
      </c>
      <c r="F12" s="4">
        <v>187</v>
      </c>
      <c r="G12" s="4">
        <v>3</v>
      </c>
      <c r="H12" s="4">
        <v>2000</v>
      </c>
      <c r="I12" s="4">
        <f t="shared" si="0"/>
        <v>6000</v>
      </c>
    </row>
    <row r="13" spans="1:11" ht="25.8" x14ac:dyDescent="0.5">
      <c r="B13" s="8">
        <v>42394</v>
      </c>
      <c r="C13" s="4" t="s">
        <v>12</v>
      </c>
      <c r="D13" s="4" t="s">
        <v>18</v>
      </c>
      <c r="E13" s="4">
        <v>1120</v>
      </c>
      <c r="F13" s="4">
        <v>1100</v>
      </c>
      <c r="G13" s="4">
        <v>20</v>
      </c>
      <c r="H13" s="4">
        <v>300</v>
      </c>
      <c r="I13" s="4">
        <f t="shared" si="0"/>
        <v>6000</v>
      </c>
    </row>
    <row r="14" spans="1:11" ht="25.8" x14ac:dyDescent="0.5">
      <c r="B14" s="9">
        <v>42397</v>
      </c>
      <c r="C14" s="4" t="s">
        <v>12</v>
      </c>
      <c r="D14" s="4" t="s">
        <v>20</v>
      </c>
      <c r="E14" s="4">
        <v>15450</v>
      </c>
      <c r="F14" s="4">
        <v>15250</v>
      </c>
      <c r="G14" s="4">
        <v>200</v>
      </c>
      <c r="H14" s="4">
        <v>60</v>
      </c>
      <c r="I14" s="4">
        <f t="shared" si="0"/>
        <v>12000</v>
      </c>
    </row>
    <row r="15" spans="1:11" ht="25.8" x14ac:dyDescent="0.5">
      <c r="B15" s="9"/>
      <c r="C15" s="4"/>
      <c r="D15" s="4"/>
      <c r="E15" s="4"/>
      <c r="F15" s="4"/>
      <c r="G15" s="4"/>
      <c r="H15" s="4"/>
      <c r="I15" s="4"/>
    </row>
    <row r="16" spans="1:11" ht="25.8" x14ac:dyDescent="0.5">
      <c r="B16" s="9"/>
      <c r="C16" s="4"/>
      <c r="D16" s="4"/>
      <c r="E16" s="4"/>
      <c r="F16" s="4"/>
      <c r="G16" s="4"/>
      <c r="H16" s="4"/>
      <c r="I16" s="10">
        <v>78000</v>
      </c>
    </row>
    <row r="17" spans="2:9" ht="25.8" x14ac:dyDescent="0.5">
      <c r="B17" s="8"/>
      <c r="C17" s="4"/>
      <c r="D17" s="4"/>
      <c r="E17" s="4"/>
      <c r="F17" s="4"/>
      <c r="G17" s="4"/>
      <c r="H17" s="4"/>
      <c r="I17" s="10"/>
    </row>
    <row r="18" spans="2:9" ht="25.8" x14ac:dyDescent="0.5">
      <c r="B18" s="8"/>
      <c r="C18" s="4"/>
      <c r="D18" s="4"/>
      <c r="E18" s="4"/>
      <c r="F18" s="4"/>
      <c r="G18" s="4"/>
      <c r="H18" s="4"/>
      <c r="I18" s="4"/>
    </row>
    <row r="19" spans="2:9" ht="25.8" x14ac:dyDescent="0.5">
      <c r="B19" s="8"/>
      <c r="C19" s="4"/>
      <c r="D19" s="4"/>
      <c r="E19" s="4"/>
      <c r="F19" s="4"/>
      <c r="G19" s="4"/>
      <c r="H19" s="4"/>
      <c r="I19" s="4"/>
    </row>
    <row r="20" spans="2:9" ht="25.8" x14ac:dyDescent="0.5">
      <c r="I20" s="10"/>
    </row>
  </sheetData>
  <mergeCells count="3">
    <mergeCell ref="B1:I1"/>
    <mergeCell ref="B2:I2"/>
    <mergeCell ref="B3:I3"/>
  </mergeCells>
  <hyperlinks>
    <hyperlink ref="K2" location="'Home Page'!A1" display="Back" xr:uid="{00000000-0004-0000-00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4"/>
  <sheetViews>
    <sheetView workbookViewId="0">
      <selection activeCell="K2" sqref="K2"/>
    </sheetView>
  </sheetViews>
  <sheetFormatPr defaultColWidth="9.109375" defaultRowHeight="14.4" x14ac:dyDescent="0.3"/>
  <cols>
    <col min="1" max="1" width="9.109375" style="7"/>
    <col min="2" max="2" width="21" customWidth="1"/>
    <col min="3" max="3" width="18.33203125" customWidth="1"/>
    <col min="4" max="4" width="24.332031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  <col min="11" max="11" width="10.6640625" customWidth="1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41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9">
        <v>42646</v>
      </c>
      <c r="C5" s="4" t="s">
        <v>19</v>
      </c>
      <c r="D5" s="4" t="s">
        <v>16</v>
      </c>
      <c r="E5" s="4">
        <v>8750</v>
      </c>
      <c r="F5" s="4">
        <v>8800</v>
      </c>
      <c r="G5" s="4">
        <v>50</v>
      </c>
      <c r="H5" s="4">
        <v>150</v>
      </c>
      <c r="I5" s="4">
        <v>7500</v>
      </c>
    </row>
    <row r="6" spans="1:11" ht="25.8" x14ac:dyDescent="0.5">
      <c r="B6" s="13">
        <v>42648</v>
      </c>
      <c r="C6" s="12" t="s">
        <v>19</v>
      </c>
      <c r="D6" s="12" t="s">
        <v>21</v>
      </c>
      <c r="E6" s="12">
        <v>337</v>
      </c>
      <c r="F6" s="12">
        <v>333</v>
      </c>
      <c r="G6" s="12">
        <v>-4</v>
      </c>
      <c r="H6" s="12">
        <v>6000</v>
      </c>
      <c r="I6" s="4">
        <v>-24000</v>
      </c>
    </row>
    <row r="7" spans="1:11" ht="25.8" x14ac:dyDescent="0.5">
      <c r="B7" s="13">
        <v>42649</v>
      </c>
      <c r="C7" s="12" t="s">
        <v>19</v>
      </c>
      <c r="D7" s="12" t="s">
        <v>42</v>
      </c>
      <c r="E7" s="12">
        <v>196</v>
      </c>
      <c r="F7" s="12">
        <v>198.5</v>
      </c>
      <c r="G7" s="12">
        <v>2.5</v>
      </c>
      <c r="H7" s="12">
        <v>12000</v>
      </c>
      <c r="I7" s="4">
        <v>30000</v>
      </c>
    </row>
    <row r="8" spans="1:11" ht="25.8" x14ac:dyDescent="0.5">
      <c r="B8" s="9">
        <v>42649</v>
      </c>
      <c r="C8" s="4" t="s">
        <v>12</v>
      </c>
      <c r="D8" s="4" t="s">
        <v>16</v>
      </c>
      <c r="E8" s="4">
        <v>8740</v>
      </c>
      <c r="F8" s="4">
        <v>8700</v>
      </c>
      <c r="G8" s="4">
        <v>40</v>
      </c>
      <c r="H8" s="4">
        <v>150</v>
      </c>
      <c r="I8" s="4">
        <v>6000</v>
      </c>
    </row>
    <row r="9" spans="1:11" ht="25.8" x14ac:dyDescent="0.5">
      <c r="B9" s="9">
        <v>42656</v>
      </c>
      <c r="C9" s="4" t="s">
        <v>12</v>
      </c>
      <c r="D9" s="4" t="s">
        <v>16</v>
      </c>
      <c r="E9" s="4">
        <v>8590</v>
      </c>
      <c r="F9" s="4">
        <v>8570</v>
      </c>
      <c r="G9" s="4">
        <v>20</v>
      </c>
      <c r="H9" s="4">
        <v>150</v>
      </c>
      <c r="I9" s="4">
        <v>3000</v>
      </c>
    </row>
    <row r="10" spans="1:11" ht="25.8" x14ac:dyDescent="0.5">
      <c r="B10" s="9">
        <v>42656</v>
      </c>
      <c r="C10" s="4" t="s">
        <v>19</v>
      </c>
      <c r="D10" s="4" t="s">
        <v>42</v>
      </c>
      <c r="E10" s="4">
        <v>195</v>
      </c>
      <c r="F10" s="4">
        <v>197</v>
      </c>
      <c r="G10" s="4">
        <v>2</v>
      </c>
      <c r="H10" s="4">
        <v>12000</v>
      </c>
      <c r="I10" s="4">
        <v>24000</v>
      </c>
    </row>
    <row r="11" spans="1:11" ht="28.8" x14ac:dyDescent="0.55000000000000004">
      <c r="B11" s="9">
        <v>42660</v>
      </c>
      <c r="C11" s="4" t="s">
        <v>12</v>
      </c>
      <c r="D11" s="4" t="s">
        <v>16</v>
      </c>
      <c r="E11" s="4">
        <v>8530</v>
      </c>
      <c r="F11" s="4">
        <v>8580</v>
      </c>
      <c r="G11" s="4">
        <v>-50</v>
      </c>
      <c r="H11" s="4">
        <v>150</v>
      </c>
      <c r="I11" s="15">
        <v>-7500</v>
      </c>
    </row>
    <row r="12" spans="1:11" ht="25.8" x14ac:dyDescent="0.5">
      <c r="B12" s="9">
        <v>42660</v>
      </c>
      <c r="C12" s="4" t="s">
        <v>12</v>
      </c>
      <c r="D12" s="4" t="s">
        <v>43</v>
      </c>
      <c r="E12" s="4">
        <v>1315</v>
      </c>
      <c r="F12" s="4">
        <v>1330</v>
      </c>
      <c r="G12" s="4">
        <v>-15</v>
      </c>
      <c r="H12" s="4">
        <v>1000</v>
      </c>
      <c r="I12" s="4">
        <v>-15000</v>
      </c>
    </row>
    <row r="13" spans="1:11" s="16" customFormat="1" ht="25.8" x14ac:dyDescent="0.5">
      <c r="A13" s="5"/>
      <c r="B13" s="9">
        <v>42661</v>
      </c>
      <c r="C13" s="4" t="s">
        <v>15</v>
      </c>
      <c r="D13" s="4" t="s">
        <v>20</v>
      </c>
      <c r="E13" s="4">
        <v>19500</v>
      </c>
      <c r="F13" s="4">
        <v>19550</v>
      </c>
      <c r="G13" s="4">
        <v>50</v>
      </c>
      <c r="H13" s="4">
        <v>80</v>
      </c>
      <c r="I13" s="4">
        <v>4000</v>
      </c>
      <c r="J13" s="5"/>
    </row>
    <row r="14" spans="1:11" ht="25.8" x14ac:dyDescent="0.5">
      <c r="B14" s="9">
        <v>42662</v>
      </c>
      <c r="C14" s="4" t="s">
        <v>19</v>
      </c>
      <c r="D14" s="4" t="s">
        <v>28</v>
      </c>
      <c r="E14" s="4">
        <v>264</v>
      </c>
      <c r="F14" s="4">
        <v>272</v>
      </c>
      <c r="G14" s="4">
        <v>8</v>
      </c>
      <c r="H14" s="4">
        <v>5000</v>
      </c>
      <c r="I14" s="4">
        <v>40000</v>
      </c>
    </row>
    <row r="15" spans="1:11" ht="25.8" x14ac:dyDescent="0.5">
      <c r="B15" s="9">
        <v>42662</v>
      </c>
      <c r="C15" s="4" t="s">
        <v>12</v>
      </c>
      <c r="D15" s="4" t="s">
        <v>42</v>
      </c>
      <c r="E15" s="4">
        <v>200</v>
      </c>
      <c r="F15" s="4">
        <v>201</v>
      </c>
      <c r="G15" s="4">
        <v>-1</v>
      </c>
      <c r="H15" s="4">
        <v>12000</v>
      </c>
      <c r="I15" s="4">
        <v>-12000</v>
      </c>
    </row>
    <row r="16" spans="1:11" ht="25.8" x14ac:dyDescent="0.5">
      <c r="B16" s="9">
        <v>42663</v>
      </c>
      <c r="C16" s="4" t="s">
        <v>19</v>
      </c>
      <c r="D16" s="4" t="s">
        <v>13</v>
      </c>
      <c r="E16" s="4">
        <v>259</v>
      </c>
      <c r="F16" s="4">
        <v>262</v>
      </c>
      <c r="G16" s="4">
        <v>3</v>
      </c>
      <c r="H16" s="4">
        <v>6000</v>
      </c>
      <c r="I16" s="4">
        <v>18000</v>
      </c>
    </row>
    <row r="17" spans="2:9" ht="25.8" x14ac:dyDescent="0.5">
      <c r="B17" s="9">
        <v>42664</v>
      </c>
      <c r="C17" s="4" t="s">
        <v>19</v>
      </c>
      <c r="D17" s="4" t="s">
        <v>16</v>
      </c>
      <c r="E17" s="4">
        <v>8680</v>
      </c>
      <c r="F17" s="4">
        <v>8730</v>
      </c>
      <c r="G17" s="4">
        <v>50</v>
      </c>
      <c r="H17" s="4">
        <v>150</v>
      </c>
      <c r="I17" s="4">
        <v>7500</v>
      </c>
    </row>
    <row r="18" spans="2:9" ht="25.8" x14ac:dyDescent="0.5">
      <c r="B18" s="9">
        <v>42667</v>
      </c>
      <c r="C18" s="4" t="s">
        <v>19</v>
      </c>
      <c r="D18" s="4" t="s">
        <v>44</v>
      </c>
      <c r="E18" s="4">
        <v>142</v>
      </c>
      <c r="F18" s="4">
        <v>147</v>
      </c>
      <c r="G18" s="4">
        <v>5</v>
      </c>
      <c r="H18" s="4">
        <v>8000</v>
      </c>
      <c r="I18" s="4">
        <v>40000</v>
      </c>
    </row>
    <row r="19" spans="2:9" ht="25.8" x14ac:dyDescent="0.5">
      <c r="B19" s="9"/>
      <c r="C19" s="4"/>
      <c r="D19" s="4"/>
      <c r="E19" s="4"/>
      <c r="F19" s="4"/>
      <c r="G19" s="4"/>
      <c r="H19" s="4"/>
      <c r="I19" s="10"/>
    </row>
    <row r="20" spans="2:9" ht="25.8" x14ac:dyDescent="0.5">
      <c r="B20" s="9"/>
      <c r="C20" s="4"/>
      <c r="D20" s="4"/>
      <c r="E20" s="4"/>
      <c r="F20" s="4"/>
      <c r="G20" s="4"/>
      <c r="H20" s="4"/>
      <c r="I20" s="4"/>
    </row>
    <row r="21" spans="2:9" ht="31.2" x14ac:dyDescent="0.6">
      <c r="B21" s="8"/>
      <c r="C21" s="4"/>
      <c r="D21" s="4"/>
      <c r="E21" s="4"/>
      <c r="F21" s="4"/>
      <c r="G21" s="4"/>
      <c r="H21" s="4"/>
      <c r="I21" s="17">
        <v>121500</v>
      </c>
    </row>
    <row r="22" spans="2:9" ht="25.8" x14ac:dyDescent="0.5">
      <c r="B22" s="8"/>
      <c r="C22" s="4"/>
      <c r="D22" s="4"/>
      <c r="E22" s="4"/>
      <c r="F22" s="4"/>
      <c r="G22" s="4"/>
      <c r="H22" s="4"/>
      <c r="I22" s="4"/>
    </row>
    <row r="23" spans="2:9" ht="25.8" x14ac:dyDescent="0.5">
      <c r="B23" s="8"/>
      <c r="C23" s="4"/>
      <c r="D23" s="4"/>
      <c r="E23" s="4"/>
      <c r="F23" s="4"/>
      <c r="G23" s="4"/>
      <c r="H23" s="4"/>
      <c r="I23" s="4"/>
    </row>
    <row r="24" spans="2:9" ht="25.8" x14ac:dyDescent="0.5">
      <c r="I24" s="10"/>
    </row>
  </sheetData>
  <mergeCells count="3">
    <mergeCell ref="B1:I1"/>
    <mergeCell ref="B2:I2"/>
    <mergeCell ref="B3:I3"/>
  </mergeCells>
  <hyperlinks>
    <hyperlink ref="K2" location="'Home Page'!A1" display="Back" xr:uid="{00000000-0004-0000-0900-000000000000}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B1:P42"/>
  <sheetViews>
    <sheetView tabSelected="1" topLeftCell="A22" zoomScale="90" zoomScaleNormal="90" workbookViewId="0">
      <selection activeCell="P41" sqref="P41"/>
    </sheetView>
  </sheetViews>
  <sheetFormatPr defaultColWidth="9.109375" defaultRowHeight="14.4" x14ac:dyDescent="0.3"/>
  <cols>
    <col min="1" max="1" width="31.33203125" style="46" customWidth="1"/>
    <col min="2" max="2" width="8.88671875" style="45" customWidth="1"/>
    <col min="3" max="3" width="19.44140625" style="45" customWidth="1"/>
    <col min="4" max="4" width="1.44140625" style="45" customWidth="1"/>
    <col min="5" max="5" width="8.88671875" style="46" customWidth="1"/>
    <col min="6" max="6" width="19.44140625" style="46" customWidth="1"/>
    <col min="7" max="7" width="1.44140625" style="46" customWidth="1"/>
    <col min="8" max="8" width="8.88671875" style="46" customWidth="1"/>
    <col min="9" max="9" width="19.44140625" style="46" customWidth="1"/>
    <col min="10" max="10" width="1.44140625" style="46" customWidth="1"/>
    <col min="11" max="11" width="8.88671875" style="46" customWidth="1"/>
    <col min="12" max="12" width="19.44140625" style="46" customWidth="1"/>
    <col min="13" max="13" width="1.44140625" style="46" customWidth="1"/>
    <col min="14" max="14" width="8.88671875" style="46" customWidth="1"/>
    <col min="15" max="15" width="19.44140625" style="46" customWidth="1"/>
    <col min="16" max="16" width="31.33203125" style="46" customWidth="1"/>
    <col min="17" max="16384" width="9.109375" style="46"/>
  </cols>
  <sheetData>
    <row r="1" spans="2:16" ht="15" thickBot="1" x14ac:dyDescent="0.35"/>
    <row r="2" spans="2:16" ht="14.25" customHeight="1" x14ac:dyDescent="0.3">
      <c r="B2" s="163"/>
      <c r="C2" s="164"/>
      <c r="D2" s="164"/>
      <c r="E2" s="165"/>
      <c r="F2" s="172"/>
      <c r="G2" s="173"/>
      <c r="H2" s="173"/>
      <c r="I2" s="173"/>
      <c r="J2" s="173"/>
      <c r="K2" s="173"/>
      <c r="L2" s="173"/>
      <c r="M2" s="173"/>
      <c r="N2" s="173"/>
      <c r="O2" s="174"/>
    </row>
    <row r="3" spans="2:16" ht="14.25" customHeight="1" x14ac:dyDescent="0.3">
      <c r="B3" s="166"/>
      <c r="C3" s="167"/>
      <c r="D3" s="167"/>
      <c r="E3" s="168"/>
      <c r="F3" s="175"/>
      <c r="G3" s="176"/>
      <c r="H3" s="176"/>
      <c r="I3" s="176"/>
      <c r="J3" s="176"/>
      <c r="K3" s="176"/>
      <c r="L3" s="176"/>
      <c r="M3" s="176"/>
      <c r="N3" s="176"/>
      <c r="O3" s="177"/>
    </row>
    <row r="4" spans="2:16" ht="14.25" customHeight="1" x14ac:dyDescent="0.3">
      <c r="B4" s="166"/>
      <c r="C4" s="167"/>
      <c r="D4" s="167"/>
      <c r="E4" s="168"/>
      <c r="F4" s="175"/>
      <c r="G4" s="176"/>
      <c r="H4" s="176"/>
      <c r="I4" s="176"/>
      <c r="J4" s="176"/>
      <c r="K4" s="176"/>
      <c r="L4" s="176"/>
      <c r="M4" s="176"/>
      <c r="N4" s="176"/>
      <c r="O4" s="177"/>
    </row>
    <row r="5" spans="2:16" ht="14.25" customHeight="1" x14ac:dyDescent="0.3">
      <c r="B5" s="166"/>
      <c r="C5" s="167"/>
      <c r="D5" s="167"/>
      <c r="E5" s="168"/>
      <c r="F5" s="175"/>
      <c r="G5" s="176"/>
      <c r="H5" s="176"/>
      <c r="I5" s="176"/>
      <c r="J5" s="176"/>
      <c r="K5" s="176"/>
      <c r="L5" s="176"/>
      <c r="M5" s="176"/>
      <c r="N5" s="176"/>
      <c r="O5" s="177"/>
    </row>
    <row r="6" spans="2:16" ht="14.25" customHeight="1" x14ac:dyDescent="0.3">
      <c r="B6" s="166"/>
      <c r="C6" s="167"/>
      <c r="D6" s="167"/>
      <c r="E6" s="168"/>
      <c r="F6" s="175"/>
      <c r="G6" s="176"/>
      <c r="H6" s="176"/>
      <c r="I6" s="176"/>
      <c r="J6" s="176"/>
      <c r="K6" s="176"/>
      <c r="L6" s="176"/>
      <c r="M6" s="176"/>
      <c r="N6" s="176"/>
      <c r="O6" s="177"/>
    </row>
    <row r="7" spans="2:16" ht="14.25" customHeight="1" x14ac:dyDescent="0.3">
      <c r="B7" s="166"/>
      <c r="C7" s="167"/>
      <c r="D7" s="167"/>
      <c r="E7" s="168"/>
      <c r="F7" s="175"/>
      <c r="G7" s="176"/>
      <c r="H7" s="176"/>
      <c r="I7" s="176"/>
      <c r="J7" s="176"/>
      <c r="K7" s="176"/>
      <c r="L7" s="176"/>
      <c r="M7" s="176"/>
      <c r="N7" s="176"/>
      <c r="O7" s="177"/>
    </row>
    <row r="8" spans="2:16" ht="14.25" customHeight="1" x14ac:dyDescent="0.3">
      <c r="B8" s="166"/>
      <c r="C8" s="167"/>
      <c r="D8" s="167"/>
      <c r="E8" s="168"/>
      <c r="F8" s="175"/>
      <c r="G8" s="176"/>
      <c r="H8" s="176"/>
      <c r="I8" s="176"/>
      <c r="J8" s="176"/>
      <c r="K8" s="176"/>
      <c r="L8" s="176"/>
      <c r="M8" s="176"/>
      <c r="N8" s="176"/>
      <c r="O8" s="177"/>
    </row>
    <row r="9" spans="2:16" ht="14.25" customHeight="1" x14ac:dyDescent="0.3">
      <c r="B9" s="166"/>
      <c r="C9" s="167"/>
      <c r="D9" s="167"/>
      <c r="E9" s="168"/>
      <c r="F9" s="175"/>
      <c r="G9" s="176"/>
      <c r="H9" s="176"/>
      <c r="I9" s="176"/>
      <c r="J9" s="176"/>
      <c r="K9" s="176"/>
      <c r="L9" s="176"/>
      <c r="M9" s="176"/>
      <c r="N9" s="176"/>
      <c r="O9" s="177"/>
    </row>
    <row r="10" spans="2:16" ht="14.25" customHeight="1" x14ac:dyDescent="0.3">
      <c r="B10" s="166"/>
      <c r="C10" s="167"/>
      <c r="D10" s="167"/>
      <c r="E10" s="168"/>
      <c r="F10" s="175"/>
      <c r="G10" s="176"/>
      <c r="H10" s="176"/>
      <c r="I10" s="176"/>
      <c r="J10" s="176"/>
      <c r="K10" s="176"/>
      <c r="L10" s="176"/>
      <c r="M10" s="176"/>
      <c r="N10" s="176"/>
      <c r="O10" s="177"/>
    </row>
    <row r="11" spans="2:16" ht="14.25" customHeight="1" thickBot="1" x14ac:dyDescent="0.35">
      <c r="B11" s="169"/>
      <c r="C11" s="170"/>
      <c r="D11" s="170"/>
      <c r="E11" s="171"/>
      <c r="F11" s="178"/>
      <c r="G11" s="179"/>
      <c r="H11" s="179"/>
      <c r="I11" s="179"/>
      <c r="J11" s="179"/>
      <c r="K11" s="179"/>
      <c r="L11" s="179"/>
      <c r="M11" s="179"/>
      <c r="N11" s="179"/>
      <c r="O11" s="180"/>
    </row>
    <row r="12" spans="2:16" ht="15" thickBot="1" x14ac:dyDescent="0.35"/>
    <row r="13" spans="2:16" ht="15" customHeight="1" x14ac:dyDescent="0.3">
      <c r="B13" s="181" t="s">
        <v>71</v>
      </c>
      <c r="C13" s="182"/>
      <c r="D13" s="47"/>
      <c r="E13" s="185" t="s">
        <v>72</v>
      </c>
      <c r="F13" s="185"/>
      <c r="G13" s="185"/>
      <c r="H13" s="185"/>
      <c r="I13" s="185"/>
      <c r="J13" s="185"/>
      <c r="K13" s="185"/>
      <c r="L13" s="185"/>
      <c r="M13" s="47"/>
      <c r="N13" s="182" t="s">
        <v>71</v>
      </c>
      <c r="O13" s="187"/>
    </row>
    <row r="14" spans="2:16" ht="15.75" customHeight="1" thickBot="1" x14ac:dyDescent="0.35">
      <c r="B14" s="183"/>
      <c r="C14" s="184"/>
      <c r="D14" s="48"/>
      <c r="E14" s="186"/>
      <c r="F14" s="186"/>
      <c r="G14" s="186"/>
      <c r="H14" s="186"/>
      <c r="I14" s="186"/>
      <c r="J14" s="186"/>
      <c r="K14" s="186"/>
      <c r="L14" s="186"/>
      <c r="M14" s="48"/>
      <c r="N14" s="184"/>
      <c r="O14" s="188"/>
    </row>
    <row r="15" spans="2:16" ht="15" thickBot="1" x14ac:dyDescent="0.35"/>
    <row r="16" spans="2:16" ht="15" thickBot="1" x14ac:dyDescent="0.35">
      <c r="B16" s="49" t="s">
        <v>73</v>
      </c>
      <c r="C16" s="50" t="s">
        <v>74</v>
      </c>
      <c r="E16" s="49" t="s">
        <v>73</v>
      </c>
      <c r="F16" s="50" t="s">
        <v>74</v>
      </c>
      <c r="G16" s="45"/>
      <c r="H16" s="49" t="s">
        <v>73</v>
      </c>
      <c r="I16" s="50" t="s">
        <v>74</v>
      </c>
      <c r="K16" s="49" t="s">
        <v>73</v>
      </c>
      <c r="L16" s="50" t="s">
        <v>74</v>
      </c>
      <c r="N16" s="49" t="s">
        <v>73</v>
      </c>
      <c r="O16" s="50" t="s">
        <v>74</v>
      </c>
      <c r="P16" s="46" t="s">
        <v>88</v>
      </c>
    </row>
    <row r="17" spans="2:15" x14ac:dyDescent="0.3">
      <c r="B17" s="51">
        <v>2016</v>
      </c>
      <c r="C17" s="78" t="s">
        <v>75</v>
      </c>
      <c r="E17" s="52">
        <v>2017</v>
      </c>
      <c r="F17" s="53" t="s">
        <v>75</v>
      </c>
      <c r="G17" s="45"/>
      <c r="H17" s="54">
        <v>2018</v>
      </c>
      <c r="I17" s="55" t="s">
        <v>75</v>
      </c>
      <c r="K17" s="98">
        <v>2019</v>
      </c>
      <c r="L17" s="99" t="s">
        <v>104</v>
      </c>
      <c r="N17" s="100">
        <v>2020</v>
      </c>
      <c r="O17" s="101" t="s">
        <v>75</v>
      </c>
    </row>
    <row r="18" spans="2:15" x14ac:dyDescent="0.3">
      <c r="B18" s="56">
        <v>2016</v>
      </c>
      <c r="C18" s="61" t="s">
        <v>76</v>
      </c>
      <c r="E18" s="57">
        <v>2017</v>
      </c>
      <c r="F18" s="58" t="s">
        <v>76</v>
      </c>
      <c r="G18" s="45"/>
      <c r="H18" s="59">
        <v>2018</v>
      </c>
      <c r="I18" s="60" t="s">
        <v>76</v>
      </c>
      <c r="K18" s="98">
        <v>2019</v>
      </c>
      <c r="L18" s="99" t="s">
        <v>105</v>
      </c>
      <c r="N18" s="100">
        <v>2020</v>
      </c>
      <c r="O18" s="101" t="s">
        <v>76</v>
      </c>
    </row>
    <row r="19" spans="2:15" x14ac:dyDescent="0.3">
      <c r="B19" s="56">
        <v>2016</v>
      </c>
      <c r="C19" s="61" t="s">
        <v>77</v>
      </c>
      <c r="E19" s="57">
        <v>2017</v>
      </c>
      <c r="F19" s="58" t="s">
        <v>77</v>
      </c>
      <c r="G19" s="45"/>
      <c r="H19" s="59">
        <v>2018</v>
      </c>
      <c r="I19" s="60" t="s">
        <v>77</v>
      </c>
      <c r="K19" s="98">
        <v>2019</v>
      </c>
      <c r="L19" s="99" t="s">
        <v>106</v>
      </c>
      <c r="N19" s="100">
        <v>2020</v>
      </c>
      <c r="O19" s="101" t="s">
        <v>77</v>
      </c>
    </row>
    <row r="20" spans="2:15" x14ac:dyDescent="0.3">
      <c r="B20" s="56">
        <v>2016</v>
      </c>
      <c r="C20" s="61" t="s">
        <v>78</v>
      </c>
      <c r="E20" s="57">
        <v>2017</v>
      </c>
      <c r="F20" s="58" t="s">
        <v>78</v>
      </c>
      <c r="G20" s="45"/>
      <c r="H20" s="59">
        <v>2018</v>
      </c>
      <c r="I20" s="60" t="s">
        <v>78</v>
      </c>
      <c r="K20" s="98">
        <v>2019</v>
      </c>
      <c r="L20" s="99" t="s">
        <v>107</v>
      </c>
      <c r="N20" s="100">
        <v>2020</v>
      </c>
      <c r="O20" s="101" t="s">
        <v>78</v>
      </c>
    </row>
    <row r="21" spans="2:15" x14ac:dyDescent="0.3">
      <c r="B21" s="56">
        <v>2016</v>
      </c>
      <c r="C21" s="61" t="s">
        <v>79</v>
      </c>
      <c r="E21" s="57">
        <v>2017</v>
      </c>
      <c r="F21" s="58" t="s">
        <v>79</v>
      </c>
      <c r="G21" s="45"/>
      <c r="H21" s="59">
        <v>2018</v>
      </c>
      <c r="I21" s="60" t="s">
        <v>79</v>
      </c>
      <c r="K21" s="98">
        <v>2019</v>
      </c>
      <c r="L21" s="99" t="s">
        <v>108</v>
      </c>
      <c r="N21" s="100">
        <v>2020</v>
      </c>
      <c r="O21" s="101" t="s">
        <v>79</v>
      </c>
    </row>
    <row r="22" spans="2:15" x14ac:dyDescent="0.3">
      <c r="B22" s="56">
        <v>2016</v>
      </c>
      <c r="C22" s="61" t="s">
        <v>80</v>
      </c>
      <c r="E22" s="57">
        <v>2017</v>
      </c>
      <c r="F22" s="58" t="s">
        <v>80</v>
      </c>
      <c r="G22" s="45"/>
      <c r="H22" s="59">
        <v>2018</v>
      </c>
      <c r="I22" s="60" t="s">
        <v>80</v>
      </c>
      <c r="K22" s="98">
        <v>2019</v>
      </c>
      <c r="L22" s="99" t="s">
        <v>109</v>
      </c>
      <c r="N22" s="100">
        <v>2020</v>
      </c>
      <c r="O22" s="101" t="s">
        <v>80</v>
      </c>
    </row>
    <row r="23" spans="2:15" x14ac:dyDescent="0.3">
      <c r="B23" s="56">
        <v>2016</v>
      </c>
      <c r="C23" s="61" t="s">
        <v>81</v>
      </c>
      <c r="E23" s="57">
        <v>2017</v>
      </c>
      <c r="F23" s="58" t="s">
        <v>81</v>
      </c>
      <c r="G23" s="45"/>
      <c r="H23" s="59">
        <v>2018</v>
      </c>
      <c r="I23" s="60" t="s">
        <v>81</v>
      </c>
      <c r="K23" s="98">
        <v>2019</v>
      </c>
      <c r="L23" s="99" t="s">
        <v>110</v>
      </c>
      <c r="N23" s="100">
        <v>2020</v>
      </c>
      <c r="O23" s="101" t="s">
        <v>81</v>
      </c>
    </row>
    <row r="24" spans="2:15" x14ac:dyDescent="0.3">
      <c r="B24" s="56">
        <v>2016</v>
      </c>
      <c r="C24" s="61" t="s">
        <v>82</v>
      </c>
      <c r="E24" s="57">
        <v>2017</v>
      </c>
      <c r="F24" s="58" t="s">
        <v>83</v>
      </c>
      <c r="G24" s="45"/>
      <c r="H24" s="59">
        <v>2018</v>
      </c>
      <c r="I24" s="60" t="s">
        <v>82</v>
      </c>
      <c r="K24" s="98">
        <v>2019</v>
      </c>
      <c r="L24" s="99" t="s">
        <v>111</v>
      </c>
      <c r="N24" s="100">
        <v>2020</v>
      </c>
      <c r="O24" s="101" t="s">
        <v>82</v>
      </c>
    </row>
    <row r="25" spans="2:15" x14ac:dyDescent="0.3">
      <c r="B25" s="56">
        <v>2016</v>
      </c>
      <c r="C25" s="61" t="s">
        <v>84</v>
      </c>
      <c r="E25" s="57">
        <v>2017</v>
      </c>
      <c r="F25" s="58" t="s">
        <v>91</v>
      </c>
      <c r="G25" s="45"/>
      <c r="H25" s="59">
        <v>2018</v>
      </c>
      <c r="I25" s="60" t="s">
        <v>84</v>
      </c>
      <c r="K25" s="98">
        <v>2019</v>
      </c>
      <c r="L25" s="99" t="s">
        <v>112</v>
      </c>
      <c r="N25" s="100">
        <v>2020</v>
      </c>
      <c r="O25" s="101" t="s">
        <v>84</v>
      </c>
    </row>
    <row r="26" spans="2:15" x14ac:dyDescent="0.3">
      <c r="B26" s="56">
        <v>2016</v>
      </c>
      <c r="C26" s="61" t="s">
        <v>85</v>
      </c>
      <c r="E26" s="57">
        <v>2017</v>
      </c>
      <c r="F26" s="58" t="s">
        <v>93</v>
      </c>
      <c r="G26" s="45"/>
      <c r="H26" s="59">
        <v>2018</v>
      </c>
      <c r="I26" s="60" t="s">
        <v>85</v>
      </c>
      <c r="K26" s="98">
        <v>2019</v>
      </c>
      <c r="L26" s="99" t="s">
        <v>113</v>
      </c>
      <c r="N26" s="100">
        <v>2020</v>
      </c>
      <c r="O26" s="101" t="s">
        <v>85</v>
      </c>
    </row>
    <row r="27" spans="2:15" x14ac:dyDescent="0.3">
      <c r="B27" s="56">
        <v>2016</v>
      </c>
      <c r="C27" s="61" t="s">
        <v>86</v>
      </c>
      <c r="E27" s="57">
        <v>2017</v>
      </c>
      <c r="F27" s="58" t="s">
        <v>94</v>
      </c>
      <c r="G27" s="45"/>
      <c r="H27" s="59">
        <v>2018</v>
      </c>
      <c r="I27" s="60" t="s">
        <v>86</v>
      </c>
      <c r="K27" s="98">
        <v>2019</v>
      </c>
      <c r="L27" s="99" t="s">
        <v>114</v>
      </c>
      <c r="N27" s="100">
        <v>2020</v>
      </c>
      <c r="O27" s="101" t="s">
        <v>86</v>
      </c>
    </row>
    <row r="28" spans="2:15" ht="15" thickBot="1" x14ac:dyDescent="0.35">
      <c r="B28" s="62">
        <v>2016</v>
      </c>
      <c r="C28" s="63" t="s">
        <v>87</v>
      </c>
      <c r="E28" s="64">
        <v>2017</v>
      </c>
      <c r="F28" s="65" t="s">
        <v>95</v>
      </c>
      <c r="G28" s="45"/>
      <c r="H28" s="66">
        <v>2018</v>
      </c>
      <c r="I28" s="67" t="s">
        <v>87</v>
      </c>
      <c r="K28" s="98">
        <v>2019</v>
      </c>
      <c r="L28" s="99" t="s">
        <v>115</v>
      </c>
      <c r="N28" s="100">
        <v>2020</v>
      </c>
      <c r="O28" s="101" t="s">
        <v>87</v>
      </c>
    </row>
    <row r="29" spans="2:15" ht="15" thickBot="1" x14ac:dyDescent="0.35">
      <c r="G29" s="45"/>
    </row>
    <row r="30" spans="2:15" x14ac:dyDescent="0.3">
      <c r="B30" s="49" t="s">
        <v>73</v>
      </c>
      <c r="C30" s="50" t="s">
        <v>74</v>
      </c>
      <c r="E30" s="49" t="s">
        <v>73</v>
      </c>
      <c r="F30" s="50" t="s">
        <v>74</v>
      </c>
      <c r="G30" s="45"/>
      <c r="H30" s="49" t="s">
        <v>73</v>
      </c>
      <c r="I30" s="50" t="s">
        <v>74</v>
      </c>
      <c r="K30" s="49" t="s">
        <v>73</v>
      </c>
      <c r="L30" s="50" t="s">
        <v>74</v>
      </c>
    </row>
    <row r="31" spans="2:15" x14ac:dyDescent="0.3">
      <c r="B31" s="100">
        <v>2021</v>
      </c>
      <c r="C31" s="101" t="s">
        <v>75</v>
      </c>
      <c r="E31" s="100">
        <v>2022</v>
      </c>
      <c r="F31" s="102" t="s">
        <v>75</v>
      </c>
      <c r="H31" s="100">
        <v>2023</v>
      </c>
      <c r="I31" s="102" t="s">
        <v>210</v>
      </c>
      <c r="K31" s="100">
        <v>2024</v>
      </c>
      <c r="L31" s="107" t="s">
        <v>210</v>
      </c>
    </row>
    <row r="32" spans="2:15" x14ac:dyDescent="0.3">
      <c r="B32" s="100">
        <v>2021</v>
      </c>
      <c r="C32" s="101" t="s">
        <v>76</v>
      </c>
      <c r="E32" s="100">
        <v>2022</v>
      </c>
      <c r="F32" s="102" t="s">
        <v>76</v>
      </c>
      <c r="H32" s="100">
        <v>2023</v>
      </c>
      <c r="I32" s="102" t="s">
        <v>211</v>
      </c>
      <c r="K32" s="100">
        <v>2024</v>
      </c>
      <c r="L32" s="107" t="s">
        <v>211</v>
      </c>
    </row>
    <row r="33" spans="2:12" x14ac:dyDescent="0.3">
      <c r="B33" s="100">
        <v>2021</v>
      </c>
      <c r="C33" s="101" t="s">
        <v>77</v>
      </c>
      <c r="E33" s="100">
        <v>2022</v>
      </c>
      <c r="F33" s="102" t="s">
        <v>77</v>
      </c>
      <c r="H33" s="100">
        <v>2023</v>
      </c>
      <c r="I33" s="102" t="s">
        <v>212</v>
      </c>
      <c r="K33" s="100">
        <v>2024</v>
      </c>
      <c r="L33" s="107" t="s">
        <v>212</v>
      </c>
    </row>
    <row r="34" spans="2:12" x14ac:dyDescent="0.3">
      <c r="B34" s="100">
        <v>2021</v>
      </c>
      <c r="C34" s="101" t="s">
        <v>78</v>
      </c>
      <c r="E34" s="100">
        <v>2022</v>
      </c>
      <c r="F34" s="102" t="s">
        <v>78</v>
      </c>
      <c r="H34" s="100">
        <v>2023</v>
      </c>
      <c r="I34" s="102" t="s">
        <v>213</v>
      </c>
      <c r="K34" s="100">
        <v>2024</v>
      </c>
      <c r="L34" s="108" t="s">
        <v>213</v>
      </c>
    </row>
    <row r="35" spans="2:12" x14ac:dyDescent="0.3">
      <c r="B35" s="100">
        <v>2021</v>
      </c>
      <c r="C35" s="101" t="s">
        <v>79</v>
      </c>
      <c r="E35" s="100">
        <v>2022</v>
      </c>
      <c r="F35" s="102" t="s">
        <v>79</v>
      </c>
      <c r="H35" s="100">
        <v>2023</v>
      </c>
      <c r="I35" s="102" t="s">
        <v>214</v>
      </c>
      <c r="K35" s="100">
        <v>2024</v>
      </c>
      <c r="L35" s="108" t="s">
        <v>214</v>
      </c>
    </row>
    <row r="36" spans="2:12" x14ac:dyDescent="0.3">
      <c r="B36" s="100">
        <v>2021</v>
      </c>
      <c r="C36" s="101" t="s">
        <v>80</v>
      </c>
      <c r="E36" s="100">
        <v>2022</v>
      </c>
      <c r="F36" s="102" t="s">
        <v>80</v>
      </c>
      <c r="H36" s="100">
        <v>2023</v>
      </c>
      <c r="I36" s="102" t="s">
        <v>215</v>
      </c>
      <c r="K36" s="100">
        <v>2024</v>
      </c>
      <c r="L36" s="108" t="s">
        <v>215</v>
      </c>
    </row>
    <row r="37" spans="2:12" x14ac:dyDescent="0.3">
      <c r="B37" s="100">
        <v>2021</v>
      </c>
      <c r="C37" s="101" t="s">
        <v>81</v>
      </c>
      <c r="E37" s="100">
        <v>2022</v>
      </c>
      <c r="F37" s="102" t="s">
        <v>81</v>
      </c>
      <c r="H37" s="100">
        <v>2023</v>
      </c>
      <c r="I37" s="102" t="s">
        <v>216</v>
      </c>
      <c r="K37" s="100">
        <v>2024</v>
      </c>
      <c r="L37" s="107" t="s">
        <v>216</v>
      </c>
    </row>
    <row r="38" spans="2:12" x14ac:dyDescent="0.3">
      <c r="B38" s="100">
        <v>2021</v>
      </c>
      <c r="C38" s="101" t="s">
        <v>82</v>
      </c>
      <c r="E38" s="100">
        <v>2022</v>
      </c>
      <c r="F38" s="102" t="s">
        <v>82</v>
      </c>
      <c r="H38" s="100">
        <v>2023</v>
      </c>
      <c r="I38" s="102" t="s">
        <v>83</v>
      </c>
      <c r="K38" s="100">
        <v>2024</v>
      </c>
      <c r="L38" s="108" t="s">
        <v>83</v>
      </c>
    </row>
    <row r="39" spans="2:12" x14ac:dyDescent="0.3">
      <c r="B39" s="100">
        <v>2021</v>
      </c>
      <c r="C39" s="101" t="s">
        <v>84</v>
      </c>
      <c r="E39" s="100">
        <v>2022</v>
      </c>
      <c r="F39" s="102" t="s">
        <v>84</v>
      </c>
      <c r="H39" s="100">
        <v>2023</v>
      </c>
      <c r="I39" s="102" t="s">
        <v>91</v>
      </c>
      <c r="K39" s="100">
        <v>2024</v>
      </c>
      <c r="L39" s="108" t="s">
        <v>91</v>
      </c>
    </row>
    <row r="40" spans="2:12" x14ac:dyDescent="0.3">
      <c r="B40" s="100">
        <v>2021</v>
      </c>
      <c r="C40" s="101" t="s">
        <v>85</v>
      </c>
      <c r="E40" s="100">
        <v>2022</v>
      </c>
      <c r="F40" s="102" t="s">
        <v>85</v>
      </c>
      <c r="H40" s="100">
        <v>2023</v>
      </c>
      <c r="I40" s="102" t="s">
        <v>93</v>
      </c>
      <c r="K40" s="100">
        <v>2024</v>
      </c>
      <c r="L40" s="108" t="s">
        <v>93</v>
      </c>
    </row>
    <row r="41" spans="2:12" x14ac:dyDescent="0.3">
      <c r="B41" s="100">
        <v>2021</v>
      </c>
      <c r="C41" s="101" t="s">
        <v>86</v>
      </c>
      <c r="E41" s="100">
        <v>2022</v>
      </c>
      <c r="F41" s="102" t="s">
        <v>86</v>
      </c>
      <c r="H41" s="100">
        <v>2023</v>
      </c>
      <c r="I41" s="102" t="s">
        <v>94</v>
      </c>
      <c r="K41" s="100">
        <v>2024</v>
      </c>
      <c r="L41" s="108" t="s">
        <v>94</v>
      </c>
    </row>
    <row r="42" spans="2:12" x14ac:dyDescent="0.3">
      <c r="B42" s="100">
        <v>2021</v>
      </c>
      <c r="C42" s="101" t="s">
        <v>87</v>
      </c>
      <c r="E42" s="100">
        <v>2022</v>
      </c>
      <c r="F42" s="102" t="s">
        <v>87</v>
      </c>
      <c r="H42" s="100">
        <v>2023</v>
      </c>
      <c r="I42" s="102" t="s">
        <v>95</v>
      </c>
      <c r="K42" s="100">
        <v>2024</v>
      </c>
      <c r="L42" s="108" t="s">
        <v>95</v>
      </c>
    </row>
  </sheetData>
  <mergeCells count="5">
    <mergeCell ref="B2:E11"/>
    <mergeCell ref="F2:O11"/>
    <mergeCell ref="B13:C14"/>
    <mergeCell ref="E13:L14"/>
    <mergeCell ref="N13:O14"/>
  </mergeCells>
  <hyperlinks>
    <hyperlink ref="C17" location="'JAN 2016'!A1" display="January" xr:uid="{00000000-0004-0000-6100-000000000000}"/>
    <hyperlink ref="C18" location="'FEB 2016'!A1" display="February" xr:uid="{00000000-0004-0000-6100-000001000000}"/>
    <hyperlink ref="C19" location="'MARCH 2016'!A1" display="March" xr:uid="{00000000-0004-0000-6100-000002000000}"/>
    <hyperlink ref="C20" location="'APRIL 2016'!A1" display="April" xr:uid="{00000000-0004-0000-6100-000003000000}"/>
    <hyperlink ref="C21" location="'MAY 2016'!A1" display="May" xr:uid="{00000000-0004-0000-6100-000004000000}"/>
    <hyperlink ref="C22" location="'JUNE 2016'!A1" display="June" xr:uid="{00000000-0004-0000-6100-000005000000}"/>
    <hyperlink ref="C23" location="'JULY 2016'!A1" display="July" xr:uid="{00000000-0004-0000-6100-000006000000}"/>
    <hyperlink ref="C24" location="'AUG 2016'!A1" display="August" xr:uid="{00000000-0004-0000-6100-000007000000}"/>
    <hyperlink ref="C25" location="'SEP 2016'!A1" display="September" xr:uid="{00000000-0004-0000-6100-000008000000}"/>
    <hyperlink ref="C26" location="'OCT 2016'!A1" display="October" xr:uid="{00000000-0004-0000-6100-000009000000}"/>
    <hyperlink ref="C27" location="'NOV 2016'!A1" display="November" xr:uid="{00000000-0004-0000-6100-00000A000000}"/>
    <hyperlink ref="C28" location="'DEC 2016'!A1" display="December" xr:uid="{00000000-0004-0000-6100-00000B000000}"/>
    <hyperlink ref="F17" location="'JAN 2017'!A1" display="January" xr:uid="{00000000-0004-0000-6100-00000C000000}"/>
    <hyperlink ref="F18" location="'FEB 2017'!A1" display="February" xr:uid="{00000000-0004-0000-6100-00000D000000}"/>
    <hyperlink ref="F19" location="'MARCH 2017'!A1" display="March" xr:uid="{00000000-0004-0000-6100-00000E000000}"/>
    <hyperlink ref="F20" location="'APRIL 2017'!A1" display="April" xr:uid="{00000000-0004-0000-6100-00000F000000}"/>
    <hyperlink ref="F21" location="'MAY 2017'!A1" display="May" xr:uid="{00000000-0004-0000-6100-000010000000}"/>
    <hyperlink ref="F22" location="'JUNE 2017'!A1" display="June" xr:uid="{00000000-0004-0000-6100-000011000000}"/>
    <hyperlink ref="F23" location="'JULY 2017'!A1" display="July" xr:uid="{00000000-0004-0000-6100-000012000000}"/>
    <hyperlink ref="F24" location="'AUG 2017'!A1" display="AUGUST" xr:uid="{00000000-0004-0000-6100-000013000000}"/>
    <hyperlink ref="F25" location="'SEP 2017'!A1" display="SEPTEMBER" xr:uid="{00000000-0004-0000-6100-000014000000}"/>
    <hyperlink ref="F26" location="'OCT 2017'!A1" display="OCTOBER" xr:uid="{00000000-0004-0000-6100-000015000000}"/>
    <hyperlink ref="F27" location="'NOV 2017'!A1" display="NOVEMBER" xr:uid="{00000000-0004-0000-6100-000016000000}"/>
    <hyperlink ref="F28" location="'DEC 2017'!A1" display="DECEMBER" xr:uid="{00000000-0004-0000-6100-000017000000}"/>
    <hyperlink ref="I17" location="'JAN 2018'!A1" display="January" xr:uid="{00000000-0004-0000-6100-000018000000}"/>
    <hyperlink ref="I18" location="'FEB 2018'!A1" display="February" xr:uid="{00000000-0004-0000-6100-000019000000}"/>
    <hyperlink ref="I19" location="'MARCH 2018'!A1" display="March" xr:uid="{00000000-0004-0000-6100-00001A000000}"/>
    <hyperlink ref="I20" location="'APRIL 2018'!A1" display="April" xr:uid="{00000000-0004-0000-6100-00001B000000}"/>
    <hyperlink ref="I21" location="'MAY 2018'!A1" display="May" xr:uid="{00000000-0004-0000-6100-00001C000000}"/>
    <hyperlink ref="I22" location="'JUNE 2018'!A1" display="June" xr:uid="{00000000-0004-0000-6100-00001D000000}"/>
    <hyperlink ref="I23" location="'JULY 2018'!A1" display="July" xr:uid="{00000000-0004-0000-6100-00001E000000}"/>
    <hyperlink ref="I24" location="'AUGUST 2018'!A1" display="August" xr:uid="{00000000-0004-0000-6100-00001F000000}"/>
    <hyperlink ref="I26" location="'OCT 2018'!A1" display="October" xr:uid="{00000000-0004-0000-6100-000020000000}"/>
    <hyperlink ref="L17" location="'JAN 2019'!A1" display="january" xr:uid="{00000000-0004-0000-6100-000021000000}"/>
    <hyperlink ref="L18" location="'FEB 2019'!A1" display="february" xr:uid="{00000000-0004-0000-6100-000022000000}"/>
    <hyperlink ref="L19" location="'MARCH 2019'!A1" display="march" xr:uid="{00000000-0004-0000-6100-000023000000}"/>
    <hyperlink ref="L20" location="'APRIL 2019'!A1" display="april" xr:uid="{00000000-0004-0000-6100-000024000000}"/>
    <hyperlink ref="L21" location="'MAY 2019'!A1" display="may" xr:uid="{00000000-0004-0000-6100-000025000000}"/>
    <hyperlink ref="L22" location="'JUN 2019'!A1" display="june" xr:uid="{00000000-0004-0000-6100-000026000000}"/>
    <hyperlink ref="L23:L24" location="'JULY 2019'!A1" display="july" xr:uid="{00000000-0004-0000-6100-000027000000}"/>
    <hyperlink ref="L24" location="'AUGUST 2019'!A1" display="august" xr:uid="{00000000-0004-0000-6100-000028000000}"/>
    <hyperlink ref="L25" location="'SEP 2019'!A1" display="september" xr:uid="{00000000-0004-0000-6100-000029000000}"/>
    <hyperlink ref="L26" location="'OCT 2019'!A1" display="october" xr:uid="{00000000-0004-0000-6100-00002A000000}"/>
    <hyperlink ref="L27" location="'NOV 2019'!A1" display="november" xr:uid="{00000000-0004-0000-6100-00002B000000}"/>
    <hyperlink ref="L28" location="'DEC 2019'!A1" display="december" xr:uid="{00000000-0004-0000-6100-00002C000000}"/>
    <hyperlink ref="O17" location="'JAN 2020'!A1" display="January" xr:uid="{00000000-0004-0000-6100-00002D000000}"/>
    <hyperlink ref="O18" location="'FEB 2020'!A1" display="February" xr:uid="{00000000-0004-0000-6100-00002E000000}"/>
    <hyperlink ref="O20" location="'APRIL 2020'!A1" display="April" xr:uid="{00000000-0004-0000-6100-00002F000000}"/>
    <hyperlink ref="O21" location="'MAY 2020'!A1" display="May" xr:uid="{00000000-0004-0000-6100-000030000000}"/>
    <hyperlink ref="O22" location="'JUN 2019'!A1" display="June" xr:uid="{00000000-0004-0000-6100-000031000000}"/>
    <hyperlink ref="O23" location="'JULY 2020'!A1" display="July" xr:uid="{00000000-0004-0000-6100-000032000000}"/>
    <hyperlink ref="O24" location="'AUGUST 2020'!A1" display="August" xr:uid="{00000000-0004-0000-6100-000033000000}"/>
    <hyperlink ref="O25" location="'SEP 2020'!A1" display="September" xr:uid="{00000000-0004-0000-6100-000034000000}"/>
    <hyperlink ref="O26" location="'OCT 2020'!A1" display="October" xr:uid="{00000000-0004-0000-6100-000035000000}"/>
    <hyperlink ref="O27" location="'NOV 2020'!A1" display="November" xr:uid="{00000000-0004-0000-6100-000036000000}"/>
    <hyperlink ref="O28" location="'DEC 2020'!A1" display="December" xr:uid="{00000000-0004-0000-6100-000037000000}"/>
    <hyperlink ref="C31" location="'JAN 2021'!A1" display="January" xr:uid="{00000000-0004-0000-6100-000038000000}"/>
    <hyperlink ref="C32" location="'FEB 2021'!A1" display="February" xr:uid="{00000000-0004-0000-6100-000039000000}"/>
    <hyperlink ref="C33" location="'MARCH 2021'!A1" display="March" xr:uid="{00000000-0004-0000-6100-00003A000000}"/>
    <hyperlink ref="C34" location="'APRIL 2021'!A1" display="April" xr:uid="{00000000-0004-0000-6100-00003B000000}"/>
    <hyperlink ref="C35" location="'MAY 2021'!A1" display="May" xr:uid="{00000000-0004-0000-6100-00003C000000}"/>
    <hyperlink ref="C36" location="'JUNE 2021'!A1" display="June" xr:uid="{00000000-0004-0000-6100-00003D000000}"/>
    <hyperlink ref="C37" location="'JULY 2021'!A1" display="July" xr:uid="{00000000-0004-0000-6100-00003E000000}"/>
    <hyperlink ref="C38" location="'AUGUST 2021'!A1" display="August" xr:uid="{00000000-0004-0000-6100-00003F000000}"/>
    <hyperlink ref="C39" location="'SEP 2021'!A1" display="September" xr:uid="{00000000-0004-0000-6100-000040000000}"/>
    <hyperlink ref="C40" location="'OCT 2021'!A1" display="October" xr:uid="{00000000-0004-0000-6100-000041000000}"/>
    <hyperlink ref="C41" location="'NOV 2021'!A1" display="November" xr:uid="{00000000-0004-0000-6100-000042000000}"/>
    <hyperlink ref="C42" location="'DEC 2021'!A1" display="December" xr:uid="{00000000-0004-0000-6100-000043000000}"/>
    <hyperlink ref="F31" location="'JAN 2022'!A1" display="January" xr:uid="{00000000-0004-0000-6100-000044000000}"/>
    <hyperlink ref="F32" location="'FEB 2022'!A1" display="February" xr:uid="{00000000-0004-0000-6100-000045000000}"/>
    <hyperlink ref="F33" location="'MARCH 2022'!A1" display="March" xr:uid="{00000000-0004-0000-6100-000046000000}"/>
    <hyperlink ref="F34" location="'APRIL 2022'!A1" display="April" xr:uid="{00000000-0004-0000-6100-000047000000}"/>
    <hyperlink ref="F35" location="'MAY 2022'!A1" display="May" xr:uid="{00000000-0004-0000-6100-000048000000}"/>
    <hyperlink ref="F36" location="'JUN 2022'!A1" display="June" xr:uid="{00000000-0004-0000-6100-000049000000}"/>
    <hyperlink ref="F37" location="'JULY 2022'!A1" display="July" xr:uid="{00000000-0004-0000-6100-00004A000000}"/>
    <hyperlink ref="F38" location="'AUGUST 2022'!A1" display="August" xr:uid="{00000000-0004-0000-6100-00004B000000}"/>
    <hyperlink ref="F39" location="'SEP 2022'!A1" display="September" xr:uid="{00000000-0004-0000-6100-00004C000000}"/>
    <hyperlink ref="F40" location="'OCT 2022'!A1" display="October" xr:uid="{00000000-0004-0000-6100-00004D000000}"/>
    <hyperlink ref="F41" location="'NOV 2022'!A1" display="November" xr:uid="{00000000-0004-0000-6100-00004E000000}"/>
    <hyperlink ref="F42" location="'DEC 2022'!A1" display="December" xr:uid="{00000000-0004-0000-6100-00004F000000}"/>
    <hyperlink ref="I31" location="'JAN 2023'!A1" display="JANUARY" xr:uid="{00000000-0004-0000-6100-000050000000}"/>
    <hyperlink ref="I32" location="'FEB 2023'!A1" display="FEBRUARY" xr:uid="{00000000-0004-0000-6100-000051000000}"/>
    <hyperlink ref="I33" location="'MARCH 2023'!A1" display="MARCH" xr:uid="{00000000-0004-0000-6100-000052000000}"/>
    <hyperlink ref="I34" location="'APRIL 2023'!A1" display="APRIL" xr:uid="{00000000-0004-0000-6100-000053000000}"/>
    <hyperlink ref="I35" location="'MAY 2023'!A1" display="MAY" xr:uid="{00000000-0004-0000-6100-000054000000}"/>
    <hyperlink ref="I36" location="'JUN 2023'!A1" display="JUNE" xr:uid="{00000000-0004-0000-6100-000055000000}"/>
    <hyperlink ref="I38" location="'AUGUST 2023'!A1" display="AUGUST" xr:uid="{00000000-0004-0000-6100-000056000000}"/>
    <hyperlink ref="I39" location="'SEP 2023'!A1" display="SEPTEMBER" xr:uid="{00000000-0004-0000-6100-000057000000}"/>
    <hyperlink ref="I40" location="'OCT 2023'!A1" display="OCTOBER" xr:uid="{00000000-0004-0000-6100-000058000000}"/>
    <hyperlink ref="I41" location="'NOV 2023'!A1" display="NOVEMBER" xr:uid="{00000000-0004-0000-6100-000059000000}"/>
    <hyperlink ref="I42" location="'DEC 2023'!A1" display="DECEMBER" xr:uid="{00000000-0004-0000-6100-00005A000000}"/>
    <hyperlink ref="L31" location="'JAN 2024'!A1" display="JANUARY" xr:uid="{00000000-0004-0000-6100-00005B000000}"/>
    <hyperlink ref="L32" location="'FEB 2024'!A1" display="FEBRUARY" xr:uid="{A82CD812-FE0F-4B04-8174-CE10F48AC87F}"/>
    <hyperlink ref="L33" location="'MARCH 2024'!A1" display="MARCH" xr:uid="{13811872-3FE3-4DE2-AC62-7E4F23F44819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1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45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42681</v>
      </c>
      <c r="C4" s="4" t="s">
        <v>12</v>
      </c>
      <c r="D4" s="4" t="s">
        <v>16</v>
      </c>
      <c r="E4" s="4">
        <v>8540</v>
      </c>
      <c r="F4" s="4">
        <v>8510</v>
      </c>
      <c r="G4" s="4">
        <v>30</v>
      </c>
      <c r="H4" s="4">
        <v>150</v>
      </c>
      <c r="I4" s="4">
        <f>H4*G4</f>
        <v>4500</v>
      </c>
    </row>
    <row r="5" spans="1:11" ht="25.8" x14ac:dyDescent="0.5">
      <c r="A5" s="7"/>
      <c r="B5" s="13">
        <v>42682</v>
      </c>
      <c r="C5" s="12" t="s">
        <v>12</v>
      </c>
      <c r="D5" s="4" t="s">
        <v>33</v>
      </c>
      <c r="E5" s="12">
        <v>1220</v>
      </c>
      <c r="F5" s="12">
        <v>1130</v>
      </c>
      <c r="G5" s="12">
        <v>90</v>
      </c>
      <c r="H5" s="12">
        <v>1400</v>
      </c>
      <c r="I5" s="4">
        <f t="shared" ref="I5:I14" si="0">H5*G5</f>
        <v>126000</v>
      </c>
    </row>
    <row r="6" spans="1:11" ht="25.8" x14ac:dyDescent="0.5">
      <c r="A6" s="7"/>
      <c r="B6" s="13">
        <v>42684</v>
      </c>
      <c r="C6" s="12" t="s">
        <v>12</v>
      </c>
      <c r="D6" s="12" t="s">
        <v>38</v>
      </c>
      <c r="E6" s="12">
        <v>510</v>
      </c>
      <c r="F6" s="12">
        <v>496</v>
      </c>
      <c r="G6" s="12">
        <v>14</v>
      </c>
      <c r="H6" s="12">
        <v>2400</v>
      </c>
      <c r="I6" s="4">
        <f t="shared" si="0"/>
        <v>33600</v>
      </c>
    </row>
    <row r="7" spans="1:11" ht="25.8" x14ac:dyDescent="0.5">
      <c r="A7" s="7"/>
      <c r="B7" s="9">
        <v>42689</v>
      </c>
      <c r="C7" s="4" t="s">
        <v>12</v>
      </c>
      <c r="D7" s="4" t="s">
        <v>16</v>
      </c>
      <c r="E7" s="4">
        <v>8160</v>
      </c>
      <c r="F7" s="4">
        <v>8200</v>
      </c>
      <c r="G7" s="4">
        <v>-40</v>
      </c>
      <c r="H7" s="4">
        <v>150</v>
      </c>
      <c r="I7" s="4">
        <f t="shared" si="0"/>
        <v>-6000</v>
      </c>
    </row>
    <row r="8" spans="1:11" ht="25.8" x14ac:dyDescent="0.5">
      <c r="A8" s="7"/>
      <c r="B8" s="9">
        <v>42689</v>
      </c>
      <c r="C8" s="4" t="s">
        <v>12</v>
      </c>
      <c r="D8" s="4" t="s">
        <v>33</v>
      </c>
      <c r="E8" s="4">
        <v>1168</v>
      </c>
      <c r="F8" s="4">
        <v>1180</v>
      </c>
      <c r="G8" s="4">
        <v>-12</v>
      </c>
      <c r="H8" s="4">
        <v>1400</v>
      </c>
      <c r="I8" s="4">
        <f t="shared" si="0"/>
        <v>-16800</v>
      </c>
    </row>
    <row r="9" spans="1:11" ht="25.8" x14ac:dyDescent="0.5">
      <c r="A9" s="7"/>
      <c r="B9" s="9">
        <v>42690</v>
      </c>
      <c r="C9" s="4" t="s">
        <v>12</v>
      </c>
      <c r="D9" s="4" t="s">
        <v>28</v>
      </c>
      <c r="E9" s="4">
        <v>268</v>
      </c>
      <c r="F9" s="4">
        <v>265</v>
      </c>
      <c r="G9" s="4">
        <v>3</v>
      </c>
      <c r="H9" s="4">
        <v>5000</v>
      </c>
      <c r="I9" s="4">
        <f t="shared" si="0"/>
        <v>15000</v>
      </c>
    </row>
    <row r="10" spans="1:11" ht="25.8" x14ac:dyDescent="0.5">
      <c r="A10" s="7"/>
      <c r="B10" s="9">
        <v>42691</v>
      </c>
      <c r="C10" s="4" t="s">
        <v>12</v>
      </c>
      <c r="D10" s="4" t="s">
        <v>16</v>
      </c>
      <c r="E10" s="4">
        <v>8100</v>
      </c>
      <c r="F10" s="4">
        <v>8060</v>
      </c>
      <c r="G10" s="4">
        <v>40</v>
      </c>
      <c r="H10" s="4">
        <v>150</v>
      </c>
      <c r="I10" s="4">
        <f t="shared" si="0"/>
        <v>6000</v>
      </c>
    </row>
    <row r="11" spans="1:11" ht="25.8" x14ac:dyDescent="0.5">
      <c r="A11" s="7"/>
      <c r="B11" s="9">
        <v>42691</v>
      </c>
      <c r="C11" s="4" t="s">
        <v>12</v>
      </c>
      <c r="D11" s="4" t="s">
        <v>33</v>
      </c>
      <c r="E11" s="4">
        <v>1182</v>
      </c>
      <c r="F11" s="4">
        <v>1165</v>
      </c>
      <c r="G11" s="4">
        <v>17</v>
      </c>
      <c r="H11" s="4">
        <v>1400</v>
      </c>
      <c r="I11" s="4">
        <f t="shared" si="0"/>
        <v>23800</v>
      </c>
    </row>
    <row r="12" spans="1:11" ht="25.8" x14ac:dyDescent="0.5">
      <c r="A12" s="7"/>
      <c r="B12" s="9">
        <v>42696</v>
      </c>
      <c r="C12" s="4" t="s">
        <v>15</v>
      </c>
      <c r="D12" s="4" t="s">
        <v>16</v>
      </c>
      <c r="E12" s="4">
        <v>8000</v>
      </c>
      <c r="F12" s="4">
        <v>8050</v>
      </c>
      <c r="G12" s="4">
        <v>50</v>
      </c>
      <c r="H12" s="4">
        <v>150</v>
      </c>
      <c r="I12" s="4">
        <f t="shared" si="0"/>
        <v>7500</v>
      </c>
    </row>
    <row r="13" spans="1:11" ht="25.8" x14ac:dyDescent="0.5">
      <c r="A13" s="7"/>
      <c r="B13" s="9"/>
      <c r="C13" s="4"/>
      <c r="D13" s="4"/>
      <c r="E13" s="4"/>
      <c r="F13" s="4"/>
      <c r="G13" s="4"/>
      <c r="H13" s="4"/>
      <c r="I13" s="4">
        <f t="shared" si="0"/>
        <v>0</v>
      </c>
    </row>
    <row r="14" spans="1:11" ht="25.8" x14ac:dyDescent="0.5">
      <c r="A14" s="7"/>
      <c r="B14" s="9"/>
      <c r="C14" s="4"/>
      <c r="D14" s="4"/>
      <c r="E14" s="4"/>
      <c r="F14" s="4"/>
      <c r="G14" s="4"/>
      <c r="H14" s="4"/>
      <c r="I14" s="4">
        <f t="shared" si="0"/>
        <v>0</v>
      </c>
    </row>
    <row r="15" spans="1:11" ht="25.8" x14ac:dyDescent="0.5">
      <c r="A15" s="7"/>
      <c r="B15" s="9"/>
      <c r="C15" s="4"/>
      <c r="D15" s="4"/>
      <c r="E15" s="4"/>
      <c r="F15" s="4"/>
      <c r="G15" s="4"/>
      <c r="H15" s="4"/>
      <c r="I15" s="10">
        <f>SUM(I4:I14)</f>
        <v>193600</v>
      </c>
    </row>
    <row r="16" spans="1:11" ht="25.8" x14ac:dyDescent="0.5">
      <c r="A16" s="7"/>
      <c r="B16" s="9"/>
      <c r="C16" s="4"/>
      <c r="D16" s="4"/>
      <c r="E16" s="4"/>
      <c r="F16" s="4"/>
      <c r="G16" s="4"/>
      <c r="H16" s="4"/>
      <c r="I16" s="4"/>
    </row>
    <row r="17" spans="1:9" ht="25.8" x14ac:dyDescent="0.5">
      <c r="A17" s="7"/>
      <c r="B17" s="9"/>
      <c r="C17" s="4"/>
      <c r="D17" s="4"/>
      <c r="E17" s="4"/>
      <c r="F17" s="4"/>
      <c r="G17" s="4"/>
      <c r="H17" s="4"/>
      <c r="I17" s="10"/>
    </row>
  </sheetData>
  <mergeCells count="2">
    <mergeCell ref="B1:I1"/>
    <mergeCell ref="B2:I2"/>
  </mergeCells>
  <hyperlinks>
    <hyperlink ref="K1" location="'Home Page'!A1" display="Back" xr:uid="{00000000-0004-0000-0A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7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1.8867187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46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42709</v>
      </c>
      <c r="C4" s="4" t="s">
        <v>12</v>
      </c>
      <c r="D4" s="4" t="s">
        <v>16</v>
      </c>
      <c r="E4" s="4">
        <v>8160</v>
      </c>
      <c r="F4" s="4">
        <v>8200</v>
      </c>
      <c r="G4" s="4">
        <v>-40</v>
      </c>
      <c r="H4" s="4">
        <v>150</v>
      </c>
      <c r="I4" s="4">
        <f>H4*G4</f>
        <v>-6000</v>
      </c>
    </row>
    <row r="5" spans="1:11" ht="25.8" x14ac:dyDescent="0.5">
      <c r="A5" s="7"/>
      <c r="B5" s="13">
        <v>42710</v>
      </c>
      <c r="C5" s="12" t="s">
        <v>15</v>
      </c>
      <c r="D5" s="4" t="s">
        <v>13</v>
      </c>
      <c r="E5" s="12">
        <v>259</v>
      </c>
      <c r="F5" s="12">
        <v>262.5</v>
      </c>
      <c r="G5" s="12">
        <v>3.5</v>
      </c>
      <c r="H5" s="12">
        <v>6000</v>
      </c>
      <c r="I5" s="4">
        <f t="shared" ref="I5:I14" si="0">H5*G5</f>
        <v>21000</v>
      </c>
    </row>
    <row r="6" spans="1:11" ht="25.8" x14ac:dyDescent="0.5">
      <c r="A6" s="7"/>
      <c r="B6" s="13">
        <v>42711</v>
      </c>
      <c r="C6" s="12" t="s">
        <v>12</v>
      </c>
      <c r="D6" s="12" t="s">
        <v>16</v>
      </c>
      <c r="E6" s="12">
        <v>8120</v>
      </c>
      <c r="F6" s="12">
        <v>8160</v>
      </c>
      <c r="G6" s="12">
        <v>-40</v>
      </c>
      <c r="H6" s="12">
        <v>150</v>
      </c>
      <c r="I6" s="4">
        <f t="shared" si="0"/>
        <v>-6000</v>
      </c>
    </row>
    <row r="7" spans="1:11" ht="25.8" x14ac:dyDescent="0.5">
      <c r="A7" s="7"/>
      <c r="B7" s="9">
        <v>42716</v>
      </c>
      <c r="C7" s="4" t="s">
        <v>12</v>
      </c>
      <c r="D7" s="4" t="s">
        <v>47</v>
      </c>
      <c r="E7" s="4">
        <v>355</v>
      </c>
      <c r="F7" s="4">
        <v>352</v>
      </c>
      <c r="G7" s="4">
        <v>3</v>
      </c>
      <c r="H7" s="4">
        <v>2800</v>
      </c>
      <c r="I7" s="4">
        <f t="shared" si="0"/>
        <v>8400</v>
      </c>
    </row>
    <row r="8" spans="1:11" ht="25.8" x14ac:dyDescent="0.5">
      <c r="A8" s="7"/>
      <c r="B8" s="9">
        <v>42717</v>
      </c>
      <c r="C8" s="4" t="s">
        <v>12</v>
      </c>
      <c r="D8" s="4" t="s">
        <v>16</v>
      </c>
      <c r="E8" s="4">
        <v>8240</v>
      </c>
      <c r="F8" s="4">
        <v>8180</v>
      </c>
      <c r="G8" s="4">
        <v>60</v>
      </c>
      <c r="H8" s="4">
        <v>150</v>
      </c>
      <c r="I8" s="4">
        <f t="shared" si="0"/>
        <v>9000</v>
      </c>
    </row>
    <row r="9" spans="1:11" ht="25.8" x14ac:dyDescent="0.5">
      <c r="A9" s="7"/>
      <c r="B9" s="9">
        <v>42718</v>
      </c>
      <c r="C9" s="4" t="s">
        <v>12</v>
      </c>
      <c r="D9" s="4" t="s">
        <v>16</v>
      </c>
      <c r="E9" s="4">
        <v>8210</v>
      </c>
      <c r="F9" s="4">
        <v>8140</v>
      </c>
      <c r="G9" s="4">
        <v>70</v>
      </c>
      <c r="H9" s="4">
        <v>150</v>
      </c>
      <c r="I9" s="4">
        <f t="shared" si="0"/>
        <v>10500</v>
      </c>
    </row>
    <row r="10" spans="1:11" ht="25.8" x14ac:dyDescent="0.5">
      <c r="A10" s="7"/>
      <c r="B10" s="9">
        <v>42718</v>
      </c>
      <c r="C10" s="4" t="s">
        <v>12</v>
      </c>
      <c r="D10" s="4" t="s">
        <v>21</v>
      </c>
      <c r="E10" s="4">
        <v>302</v>
      </c>
      <c r="F10" s="4">
        <v>297</v>
      </c>
      <c r="G10" s="4">
        <v>5</v>
      </c>
      <c r="H10" s="4">
        <v>6000</v>
      </c>
      <c r="I10" s="4">
        <f t="shared" si="0"/>
        <v>30000</v>
      </c>
    </row>
    <row r="11" spans="1:11" ht="25.8" x14ac:dyDescent="0.5">
      <c r="A11" s="7"/>
      <c r="B11" s="9">
        <v>42719</v>
      </c>
      <c r="C11" s="4" t="s">
        <v>12</v>
      </c>
      <c r="D11" s="4" t="s">
        <v>16</v>
      </c>
      <c r="E11" s="4">
        <v>8190</v>
      </c>
      <c r="F11" s="4">
        <v>8150</v>
      </c>
      <c r="G11" s="4">
        <v>40</v>
      </c>
      <c r="H11" s="4">
        <v>150</v>
      </c>
      <c r="I11" s="4">
        <f t="shared" si="0"/>
        <v>6000</v>
      </c>
    </row>
    <row r="12" spans="1:11" ht="25.8" x14ac:dyDescent="0.5">
      <c r="A12" s="7"/>
      <c r="B12" s="9">
        <v>42724</v>
      </c>
      <c r="C12" s="4" t="s">
        <v>12</v>
      </c>
      <c r="D12" s="4" t="s">
        <v>16</v>
      </c>
      <c r="E12" s="4">
        <v>8110</v>
      </c>
      <c r="F12" s="4">
        <v>8085</v>
      </c>
      <c r="G12" s="4">
        <v>25</v>
      </c>
      <c r="H12" s="4">
        <v>150</v>
      </c>
      <c r="I12" s="4">
        <f t="shared" si="0"/>
        <v>3750</v>
      </c>
    </row>
    <row r="13" spans="1:11" ht="25.8" x14ac:dyDescent="0.5">
      <c r="A13" s="7"/>
      <c r="B13" s="9">
        <v>42726</v>
      </c>
      <c r="C13" s="4" t="s">
        <v>12</v>
      </c>
      <c r="D13" s="4" t="s">
        <v>16</v>
      </c>
      <c r="E13" s="4">
        <v>8000</v>
      </c>
      <c r="F13" s="4">
        <v>7955</v>
      </c>
      <c r="G13" s="4">
        <v>45</v>
      </c>
      <c r="H13" s="4">
        <v>150</v>
      </c>
      <c r="I13" s="4">
        <f t="shared" si="0"/>
        <v>6750</v>
      </c>
    </row>
    <row r="14" spans="1:11" ht="25.8" x14ac:dyDescent="0.5">
      <c r="A14" s="7"/>
      <c r="B14" s="9">
        <v>42730</v>
      </c>
      <c r="C14" s="4" t="s">
        <v>12</v>
      </c>
      <c r="D14" s="4" t="s">
        <v>16</v>
      </c>
      <c r="E14" s="4">
        <v>7910</v>
      </c>
      <c r="F14" s="4">
        <v>7950</v>
      </c>
      <c r="G14" s="4">
        <v>-40</v>
      </c>
      <c r="H14" s="4">
        <v>150</v>
      </c>
      <c r="I14" s="4">
        <f t="shared" si="0"/>
        <v>-6000</v>
      </c>
    </row>
    <row r="15" spans="1:11" ht="25.8" x14ac:dyDescent="0.5">
      <c r="A15" s="7"/>
      <c r="B15" s="9"/>
      <c r="C15" s="4"/>
      <c r="D15" s="4"/>
      <c r="E15" s="4"/>
      <c r="F15" s="4"/>
      <c r="G15" s="4"/>
      <c r="H15" s="4"/>
      <c r="I15" s="10">
        <f>SUM(I4:I14)</f>
        <v>77400</v>
      </c>
    </row>
    <row r="16" spans="1:11" ht="25.8" x14ac:dyDescent="0.5">
      <c r="A16" s="7"/>
      <c r="B16" s="9"/>
      <c r="C16" s="4"/>
      <c r="D16" s="4"/>
      <c r="E16" s="4"/>
      <c r="F16" s="4"/>
      <c r="G16" s="4"/>
      <c r="H16" s="4"/>
      <c r="I16" s="4"/>
    </row>
    <row r="17" spans="1:9" ht="25.8" x14ac:dyDescent="0.5">
      <c r="A17" s="7"/>
      <c r="B17" s="9"/>
      <c r="C17" s="4"/>
      <c r="D17" s="4"/>
      <c r="E17" s="4"/>
      <c r="F17" s="4"/>
      <c r="G17" s="4"/>
      <c r="H17" s="4"/>
      <c r="I17" s="10"/>
    </row>
  </sheetData>
  <mergeCells count="2">
    <mergeCell ref="B1:I1"/>
    <mergeCell ref="B2:I2"/>
  </mergeCells>
  <hyperlinks>
    <hyperlink ref="K1" location="'Home Page'!A1" display="Back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4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0.8867187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48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42737</v>
      </c>
      <c r="C4" s="4" t="s">
        <v>12</v>
      </c>
      <c r="D4" s="4" t="s">
        <v>33</v>
      </c>
      <c r="E4" s="4">
        <v>1150</v>
      </c>
      <c r="F4" s="4">
        <v>1145</v>
      </c>
      <c r="G4" s="4">
        <v>5</v>
      </c>
      <c r="H4" s="4">
        <v>1400</v>
      </c>
      <c r="I4" s="4">
        <f>H4*G4</f>
        <v>7000</v>
      </c>
    </row>
    <row r="5" spans="1:11" ht="25.8" x14ac:dyDescent="0.5">
      <c r="A5" s="7"/>
      <c r="B5" s="13">
        <v>42738</v>
      </c>
      <c r="C5" s="12" t="s">
        <v>12</v>
      </c>
      <c r="D5" s="4" t="s">
        <v>16</v>
      </c>
      <c r="E5" s="12">
        <v>8210</v>
      </c>
      <c r="F5" s="12">
        <v>8190</v>
      </c>
      <c r="G5" s="12">
        <v>20</v>
      </c>
      <c r="H5" s="12">
        <v>150</v>
      </c>
      <c r="I5" s="4">
        <f t="shared" ref="I5:I11" si="0">H5*G5</f>
        <v>3000</v>
      </c>
    </row>
    <row r="6" spans="1:11" ht="25.8" x14ac:dyDescent="0.5">
      <c r="A6" s="7"/>
      <c r="B6" s="13">
        <v>42740</v>
      </c>
      <c r="C6" s="12" t="s">
        <v>12</v>
      </c>
      <c r="D6" s="12" t="s">
        <v>16</v>
      </c>
      <c r="E6" s="12">
        <v>8295</v>
      </c>
      <c r="F6" s="12">
        <v>8260</v>
      </c>
      <c r="G6" s="12">
        <v>35</v>
      </c>
      <c r="H6" s="12">
        <v>150</v>
      </c>
      <c r="I6" s="4">
        <f t="shared" si="0"/>
        <v>5250</v>
      </c>
    </row>
    <row r="7" spans="1:11" ht="25.8" x14ac:dyDescent="0.5">
      <c r="A7" s="7"/>
      <c r="B7" s="9">
        <v>42380</v>
      </c>
      <c r="C7" s="4" t="s">
        <v>12</v>
      </c>
      <c r="D7" s="4" t="s">
        <v>38</v>
      </c>
      <c r="E7" s="4">
        <v>455</v>
      </c>
      <c r="F7" s="4">
        <v>455</v>
      </c>
      <c r="G7" s="4">
        <v>0</v>
      </c>
      <c r="H7" s="4">
        <v>2400</v>
      </c>
      <c r="I7" s="4">
        <f t="shared" si="0"/>
        <v>0</v>
      </c>
    </row>
    <row r="8" spans="1:11" ht="25.8" x14ac:dyDescent="0.5">
      <c r="A8" s="7"/>
      <c r="B8" s="9">
        <v>42751</v>
      </c>
      <c r="C8" s="4" t="s">
        <v>12</v>
      </c>
      <c r="D8" s="4" t="s">
        <v>16</v>
      </c>
      <c r="E8" s="4">
        <v>8440</v>
      </c>
      <c r="F8" s="4">
        <v>8400</v>
      </c>
      <c r="G8" s="4">
        <v>40</v>
      </c>
      <c r="H8" s="4">
        <v>150</v>
      </c>
      <c r="I8" s="4">
        <f t="shared" si="0"/>
        <v>6000</v>
      </c>
    </row>
    <row r="9" spans="1:11" ht="25.8" x14ac:dyDescent="0.5">
      <c r="A9" s="7"/>
      <c r="B9" s="9">
        <v>42753</v>
      </c>
      <c r="C9" s="4" t="s">
        <v>15</v>
      </c>
      <c r="D9" s="4" t="s">
        <v>16</v>
      </c>
      <c r="E9" s="4">
        <v>8420</v>
      </c>
      <c r="F9" s="4">
        <v>8450</v>
      </c>
      <c r="G9" s="4">
        <v>30</v>
      </c>
      <c r="H9" s="4">
        <v>150</v>
      </c>
      <c r="I9" s="4">
        <f t="shared" si="0"/>
        <v>4500</v>
      </c>
    </row>
    <row r="10" spans="1:11" ht="25.8" x14ac:dyDescent="0.5">
      <c r="A10" s="7"/>
      <c r="B10" s="9">
        <v>42758</v>
      </c>
      <c r="C10" s="4" t="s">
        <v>19</v>
      </c>
      <c r="D10" s="4" t="s">
        <v>16</v>
      </c>
      <c r="E10" s="4">
        <v>8390</v>
      </c>
      <c r="F10" s="4">
        <v>8470</v>
      </c>
      <c r="G10" s="4">
        <v>80</v>
      </c>
      <c r="H10" s="4">
        <v>150</v>
      </c>
      <c r="I10" s="4">
        <f t="shared" si="0"/>
        <v>12000</v>
      </c>
    </row>
    <row r="11" spans="1:11" ht="25.8" x14ac:dyDescent="0.5">
      <c r="A11" s="7"/>
      <c r="B11" s="9">
        <v>42765</v>
      </c>
      <c r="C11" s="4" t="s">
        <v>12</v>
      </c>
      <c r="D11" s="4" t="s">
        <v>16</v>
      </c>
      <c r="E11" s="4">
        <v>8665</v>
      </c>
      <c r="F11" s="4">
        <v>8580</v>
      </c>
      <c r="G11" s="4">
        <v>85</v>
      </c>
      <c r="H11" s="4">
        <v>150</v>
      </c>
      <c r="I11" s="4">
        <f t="shared" si="0"/>
        <v>12750</v>
      </c>
    </row>
    <row r="12" spans="1:11" ht="25.8" x14ac:dyDescent="0.5">
      <c r="A12" s="7"/>
      <c r="B12" s="9"/>
      <c r="C12" s="4"/>
      <c r="D12" s="4"/>
      <c r="E12" s="4"/>
      <c r="F12" s="4"/>
      <c r="G12" s="4"/>
      <c r="H12" s="4"/>
      <c r="I12" s="10">
        <f>SUM(I4:I11)</f>
        <v>50500</v>
      </c>
    </row>
    <row r="13" spans="1:11" ht="25.8" x14ac:dyDescent="0.5">
      <c r="A13" s="7"/>
      <c r="B13" s="9"/>
      <c r="C13" s="4"/>
      <c r="D13" s="4"/>
      <c r="E13" s="4"/>
      <c r="F13" s="4"/>
      <c r="G13" s="4"/>
      <c r="H13" s="4"/>
      <c r="I13" s="4"/>
    </row>
    <row r="14" spans="1:11" ht="25.8" x14ac:dyDescent="0.5">
      <c r="A14" s="7"/>
      <c r="B14" s="9"/>
      <c r="C14" s="4"/>
      <c r="D14" s="4"/>
      <c r="E14" s="4"/>
      <c r="F14" s="4"/>
      <c r="G14" s="4"/>
      <c r="H14" s="4"/>
      <c r="I14" s="10"/>
    </row>
  </sheetData>
  <mergeCells count="2">
    <mergeCell ref="B1:I1"/>
    <mergeCell ref="B2:I2"/>
  </mergeCells>
  <hyperlinks>
    <hyperlink ref="K1" location="'Home Page'!A1" display="Back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4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3.10937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49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42768</v>
      </c>
      <c r="C4" s="4" t="s">
        <v>12</v>
      </c>
      <c r="D4" s="4" t="s">
        <v>33</v>
      </c>
      <c r="E4" s="4">
        <v>1398</v>
      </c>
      <c r="F4" s="4">
        <v>1390</v>
      </c>
      <c r="G4" s="4">
        <v>8</v>
      </c>
      <c r="H4" s="4">
        <v>1400</v>
      </c>
      <c r="I4" s="4">
        <f>H4*G4</f>
        <v>11200</v>
      </c>
    </row>
    <row r="5" spans="1:11" ht="25.8" x14ac:dyDescent="0.5">
      <c r="A5" s="7"/>
      <c r="B5" s="13">
        <v>42773</v>
      </c>
      <c r="C5" s="12" t="s">
        <v>19</v>
      </c>
      <c r="D5" s="4" t="s">
        <v>18</v>
      </c>
      <c r="E5" s="12">
        <v>1500</v>
      </c>
      <c r="F5" s="12">
        <v>1512</v>
      </c>
      <c r="G5" s="12">
        <v>12</v>
      </c>
      <c r="H5" s="12">
        <v>1000</v>
      </c>
      <c r="I5" s="4">
        <f t="shared" ref="I5:I10" si="0">H5*G5</f>
        <v>12000</v>
      </c>
    </row>
    <row r="6" spans="1:11" ht="25.8" x14ac:dyDescent="0.5">
      <c r="A6" s="7"/>
      <c r="B6" s="13">
        <v>42775</v>
      </c>
      <c r="C6" s="12" t="s">
        <v>19</v>
      </c>
      <c r="D6" s="12" t="s">
        <v>16</v>
      </c>
      <c r="E6" s="12">
        <v>8780</v>
      </c>
      <c r="F6" s="12">
        <v>8830</v>
      </c>
      <c r="G6" s="12">
        <v>50</v>
      </c>
      <c r="H6" s="12">
        <v>150</v>
      </c>
      <c r="I6" s="4">
        <f t="shared" si="0"/>
        <v>7500</v>
      </c>
    </row>
    <row r="7" spans="1:11" ht="25.8" x14ac:dyDescent="0.5">
      <c r="A7" s="7"/>
      <c r="B7" s="9">
        <v>42779</v>
      </c>
      <c r="C7" s="4" t="s">
        <v>12</v>
      </c>
      <c r="D7" s="4" t="s">
        <v>16</v>
      </c>
      <c r="E7" s="4">
        <v>8810</v>
      </c>
      <c r="F7" s="4">
        <v>8815</v>
      </c>
      <c r="G7" s="4">
        <v>-5</v>
      </c>
      <c r="H7" s="4">
        <v>150</v>
      </c>
      <c r="I7" s="4">
        <f t="shared" si="0"/>
        <v>-750</v>
      </c>
    </row>
    <row r="8" spans="1:11" ht="25.8" x14ac:dyDescent="0.5">
      <c r="A8" s="7"/>
      <c r="B8" s="9">
        <v>42781</v>
      </c>
      <c r="C8" s="4" t="s">
        <v>12</v>
      </c>
      <c r="D8" s="4" t="s">
        <v>16</v>
      </c>
      <c r="E8" s="4">
        <v>8755</v>
      </c>
      <c r="F8" s="4">
        <v>8785</v>
      </c>
      <c r="G8" s="4">
        <v>-30</v>
      </c>
      <c r="H8" s="4">
        <v>150</v>
      </c>
      <c r="I8" s="4">
        <f t="shared" si="0"/>
        <v>-4500</v>
      </c>
    </row>
    <row r="9" spans="1:11" ht="25.8" x14ac:dyDescent="0.5">
      <c r="A9" s="7"/>
      <c r="B9" s="9">
        <v>42787</v>
      </c>
      <c r="C9" s="4" t="s">
        <v>19</v>
      </c>
      <c r="D9" s="4" t="s">
        <v>20</v>
      </c>
      <c r="E9" s="4">
        <v>20800</v>
      </c>
      <c r="F9" s="4">
        <v>20920</v>
      </c>
      <c r="G9" s="4">
        <v>120</v>
      </c>
      <c r="H9" s="4">
        <v>80</v>
      </c>
      <c r="I9" s="4">
        <f t="shared" si="0"/>
        <v>9600</v>
      </c>
    </row>
    <row r="10" spans="1:11" ht="25.8" x14ac:dyDescent="0.5">
      <c r="A10" s="7"/>
      <c r="B10" s="9">
        <v>42788</v>
      </c>
      <c r="C10" s="4" t="s">
        <v>12</v>
      </c>
      <c r="D10" s="4" t="s">
        <v>16</v>
      </c>
      <c r="E10" s="4">
        <v>8925</v>
      </c>
      <c r="F10" s="4">
        <v>8955</v>
      </c>
      <c r="G10" s="4">
        <v>-30</v>
      </c>
      <c r="H10" s="4">
        <v>150</v>
      </c>
      <c r="I10" s="4">
        <f t="shared" si="0"/>
        <v>-4500</v>
      </c>
    </row>
    <row r="11" spans="1:11" ht="25.8" x14ac:dyDescent="0.5">
      <c r="A11" s="7"/>
      <c r="B11" s="9"/>
      <c r="C11" s="4"/>
      <c r="D11" s="4"/>
      <c r="E11" s="4"/>
      <c r="F11" s="4"/>
      <c r="G11" s="4"/>
      <c r="H11" s="4"/>
      <c r="I11" s="4"/>
    </row>
    <row r="12" spans="1:11" ht="25.8" x14ac:dyDescent="0.5">
      <c r="A12" s="7"/>
      <c r="B12" s="9"/>
      <c r="C12" s="4"/>
      <c r="D12" s="4"/>
      <c r="E12" s="4"/>
      <c r="F12" s="4"/>
      <c r="G12" s="4"/>
      <c r="H12" s="4"/>
      <c r="I12" s="10">
        <f>SUM(I4:I11)</f>
        <v>30550</v>
      </c>
    </row>
    <row r="13" spans="1:11" ht="25.8" x14ac:dyDescent="0.5">
      <c r="A13" s="7"/>
      <c r="B13" s="9"/>
      <c r="C13" s="4"/>
      <c r="D13" s="4"/>
      <c r="E13" s="4"/>
      <c r="F13" s="4"/>
      <c r="G13" s="4"/>
      <c r="H13" s="4"/>
      <c r="I13" s="4"/>
    </row>
    <row r="14" spans="1:11" ht="25.8" x14ac:dyDescent="0.5">
      <c r="A14" s="7"/>
      <c r="B14" s="9"/>
      <c r="C14" s="4"/>
      <c r="D14" s="4"/>
      <c r="E14" s="4"/>
      <c r="F14" s="4"/>
      <c r="G14" s="4"/>
      <c r="H14" s="4"/>
      <c r="I14" s="10"/>
    </row>
  </sheetData>
  <mergeCells count="2">
    <mergeCell ref="B1:I1"/>
    <mergeCell ref="B2:I2"/>
  </mergeCells>
  <hyperlinks>
    <hyperlink ref="K1" location="'Home Page'!A1" display="Back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3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1.554687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50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42795</v>
      </c>
      <c r="C4" s="4" t="s">
        <v>12</v>
      </c>
      <c r="D4" s="4" t="s">
        <v>16</v>
      </c>
      <c r="E4" s="4">
        <v>8995</v>
      </c>
      <c r="F4" s="4">
        <v>8910</v>
      </c>
      <c r="G4" s="4">
        <v>85</v>
      </c>
      <c r="H4" s="4">
        <v>150</v>
      </c>
      <c r="I4" s="4">
        <f>H4*G4</f>
        <v>12750</v>
      </c>
    </row>
    <row r="5" spans="1:11" ht="25.8" x14ac:dyDescent="0.5">
      <c r="A5" s="7"/>
      <c r="B5" s="13">
        <v>42800</v>
      </c>
      <c r="C5" s="12" t="s">
        <v>12</v>
      </c>
      <c r="D5" s="4" t="s">
        <v>18</v>
      </c>
      <c r="E5" s="12">
        <v>1493</v>
      </c>
      <c r="F5" s="12">
        <v>1485</v>
      </c>
      <c r="G5" s="12">
        <v>8</v>
      </c>
      <c r="H5" s="12">
        <v>1000</v>
      </c>
      <c r="I5" s="4">
        <f t="shared" ref="I5:I10" si="0">H5*G5</f>
        <v>8000</v>
      </c>
    </row>
    <row r="6" spans="1:11" ht="25.8" x14ac:dyDescent="0.5">
      <c r="A6" s="7"/>
      <c r="B6" s="13">
        <v>42802</v>
      </c>
      <c r="C6" s="12" t="s">
        <v>12</v>
      </c>
      <c r="D6" s="12" t="s">
        <v>16</v>
      </c>
      <c r="E6" s="12">
        <v>8950</v>
      </c>
      <c r="F6" s="12">
        <v>8915</v>
      </c>
      <c r="G6" s="12">
        <v>35</v>
      </c>
      <c r="H6" s="12">
        <v>150</v>
      </c>
      <c r="I6" s="4">
        <f t="shared" si="0"/>
        <v>5250</v>
      </c>
    </row>
    <row r="7" spans="1:11" ht="25.8" x14ac:dyDescent="0.5">
      <c r="A7" s="7"/>
      <c r="B7" s="9">
        <v>42808</v>
      </c>
      <c r="C7" s="4" t="s">
        <v>12</v>
      </c>
      <c r="D7" s="4" t="s">
        <v>16</v>
      </c>
      <c r="E7" s="4">
        <v>9115</v>
      </c>
      <c r="F7" s="4">
        <v>9108</v>
      </c>
      <c r="G7" s="4">
        <v>7</v>
      </c>
      <c r="H7" s="4">
        <v>150</v>
      </c>
      <c r="I7" s="4">
        <f t="shared" si="0"/>
        <v>1050</v>
      </c>
    </row>
    <row r="8" spans="1:11" ht="25.8" x14ac:dyDescent="0.5">
      <c r="A8" s="7"/>
      <c r="B8" s="9">
        <v>42810</v>
      </c>
      <c r="C8" s="4" t="s">
        <v>12</v>
      </c>
      <c r="D8" s="4" t="s">
        <v>28</v>
      </c>
      <c r="E8" s="4">
        <v>286</v>
      </c>
      <c r="F8" s="4">
        <v>281</v>
      </c>
      <c r="G8" s="4">
        <v>5</v>
      </c>
      <c r="H8" s="4">
        <v>5000</v>
      </c>
      <c r="I8" s="4">
        <f t="shared" si="0"/>
        <v>25000</v>
      </c>
    </row>
    <row r="9" spans="1:11" ht="25.8" x14ac:dyDescent="0.5">
      <c r="A9" s="7"/>
      <c r="B9" s="9">
        <v>42814</v>
      </c>
      <c r="C9" s="4" t="s">
        <v>12</v>
      </c>
      <c r="D9" s="4" t="s">
        <v>38</v>
      </c>
      <c r="E9" s="4">
        <v>505</v>
      </c>
      <c r="F9" s="4">
        <v>495.5</v>
      </c>
      <c r="G9" s="4">
        <v>9.5</v>
      </c>
      <c r="H9" s="4">
        <v>2400</v>
      </c>
      <c r="I9" s="4">
        <f t="shared" si="0"/>
        <v>22800</v>
      </c>
    </row>
    <row r="10" spans="1:11" ht="25.8" x14ac:dyDescent="0.5">
      <c r="A10" s="7"/>
      <c r="B10" s="9">
        <v>42816</v>
      </c>
      <c r="C10" s="4" t="s">
        <v>12</v>
      </c>
      <c r="D10" s="4" t="s">
        <v>16</v>
      </c>
      <c r="E10" s="4">
        <v>9060</v>
      </c>
      <c r="F10" s="4">
        <v>9090</v>
      </c>
      <c r="G10" s="4">
        <v>-30</v>
      </c>
      <c r="H10" s="4">
        <v>150</v>
      </c>
      <c r="I10" s="4">
        <f t="shared" si="0"/>
        <v>-4500</v>
      </c>
    </row>
    <row r="11" spans="1:11" ht="25.8" x14ac:dyDescent="0.5">
      <c r="A11" s="7"/>
      <c r="B11" s="9"/>
      <c r="C11" s="4"/>
      <c r="D11" s="4"/>
      <c r="E11" s="4"/>
      <c r="F11" s="4"/>
      <c r="G11" s="4"/>
      <c r="H11" s="4"/>
      <c r="I11" s="10">
        <f>SUM(I4:I10)</f>
        <v>70350</v>
      </c>
    </row>
    <row r="12" spans="1:11" ht="25.8" x14ac:dyDescent="0.5">
      <c r="A12" s="7"/>
      <c r="B12" s="9"/>
      <c r="C12" s="4"/>
      <c r="D12" s="4"/>
      <c r="E12" s="4"/>
      <c r="F12" s="4"/>
      <c r="G12" s="4"/>
      <c r="H12" s="4"/>
      <c r="I12" s="4"/>
    </row>
    <row r="13" spans="1:11" ht="25.8" x14ac:dyDescent="0.5">
      <c r="A13" s="7"/>
      <c r="B13" s="9"/>
      <c r="C13" s="4"/>
      <c r="D13" s="4"/>
      <c r="E13" s="4"/>
      <c r="F13" s="4"/>
      <c r="G13" s="4"/>
      <c r="H13" s="4"/>
      <c r="I13" s="10"/>
    </row>
  </sheetData>
  <mergeCells count="2">
    <mergeCell ref="B1:I1"/>
    <mergeCell ref="B2:I2"/>
  </mergeCells>
  <hyperlinks>
    <hyperlink ref="K1" location="'Home Page'!A1" display="Back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3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1.4414062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51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42830</v>
      </c>
      <c r="C4" s="4" t="s">
        <v>12</v>
      </c>
      <c r="D4" s="4" t="s">
        <v>38</v>
      </c>
      <c r="E4" s="4">
        <v>510</v>
      </c>
      <c r="F4" s="4">
        <v>506</v>
      </c>
      <c r="G4" s="4">
        <v>4</v>
      </c>
      <c r="H4" s="4">
        <v>2400</v>
      </c>
      <c r="I4" s="4">
        <f>H4*G4</f>
        <v>9600</v>
      </c>
    </row>
    <row r="5" spans="1:11" ht="25.8" x14ac:dyDescent="0.5">
      <c r="A5" s="7"/>
      <c r="B5" s="13">
        <v>42835</v>
      </c>
      <c r="C5" s="12" t="s">
        <v>12</v>
      </c>
      <c r="D5" s="4" t="s">
        <v>16</v>
      </c>
      <c r="E5" s="12">
        <v>9220</v>
      </c>
      <c r="F5" s="12">
        <v>9190</v>
      </c>
      <c r="G5" s="12">
        <v>30</v>
      </c>
      <c r="H5" s="12">
        <v>150</v>
      </c>
      <c r="I5" s="4">
        <f t="shared" ref="I5:I10" si="0">H5*G5</f>
        <v>4500</v>
      </c>
    </row>
    <row r="6" spans="1:11" ht="25.8" x14ac:dyDescent="0.5">
      <c r="A6" s="7"/>
      <c r="B6" s="13">
        <v>42836</v>
      </c>
      <c r="C6" s="12" t="s">
        <v>12</v>
      </c>
      <c r="D6" s="12" t="s">
        <v>18</v>
      </c>
      <c r="E6" s="12">
        <v>1710</v>
      </c>
      <c r="F6" s="12">
        <v>1690</v>
      </c>
      <c r="G6" s="12">
        <v>20</v>
      </c>
      <c r="H6" s="12">
        <v>1000</v>
      </c>
      <c r="I6" s="4">
        <f t="shared" si="0"/>
        <v>20000</v>
      </c>
    </row>
    <row r="7" spans="1:11" ht="25.8" x14ac:dyDescent="0.5">
      <c r="A7" s="7"/>
      <c r="B7" s="13">
        <v>42836</v>
      </c>
      <c r="C7" s="4" t="s">
        <v>12</v>
      </c>
      <c r="D7" s="4" t="s">
        <v>16</v>
      </c>
      <c r="E7" s="4">
        <v>9265</v>
      </c>
      <c r="F7" s="4">
        <v>9205</v>
      </c>
      <c r="G7" s="4">
        <v>60</v>
      </c>
      <c r="H7" s="4">
        <v>150</v>
      </c>
      <c r="I7" s="4">
        <f t="shared" si="0"/>
        <v>9000</v>
      </c>
    </row>
    <row r="8" spans="1:11" ht="25.8" x14ac:dyDescent="0.5">
      <c r="A8" s="7"/>
      <c r="B8" s="9">
        <v>42842</v>
      </c>
      <c r="C8" s="4" t="s">
        <v>12</v>
      </c>
      <c r="D8" s="4" t="s">
        <v>38</v>
      </c>
      <c r="E8" s="4">
        <v>506</v>
      </c>
      <c r="F8" s="4">
        <v>509</v>
      </c>
      <c r="G8" s="4">
        <v>-3</v>
      </c>
      <c r="H8" s="4">
        <v>2400</v>
      </c>
      <c r="I8" s="4">
        <f t="shared" si="0"/>
        <v>-7200</v>
      </c>
    </row>
    <row r="9" spans="1:11" ht="25.8" x14ac:dyDescent="0.5">
      <c r="A9" s="7"/>
      <c r="B9" s="9">
        <v>42844</v>
      </c>
      <c r="C9" s="4" t="s">
        <v>15</v>
      </c>
      <c r="D9" s="4" t="s">
        <v>18</v>
      </c>
      <c r="E9" s="4">
        <v>1674</v>
      </c>
      <c r="F9" s="4">
        <v>1690</v>
      </c>
      <c r="G9" s="4">
        <v>16</v>
      </c>
      <c r="H9" s="4">
        <v>1000</v>
      </c>
      <c r="I9" s="4">
        <f t="shared" si="0"/>
        <v>16000</v>
      </c>
    </row>
    <row r="10" spans="1:11" ht="25.8" x14ac:dyDescent="0.5">
      <c r="A10" s="7"/>
      <c r="B10" s="9">
        <v>42849</v>
      </c>
      <c r="C10" s="4" t="s">
        <v>19</v>
      </c>
      <c r="D10" s="4" t="s">
        <v>16</v>
      </c>
      <c r="E10" s="4">
        <v>9210</v>
      </c>
      <c r="F10" s="4">
        <v>9290</v>
      </c>
      <c r="G10" s="4">
        <v>80</v>
      </c>
      <c r="H10" s="4">
        <v>150</v>
      </c>
      <c r="I10" s="4">
        <f t="shared" si="0"/>
        <v>12000</v>
      </c>
    </row>
    <row r="11" spans="1:11" ht="25.8" x14ac:dyDescent="0.5">
      <c r="A11" s="7"/>
      <c r="B11" s="9"/>
      <c r="C11" s="4"/>
      <c r="D11" s="4"/>
      <c r="E11" s="4"/>
      <c r="F11" s="4"/>
      <c r="G11" s="4"/>
      <c r="H11" s="4"/>
      <c r="I11" s="10">
        <f>SUM(I4:I10)</f>
        <v>63900</v>
      </c>
    </row>
    <row r="12" spans="1:11" ht="25.8" x14ac:dyDescent="0.5">
      <c r="A12" s="7"/>
      <c r="B12" s="9"/>
      <c r="C12" s="4"/>
      <c r="D12" s="4"/>
      <c r="E12" s="4"/>
      <c r="F12" s="4"/>
      <c r="G12" s="4"/>
      <c r="H12" s="4"/>
      <c r="I12" s="4"/>
    </row>
    <row r="13" spans="1:11" ht="25.8" x14ac:dyDescent="0.5">
      <c r="A13" s="7"/>
      <c r="B13" s="9"/>
      <c r="C13" s="4"/>
      <c r="D13" s="4"/>
      <c r="E13" s="4"/>
      <c r="F13" s="4"/>
      <c r="G13" s="4"/>
      <c r="H13" s="4"/>
      <c r="I13" s="10"/>
    </row>
  </sheetData>
  <mergeCells count="2">
    <mergeCell ref="B1:I1"/>
    <mergeCell ref="B2:I2"/>
  </mergeCells>
  <hyperlinks>
    <hyperlink ref="K1" location="'Home Page'!A1" display="Back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4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1.8867187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52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42857</v>
      </c>
      <c r="C4" s="4" t="s">
        <v>15</v>
      </c>
      <c r="D4" s="4" t="s">
        <v>16</v>
      </c>
      <c r="E4" s="4">
        <v>9325</v>
      </c>
      <c r="F4" s="4">
        <v>9360</v>
      </c>
      <c r="G4" s="4">
        <v>35</v>
      </c>
      <c r="H4" s="4">
        <v>150</v>
      </c>
      <c r="I4" s="4">
        <f>H4*G4</f>
        <v>5250</v>
      </c>
    </row>
    <row r="5" spans="1:11" ht="25.8" x14ac:dyDescent="0.5">
      <c r="A5" s="7"/>
      <c r="B5" s="13">
        <v>42859</v>
      </c>
      <c r="C5" s="12" t="s">
        <v>19</v>
      </c>
      <c r="D5" s="4" t="s">
        <v>13</v>
      </c>
      <c r="E5" s="12">
        <v>298</v>
      </c>
      <c r="F5" s="12">
        <v>306</v>
      </c>
      <c r="G5" s="12">
        <v>8</v>
      </c>
      <c r="H5" s="12">
        <v>6000</v>
      </c>
      <c r="I5" s="4">
        <f t="shared" ref="I5:I11" si="0">H5*G5</f>
        <v>48000</v>
      </c>
    </row>
    <row r="6" spans="1:11" ht="25.8" x14ac:dyDescent="0.5">
      <c r="A6" s="7"/>
      <c r="B6" s="13">
        <v>42864</v>
      </c>
      <c r="C6" s="12" t="s">
        <v>12</v>
      </c>
      <c r="D6" s="12" t="s">
        <v>18</v>
      </c>
      <c r="E6" s="12">
        <v>1752</v>
      </c>
      <c r="F6" s="12">
        <v>1742</v>
      </c>
      <c r="G6" s="12">
        <v>10</v>
      </c>
      <c r="H6" s="12">
        <v>1000</v>
      </c>
      <c r="I6" s="4">
        <f t="shared" si="0"/>
        <v>10000</v>
      </c>
    </row>
    <row r="7" spans="1:11" ht="25.8" x14ac:dyDescent="0.5">
      <c r="A7" s="7"/>
      <c r="B7" s="13">
        <v>42870</v>
      </c>
      <c r="C7" s="4" t="s">
        <v>19</v>
      </c>
      <c r="D7" s="4" t="s">
        <v>16</v>
      </c>
      <c r="E7" s="4">
        <v>9440</v>
      </c>
      <c r="F7" s="4">
        <v>9510</v>
      </c>
      <c r="G7" s="4">
        <v>60</v>
      </c>
      <c r="H7" s="4">
        <v>150</v>
      </c>
      <c r="I7" s="4">
        <f t="shared" si="0"/>
        <v>9000</v>
      </c>
    </row>
    <row r="8" spans="1:11" ht="25.8" x14ac:dyDescent="0.5">
      <c r="A8" s="7"/>
      <c r="B8" s="13">
        <v>42870</v>
      </c>
      <c r="C8" s="4" t="s">
        <v>19</v>
      </c>
      <c r="D8" s="4" t="s">
        <v>33</v>
      </c>
      <c r="E8" s="4">
        <v>1473</v>
      </c>
      <c r="F8" s="4">
        <v>1491</v>
      </c>
      <c r="G8" s="4">
        <v>18</v>
      </c>
      <c r="H8" s="4">
        <v>700</v>
      </c>
      <c r="I8" s="4">
        <f t="shared" si="0"/>
        <v>12600</v>
      </c>
    </row>
    <row r="9" spans="1:11" ht="25.8" x14ac:dyDescent="0.5">
      <c r="A9" s="7"/>
      <c r="B9" s="9">
        <v>42872</v>
      </c>
      <c r="C9" s="4" t="s">
        <v>19</v>
      </c>
      <c r="D9" s="4" t="s">
        <v>13</v>
      </c>
      <c r="E9" s="4">
        <v>306</v>
      </c>
      <c r="F9" s="4">
        <v>303</v>
      </c>
      <c r="G9" s="4">
        <v>-3</v>
      </c>
      <c r="H9" s="4">
        <v>6000</v>
      </c>
      <c r="I9" s="4">
        <f t="shared" si="0"/>
        <v>-18000</v>
      </c>
    </row>
    <row r="10" spans="1:11" ht="25.8" x14ac:dyDescent="0.5">
      <c r="A10" s="7"/>
      <c r="B10" s="9">
        <v>42872</v>
      </c>
      <c r="C10" s="4" t="s">
        <v>19</v>
      </c>
      <c r="D10" s="4" t="s">
        <v>16</v>
      </c>
      <c r="E10" s="4">
        <v>9520</v>
      </c>
      <c r="F10" s="4">
        <v>9480</v>
      </c>
      <c r="G10" s="4">
        <v>-40</v>
      </c>
      <c r="H10" s="4">
        <v>150</v>
      </c>
      <c r="I10" s="4">
        <f t="shared" si="0"/>
        <v>-6000</v>
      </c>
    </row>
    <row r="11" spans="1:11" ht="25.8" x14ac:dyDescent="0.5">
      <c r="A11" s="7"/>
      <c r="B11" s="9">
        <v>42877</v>
      </c>
      <c r="C11" s="4" t="s">
        <v>19</v>
      </c>
      <c r="D11" s="4" t="s">
        <v>38</v>
      </c>
      <c r="E11" s="4">
        <v>500</v>
      </c>
      <c r="F11" s="4">
        <v>504.5</v>
      </c>
      <c r="G11" s="4">
        <v>4.5</v>
      </c>
      <c r="H11" s="4">
        <v>2400</v>
      </c>
      <c r="I11" s="4">
        <f t="shared" si="0"/>
        <v>10800</v>
      </c>
    </row>
    <row r="12" spans="1:11" ht="25.8" x14ac:dyDescent="0.5">
      <c r="A12" s="7"/>
      <c r="B12" s="9"/>
      <c r="C12" s="4"/>
      <c r="D12" s="4"/>
      <c r="E12" s="4"/>
      <c r="F12" s="4"/>
      <c r="G12" s="4"/>
      <c r="H12" s="4"/>
      <c r="I12" s="10">
        <f>SUM(I4:I11)</f>
        <v>71650</v>
      </c>
    </row>
    <row r="13" spans="1:11" ht="25.8" x14ac:dyDescent="0.5">
      <c r="A13" s="7"/>
      <c r="B13" s="9"/>
      <c r="C13" s="4"/>
      <c r="D13" s="4"/>
      <c r="E13" s="4"/>
      <c r="F13" s="4"/>
      <c r="G13" s="4"/>
      <c r="H13" s="4"/>
      <c r="I13" s="4"/>
    </row>
    <row r="14" spans="1:11" ht="25.8" x14ac:dyDescent="0.5">
      <c r="A14" s="7"/>
      <c r="B14" s="9"/>
      <c r="C14" s="4"/>
      <c r="D14" s="4"/>
      <c r="E14" s="4"/>
      <c r="F14" s="4"/>
      <c r="G14" s="4"/>
      <c r="H14" s="4"/>
      <c r="I14" s="10"/>
    </row>
  </sheetData>
  <mergeCells count="2">
    <mergeCell ref="B1:I1"/>
    <mergeCell ref="B2:I2"/>
  </mergeCells>
  <hyperlinks>
    <hyperlink ref="K1" location="'Home Page'!A1" display="Back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4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2.554687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53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42891</v>
      </c>
      <c r="C4" s="4" t="s">
        <v>12</v>
      </c>
      <c r="D4" s="4" t="s">
        <v>54</v>
      </c>
      <c r="E4" s="4">
        <v>634</v>
      </c>
      <c r="F4" s="4">
        <v>624</v>
      </c>
      <c r="G4" s="4">
        <f>E4-F4</f>
        <v>10</v>
      </c>
      <c r="H4" s="4">
        <v>1200</v>
      </c>
      <c r="I4" s="4">
        <f>H4*G4</f>
        <v>12000</v>
      </c>
    </row>
    <row r="5" spans="1:11" ht="25.8" x14ac:dyDescent="0.5">
      <c r="A5" s="7"/>
      <c r="B5" s="13">
        <v>42898</v>
      </c>
      <c r="C5" s="12" t="s">
        <v>15</v>
      </c>
      <c r="D5" s="4" t="s">
        <v>55</v>
      </c>
      <c r="E5" s="12">
        <v>3000</v>
      </c>
      <c r="F5" s="12">
        <v>3085</v>
      </c>
      <c r="G5" s="12">
        <v>85</v>
      </c>
      <c r="H5" s="12">
        <v>600</v>
      </c>
      <c r="I5" s="4">
        <f t="shared" ref="I5:I11" si="0">H5*G5</f>
        <v>51000</v>
      </c>
    </row>
    <row r="6" spans="1:11" ht="25.8" x14ac:dyDescent="0.5">
      <c r="A6" s="7"/>
      <c r="B6" s="13">
        <v>42901</v>
      </c>
      <c r="C6" s="12" t="s">
        <v>19</v>
      </c>
      <c r="D6" s="12" t="s">
        <v>16</v>
      </c>
      <c r="E6" s="12">
        <v>9585</v>
      </c>
      <c r="F6" s="12">
        <v>9619</v>
      </c>
      <c r="G6" s="12">
        <v>34</v>
      </c>
      <c r="H6" s="12">
        <v>150</v>
      </c>
      <c r="I6" s="4">
        <f t="shared" si="0"/>
        <v>5100</v>
      </c>
    </row>
    <row r="7" spans="1:11" ht="25.8" x14ac:dyDescent="0.5">
      <c r="A7" s="7"/>
      <c r="B7" s="13">
        <v>42901</v>
      </c>
      <c r="C7" s="4" t="s">
        <v>19</v>
      </c>
      <c r="D7" s="4" t="s">
        <v>56</v>
      </c>
      <c r="E7" s="4">
        <v>1388</v>
      </c>
      <c r="F7" s="4">
        <v>1375</v>
      </c>
      <c r="G7" s="4">
        <v>-13</v>
      </c>
      <c r="H7" s="4">
        <v>1000</v>
      </c>
      <c r="I7" s="4">
        <f t="shared" si="0"/>
        <v>-13000</v>
      </c>
    </row>
    <row r="8" spans="1:11" ht="25.8" x14ac:dyDescent="0.5">
      <c r="A8" s="7"/>
      <c r="B8" s="13">
        <v>42905</v>
      </c>
      <c r="C8" s="4" t="s">
        <v>12</v>
      </c>
      <c r="D8" s="4" t="s">
        <v>13</v>
      </c>
      <c r="E8" s="4">
        <v>290</v>
      </c>
      <c r="F8" s="4">
        <v>287</v>
      </c>
      <c r="G8" s="4">
        <v>3</v>
      </c>
      <c r="H8" s="4">
        <v>6000</v>
      </c>
      <c r="I8" s="4">
        <f t="shared" si="0"/>
        <v>18000</v>
      </c>
    </row>
    <row r="9" spans="1:11" ht="25.8" x14ac:dyDescent="0.5">
      <c r="A9" s="7"/>
      <c r="B9" s="9">
        <v>42906</v>
      </c>
      <c r="C9" s="4" t="s">
        <v>12</v>
      </c>
      <c r="D9" s="4" t="s">
        <v>13</v>
      </c>
      <c r="E9" s="4">
        <v>291</v>
      </c>
      <c r="F9" s="4">
        <v>289</v>
      </c>
      <c r="G9" s="4">
        <v>2</v>
      </c>
      <c r="H9" s="4">
        <v>6000</v>
      </c>
      <c r="I9" s="4">
        <f t="shared" si="0"/>
        <v>12000</v>
      </c>
    </row>
    <row r="10" spans="1:11" ht="25.8" x14ac:dyDescent="0.5">
      <c r="A10" s="7"/>
      <c r="B10" s="9">
        <v>42913</v>
      </c>
      <c r="C10" s="4" t="s">
        <v>19</v>
      </c>
      <c r="D10" s="4" t="s">
        <v>18</v>
      </c>
      <c r="E10" s="4">
        <v>1700</v>
      </c>
      <c r="F10" s="4">
        <v>1706</v>
      </c>
      <c r="G10" s="4">
        <v>6</v>
      </c>
      <c r="H10" s="4">
        <v>1000</v>
      </c>
      <c r="I10" s="4">
        <f t="shared" si="0"/>
        <v>6000</v>
      </c>
    </row>
    <row r="11" spans="1:11" ht="25.8" x14ac:dyDescent="0.5">
      <c r="A11" s="7"/>
      <c r="B11" s="9">
        <v>42913</v>
      </c>
      <c r="C11" s="4" t="s">
        <v>19</v>
      </c>
      <c r="D11" s="4" t="s">
        <v>20</v>
      </c>
      <c r="E11" s="4">
        <v>23150</v>
      </c>
      <c r="F11" s="4">
        <v>23270</v>
      </c>
      <c r="G11" s="4">
        <v>120</v>
      </c>
      <c r="H11" s="4">
        <v>80</v>
      </c>
      <c r="I11" s="4">
        <f t="shared" si="0"/>
        <v>9600</v>
      </c>
    </row>
    <row r="12" spans="1:11" ht="25.8" x14ac:dyDescent="0.5">
      <c r="A12" s="7"/>
      <c r="B12" s="9"/>
      <c r="C12" s="4"/>
      <c r="D12" s="4"/>
      <c r="E12" s="4"/>
      <c r="F12" s="4"/>
      <c r="G12" s="4"/>
      <c r="H12" s="4"/>
      <c r="I12" s="10">
        <f>SUM(I4:I11)</f>
        <v>100700</v>
      </c>
    </row>
    <row r="13" spans="1:11" ht="25.8" x14ac:dyDescent="0.5">
      <c r="A13" s="7"/>
      <c r="B13" s="9"/>
      <c r="C13" s="4"/>
      <c r="D13" s="4"/>
      <c r="E13" s="4"/>
      <c r="F13" s="4"/>
      <c r="G13" s="4"/>
      <c r="H13" s="4"/>
      <c r="I13" s="4"/>
    </row>
    <row r="14" spans="1:11" ht="25.8" x14ac:dyDescent="0.5">
      <c r="A14" s="7"/>
      <c r="B14" s="9"/>
      <c r="C14" s="4"/>
      <c r="D14" s="4"/>
      <c r="E14" s="4"/>
      <c r="F14" s="4"/>
      <c r="G14" s="4"/>
      <c r="H14" s="4"/>
      <c r="I14" s="10"/>
    </row>
  </sheetData>
  <mergeCells count="2">
    <mergeCell ref="B1:I1"/>
    <mergeCell ref="B2:I2"/>
  </mergeCells>
  <hyperlinks>
    <hyperlink ref="K1" location="'Home Page'!A1" display="Back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4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3.554687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57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42919</v>
      </c>
      <c r="C4" s="4" t="s">
        <v>12</v>
      </c>
      <c r="D4" s="4" t="s">
        <v>18</v>
      </c>
      <c r="E4" s="4">
        <v>1698</v>
      </c>
      <c r="F4" s="4">
        <v>1678</v>
      </c>
      <c r="G4" s="4">
        <v>20</v>
      </c>
      <c r="H4" s="4">
        <v>1000</v>
      </c>
      <c r="I4" s="4">
        <f>H4*G4</f>
        <v>20000</v>
      </c>
    </row>
    <row r="5" spans="1:11" ht="25.8" x14ac:dyDescent="0.5">
      <c r="A5" s="7"/>
      <c r="B5" s="13">
        <v>42920</v>
      </c>
      <c r="C5" s="12" t="s">
        <v>12</v>
      </c>
      <c r="D5" s="4" t="s">
        <v>20</v>
      </c>
      <c r="E5" s="12">
        <v>23300</v>
      </c>
      <c r="F5" s="12">
        <v>23240</v>
      </c>
      <c r="G5" s="12">
        <v>60</v>
      </c>
      <c r="H5" s="12">
        <v>80</v>
      </c>
      <c r="I5" s="4">
        <f t="shared" ref="I5:I13" si="0">H5*G5</f>
        <v>4800</v>
      </c>
    </row>
    <row r="6" spans="1:11" ht="25.8" x14ac:dyDescent="0.5">
      <c r="A6" s="7"/>
      <c r="B6" s="13">
        <v>42922</v>
      </c>
      <c r="C6" s="12" t="s">
        <v>12</v>
      </c>
      <c r="D6" s="12" t="s">
        <v>16</v>
      </c>
      <c r="E6" s="12">
        <v>9685</v>
      </c>
      <c r="F6" s="12">
        <v>9650</v>
      </c>
      <c r="G6" s="12">
        <v>35</v>
      </c>
      <c r="H6" s="12">
        <v>150</v>
      </c>
      <c r="I6" s="4">
        <f t="shared" si="0"/>
        <v>5250</v>
      </c>
    </row>
    <row r="7" spans="1:11" ht="25.8" x14ac:dyDescent="0.5">
      <c r="A7" s="7"/>
      <c r="B7" s="13">
        <v>42927</v>
      </c>
      <c r="C7" s="4" t="s">
        <v>12</v>
      </c>
      <c r="D7" s="4" t="s">
        <v>20</v>
      </c>
      <c r="E7" s="4">
        <v>23700</v>
      </c>
      <c r="F7" s="4">
        <v>23560</v>
      </c>
      <c r="G7" s="4">
        <f>E7-F7</f>
        <v>140</v>
      </c>
      <c r="H7" s="4">
        <v>80</v>
      </c>
      <c r="I7" s="4">
        <f t="shared" si="0"/>
        <v>11200</v>
      </c>
    </row>
    <row r="8" spans="1:11" ht="25.8" x14ac:dyDescent="0.5">
      <c r="A8" s="7"/>
      <c r="B8" s="13">
        <v>42929</v>
      </c>
      <c r="C8" s="4" t="s">
        <v>15</v>
      </c>
      <c r="D8" s="4" t="s">
        <v>16</v>
      </c>
      <c r="E8" s="4">
        <v>9870</v>
      </c>
      <c r="F8" s="4">
        <v>9905</v>
      </c>
      <c r="G8" s="4">
        <v>35</v>
      </c>
      <c r="H8" s="4">
        <v>150</v>
      </c>
      <c r="I8" s="4">
        <f t="shared" si="0"/>
        <v>5250</v>
      </c>
    </row>
    <row r="9" spans="1:11" ht="25.8" x14ac:dyDescent="0.5">
      <c r="A9" s="7"/>
      <c r="B9" s="9">
        <v>42929</v>
      </c>
      <c r="C9" s="4" t="s">
        <v>19</v>
      </c>
      <c r="D9" s="4" t="s">
        <v>21</v>
      </c>
      <c r="E9" s="4">
        <v>358</v>
      </c>
      <c r="F9" s="4">
        <v>364</v>
      </c>
      <c r="G9" s="4">
        <v>6</v>
      </c>
      <c r="H9" s="4">
        <v>6168</v>
      </c>
      <c r="I9" s="4">
        <f t="shared" si="0"/>
        <v>37008</v>
      </c>
    </row>
    <row r="10" spans="1:11" ht="25.8" x14ac:dyDescent="0.5">
      <c r="A10" s="7"/>
      <c r="B10" s="9">
        <v>42933</v>
      </c>
      <c r="C10" s="4" t="s">
        <v>19</v>
      </c>
      <c r="D10" s="4" t="s">
        <v>16</v>
      </c>
      <c r="E10" s="4">
        <v>9920</v>
      </c>
      <c r="F10" s="4">
        <v>9880</v>
      </c>
      <c r="G10" s="4">
        <v>-40</v>
      </c>
      <c r="H10" s="4">
        <v>150</v>
      </c>
      <c r="I10" s="4">
        <f t="shared" si="0"/>
        <v>-6000</v>
      </c>
    </row>
    <row r="11" spans="1:11" ht="25.8" x14ac:dyDescent="0.5">
      <c r="A11" s="7"/>
      <c r="B11" s="9">
        <v>42933</v>
      </c>
      <c r="C11" s="4" t="s">
        <v>19</v>
      </c>
      <c r="D11" s="4" t="s">
        <v>20</v>
      </c>
      <c r="E11" s="4">
        <v>23950</v>
      </c>
      <c r="F11" s="4">
        <v>24150</v>
      </c>
      <c r="G11" s="4">
        <v>200</v>
      </c>
      <c r="H11" s="4">
        <v>80</v>
      </c>
      <c r="I11" s="4">
        <f t="shared" si="0"/>
        <v>16000</v>
      </c>
    </row>
    <row r="12" spans="1:11" ht="25.8" x14ac:dyDescent="0.5">
      <c r="A12" s="7"/>
      <c r="B12" s="9">
        <v>42933</v>
      </c>
      <c r="C12" s="4" t="s">
        <v>19</v>
      </c>
      <c r="D12" s="4" t="s">
        <v>28</v>
      </c>
      <c r="E12" s="4">
        <v>302</v>
      </c>
      <c r="F12" s="4">
        <v>305</v>
      </c>
      <c r="G12" s="4">
        <v>3</v>
      </c>
      <c r="H12" s="4">
        <f>2750*2</f>
        <v>5500</v>
      </c>
      <c r="I12" s="4">
        <f t="shared" si="0"/>
        <v>16500</v>
      </c>
    </row>
    <row r="13" spans="1:11" ht="25.8" x14ac:dyDescent="0.5">
      <c r="A13" s="7"/>
      <c r="B13" s="9">
        <v>42942</v>
      </c>
      <c r="C13" s="4" t="s">
        <v>19</v>
      </c>
      <c r="D13" s="4" t="s">
        <v>16</v>
      </c>
      <c r="E13" s="4">
        <v>10010</v>
      </c>
      <c r="F13" s="4">
        <v>10090</v>
      </c>
      <c r="G13" s="4">
        <v>80</v>
      </c>
      <c r="H13" s="4">
        <v>150</v>
      </c>
      <c r="I13" s="4">
        <f t="shared" si="0"/>
        <v>12000</v>
      </c>
    </row>
    <row r="14" spans="1:11" ht="25.8" x14ac:dyDescent="0.5">
      <c r="A14" s="7"/>
      <c r="B14" s="9"/>
      <c r="C14" s="4"/>
      <c r="D14" s="4"/>
      <c r="E14" s="4"/>
      <c r="F14" s="4"/>
      <c r="G14" s="4"/>
      <c r="H14" s="4"/>
      <c r="I14" s="10">
        <f>SUM(I4:I13)</f>
        <v>122008</v>
      </c>
    </row>
  </sheetData>
  <mergeCells count="2">
    <mergeCell ref="B1:I1"/>
    <mergeCell ref="B2:I2"/>
  </mergeCells>
  <hyperlinks>
    <hyperlink ref="K1" location="'Home Page'!A1" display="Back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workbookViewId="0">
      <selection activeCell="K2" sqref="K2"/>
    </sheetView>
  </sheetViews>
  <sheetFormatPr defaultColWidth="9.109375" defaultRowHeight="14.4" x14ac:dyDescent="0.3"/>
  <cols>
    <col min="1" max="1" width="9.109375" style="7"/>
    <col min="2" max="2" width="21" customWidth="1"/>
    <col min="3" max="3" width="18.33203125" customWidth="1"/>
    <col min="4" max="4" width="22.441406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  <col min="11" max="11" width="11.44140625" customWidth="1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10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8">
        <v>42401</v>
      </c>
      <c r="C5" s="4" t="s">
        <v>12</v>
      </c>
      <c r="D5" s="4" t="s">
        <v>13</v>
      </c>
      <c r="E5" s="4">
        <v>177</v>
      </c>
      <c r="F5" s="4">
        <v>174</v>
      </c>
      <c r="G5" s="4">
        <v>3</v>
      </c>
      <c r="H5" s="4">
        <v>2000</v>
      </c>
      <c r="I5" s="4">
        <f>H5*G5</f>
        <v>6000</v>
      </c>
    </row>
    <row r="6" spans="1:11" ht="25.8" x14ac:dyDescent="0.5">
      <c r="B6" s="11">
        <v>42403</v>
      </c>
      <c r="C6" s="12" t="s">
        <v>15</v>
      </c>
      <c r="D6" s="12" t="s">
        <v>17</v>
      </c>
      <c r="E6" s="12">
        <v>1110</v>
      </c>
      <c r="F6" s="12">
        <v>1140</v>
      </c>
      <c r="G6" s="12">
        <v>30</v>
      </c>
      <c r="H6" s="12">
        <v>300</v>
      </c>
      <c r="I6" s="4">
        <f>H6*G6</f>
        <v>9000</v>
      </c>
    </row>
    <row r="7" spans="1:11" ht="25.8" x14ac:dyDescent="0.5">
      <c r="B7" s="13">
        <v>42408</v>
      </c>
      <c r="C7" s="12" t="s">
        <v>12</v>
      </c>
      <c r="D7" s="12" t="s">
        <v>16</v>
      </c>
      <c r="E7" s="12">
        <v>7400</v>
      </c>
      <c r="F7" s="12">
        <v>7330</v>
      </c>
      <c r="G7" s="12">
        <v>70</v>
      </c>
      <c r="H7" s="12">
        <v>150</v>
      </c>
      <c r="I7" s="4">
        <f t="shared" ref="I7:I11" si="0">H7*G7</f>
        <v>10500</v>
      </c>
    </row>
    <row r="8" spans="1:11" ht="25.8" x14ac:dyDescent="0.5">
      <c r="B8" s="9">
        <v>42410</v>
      </c>
      <c r="C8" s="4" t="s">
        <v>12</v>
      </c>
      <c r="D8" s="4" t="s">
        <v>16</v>
      </c>
      <c r="E8" s="4">
        <v>7255</v>
      </c>
      <c r="F8" s="4">
        <v>7200</v>
      </c>
      <c r="G8" s="4">
        <v>55</v>
      </c>
      <c r="H8" s="4">
        <v>150</v>
      </c>
      <c r="I8" s="4">
        <f t="shared" si="0"/>
        <v>8250</v>
      </c>
    </row>
    <row r="9" spans="1:11" ht="25.8" x14ac:dyDescent="0.5">
      <c r="B9" s="9">
        <v>42412</v>
      </c>
      <c r="C9" s="4" t="s">
        <v>12</v>
      </c>
      <c r="D9" s="4" t="s">
        <v>16</v>
      </c>
      <c r="E9" s="4">
        <v>7020</v>
      </c>
      <c r="F9" s="4">
        <v>7060</v>
      </c>
      <c r="G9" s="4">
        <v>-40</v>
      </c>
      <c r="H9" s="4">
        <v>150</v>
      </c>
      <c r="I9" s="4">
        <f t="shared" si="0"/>
        <v>-6000</v>
      </c>
    </row>
    <row r="10" spans="1:11" ht="25.8" x14ac:dyDescent="0.5">
      <c r="B10" s="9">
        <v>42418</v>
      </c>
      <c r="C10" s="4" t="s">
        <v>12</v>
      </c>
      <c r="D10" s="4" t="s">
        <v>16</v>
      </c>
      <c r="E10" s="4">
        <v>7200</v>
      </c>
      <c r="F10" s="4">
        <v>7160</v>
      </c>
      <c r="G10" s="4">
        <v>40</v>
      </c>
      <c r="H10" s="4">
        <v>150</v>
      </c>
      <c r="I10" s="4">
        <f t="shared" si="0"/>
        <v>6000</v>
      </c>
    </row>
    <row r="11" spans="1:11" ht="25.8" x14ac:dyDescent="0.5">
      <c r="B11" s="9">
        <v>42418</v>
      </c>
      <c r="C11" s="4" t="s">
        <v>12</v>
      </c>
      <c r="D11" s="4" t="s">
        <v>21</v>
      </c>
      <c r="E11" s="4">
        <v>173</v>
      </c>
      <c r="F11" s="4">
        <v>171</v>
      </c>
      <c r="G11" s="4">
        <v>2</v>
      </c>
      <c r="H11" s="4">
        <v>4000</v>
      </c>
      <c r="I11" s="4">
        <f t="shared" si="0"/>
        <v>8000</v>
      </c>
    </row>
    <row r="12" spans="1:11" ht="25.8" x14ac:dyDescent="0.5">
      <c r="B12" s="8">
        <v>42423</v>
      </c>
      <c r="C12" s="4" t="s">
        <v>12</v>
      </c>
      <c r="D12" s="4" t="s">
        <v>16</v>
      </c>
      <c r="E12" s="4">
        <v>7140</v>
      </c>
      <c r="F12" s="4">
        <v>7090</v>
      </c>
      <c r="G12" s="4">
        <v>50</v>
      </c>
      <c r="H12" s="4">
        <v>150</v>
      </c>
      <c r="I12" s="4">
        <f>H12*G12</f>
        <v>7500</v>
      </c>
    </row>
    <row r="14" spans="1:11" ht="28.8" x14ac:dyDescent="0.55000000000000004">
      <c r="B14" s="9"/>
      <c r="C14" s="4"/>
      <c r="D14" s="4"/>
      <c r="E14" s="4"/>
      <c r="F14" s="4"/>
      <c r="G14" s="4"/>
      <c r="H14" s="4"/>
      <c r="I14" s="14"/>
    </row>
    <row r="15" spans="1:11" ht="25.8" x14ac:dyDescent="0.5">
      <c r="B15" s="9"/>
      <c r="C15" s="4"/>
      <c r="D15" s="4"/>
      <c r="E15" s="4"/>
      <c r="F15" s="4"/>
      <c r="G15" s="4"/>
      <c r="H15" s="4"/>
      <c r="I15" s="10">
        <f>SUM(I5:I14)</f>
        <v>49250</v>
      </c>
    </row>
    <row r="16" spans="1:11" ht="25.8" x14ac:dyDescent="0.5">
      <c r="B16" s="9"/>
      <c r="C16" s="4"/>
      <c r="D16" s="4"/>
      <c r="E16" s="4"/>
      <c r="F16" s="4"/>
      <c r="G16" s="4"/>
      <c r="H16" s="4"/>
      <c r="I16" s="4"/>
    </row>
    <row r="17" spans="2:9" ht="25.8" x14ac:dyDescent="0.5">
      <c r="B17" s="8"/>
      <c r="C17" s="4"/>
      <c r="D17" s="4"/>
      <c r="E17" s="4"/>
      <c r="F17" s="4"/>
      <c r="G17" s="4"/>
      <c r="H17" s="4"/>
      <c r="I17" s="10"/>
    </row>
    <row r="18" spans="2:9" ht="25.8" x14ac:dyDescent="0.5">
      <c r="B18" s="8"/>
      <c r="C18" s="4"/>
      <c r="D18" s="4"/>
      <c r="E18" s="4"/>
      <c r="F18" s="4"/>
      <c r="G18" s="4"/>
      <c r="H18" s="4"/>
      <c r="I18" s="4"/>
    </row>
    <row r="19" spans="2:9" ht="25.8" x14ac:dyDescent="0.5">
      <c r="B19" s="8"/>
      <c r="C19" s="4"/>
      <c r="D19" s="4"/>
      <c r="E19" s="4"/>
      <c r="F19" s="4"/>
      <c r="G19" s="4"/>
      <c r="H19" s="4"/>
      <c r="I19" s="4"/>
    </row>
    <row r="20" spans="2:9" ht="25.8" x14ac:dyDescent="0.5">
      <c r="I20" s="10"/>
    </row>
  </sheetData>
  <mergeCells count="3">
    <mergeCell ref="B1:I1"/>
    <mergeCell ref="B2:I2"/>
    <mergeCell ref="B3:I3"/>
  </mergeCells>
  <hyperlinks>
    <hyperlink ref="K2" location="'Home Page'!A1" display="Back" xr:uid="{00000000-0004-0000-01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22"/>
  <sheetViews>
    <sheetView zoomScale="97" zoomScaleNormal="97" workbookViewId="0">
      <selection activeCell="H15" sqref="H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42948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8</v>
      </c>
      <c r="P4" s="147">
        <f>W20</f>
        <v>1</v>
      </c>
      <c r="Q4" s="149">
        <f>N4-O4-P4</f>
        <v>0</v>
      </c>
      <c r="R4" s="151">
        <f>O4/N4</f>
        <v>0.88888888888888884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28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29">
        <v>1</v>
      </c>
      <c r="C6" s="30">
        <v>42950</v>
      </c>
      <c r="D6" s="31" t="s">
        <v>12</v>
      </c>
      <c r="E6" s="31" t="s">
        <v>20</v>
      </c>
      <c r="F6" s="32">
        <v>24900</v>
      </c>
      <c r="G6" s="32">
        <v>24700</v>
      </c>
      <c r="H6" s="32">
        <v>200</v>
      </c>
      <c r="I6" s="32">
        <v>80</v>
      </c>
      <c r="J6" s="33">
        <v>16000</v>
      </c>
      <c r="K6" s="23"/>
      <c r="M6" s="117" t="s">
        <v>67</v>
      </c>
      <c r="N6" s="118"/>
      <c r="O6" s="119"/>
      <c r="P6" s="126">
        <f>R4</f>
        <v>0.88888888888888884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34">
        <f>B6+1</f>
        <v>2</v>
      </c>
      <c r="C7" s="35">
        <v>42956</v>
      </c>
      <c r="D7" s="36" t="s">
        <v>12</v>
      </c>
      <c r="E7" s="36" t="s">
        <v>20</v>
      </c>
      <c r="F7" s="37">
        <v>24600</v>
      </c>
      <c r="G7" s="37">
        <v>24330</v>
      </c>
      <c r="H7" s="37">
        <v>270</v>
      </c>
      <c r="I7" s="37">
        <v>80</v>
      </c>
      <c r="J7" s="38">
        <v>21600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34">
        <f t="shared" ref="B8:B20" si="2">B7+1</f>
        <v>3</v>
      </c>
      <c r="C8" s="35">
        <v>42956</v>
      </c>
      <c r="D8" s="36" t="s">
        <v>12</v>
      </c>
      <c r="E8" s="36" t="s">
        <v>58</v>
      </c>
      <c r="F8" s="37">
        <v>2070</v>
      </c>
      <c r="G8" s="37">
        <v>2050</v>
      </c>
      <c r="H8" s="37">
        <v>20</v>
      </c>
      <c r="I8" s="37">
        <v>400</v>
      </c>
      <c r="J8" s="38">
        <v>8000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34">
        <f t="shared" si="2"/>
        <v>4</v>
      </c>
      <c r="C9" s="35">
        <v>42956</v>
      </c>
      <c r="D9" s="36" t="s">
        <v>12</v>
      </c>
      <c r="E9" s="36" t="s">
        <v>16</v>
      </c>
      <c r="F9" s="37">
        <v>9980</v>
      </c>
      <c r="G9" s="37">
        <v>9900</v>
      </c>
      <c r="H9" s="37">
        <v>80</v>
      </c>
      <c r="I9" s="37">
        <v>150</v>
      </c>
      <c r="J9" s="38">
        <v>12000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34">
        <f t="shared" si="2"/>
        <v>5</v>
      </c>
      <c r="C10" s="35">
        <v>42963</v>
      </c>
      <c r="D10" s="36" t="s">
        <v>15</v>
      </c>
      <c r="E10" s="36" t="s">
        <v>21</v>
      </c>
      <c r="F10" s="37">
        <v>337</v>
      </c>
      <c r="G10" s="37">
        <v>341</v>
      </c>
      <c r="H10" s="37">
        <v>4</v>
      </c>
      <c r="I10" s="37">
        <v>6168</v>
      </c>
      <c r="J10" s="38">
        <f t="shared" ref="J10:J11" si="3">H10*I10</f>
        <v>24672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34">
        <f t="shared" si="2"/>
        <v>6</v>
      </c>
      <c r="C11" s="35">
        <v>42964</v>
      </c>
      <c r="D11" s="36" t="s">
        <v>12</v>
      </c>
      <c r="E11" s="36" t="s">
        <v>16</v>
      </c>
      <c r="F11" s="37">
        <v>9930</v>
      </c>
      <c r="G11" s="37">
        <v>9855</v>
      </c>
      <c r="H11" s="37">
        <f>F11-G11</f>
        <v>75</v>
      </c>
      <c r="I11" s="37">
        <v>150</v>
      </c>
      <c r="J11" s="38">
        <f t="shared" si="3"/>
        <v>11250</v>
      </c>
      <c r="K11" s="23"/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34">
        <f t="shared" si="2"/>
        <v>7</v>
      </c>
      <c r="C12" s="35">
        <v>42969</v>
      </c>
      <c r="D12" s="36" t="s">
        <v>12</v>
      </c>
      <c r="E12" s="36" t="s">
        <v>16</v>
      </c>
      <c r="F12" s="37">
        <v>9790</v>
      </c>
      <c r="G12" s="37">
        <v>9820</v>
      </c>
      <c r="H12" s="37">
        <v>-30</v>
      </c>
      <c r="I12" s="37">
        <v>150</v>
      </c>
      <c r="J12" s="38">
        <f t="shared" ref="J12:J20" si="4">H12*I12</f>
        <v>-4500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1</v>
      </c>
    </row>
    <row r="13" spans="1:23" x14ac:dyDescent="0.3">
      <c r="A13" s="22"/>
      <c r="B13" s="34">
        <f t="shared" si="2"/>
        <v>8</v>
      </c>
      <c r="C13" s="35">
        <v>42969</v>
      </c>
      <c r="D13" s="36" t="s">
        <v>12</v>
      </c>
      <c r="E13" s="36" t="s">
        <v>56</v>
      </c>
      <c r="F13" s="37">
        <v>1567</v>
      </c>
      <c r="G13" s="37">
        <v>1558</v>
      </c>
      <c r="H13" s="37">
        <v>9</v>
      </c>
      <c r="I13" s="37">
        <v>1000</v>
      </c>
      <c r="J13" s="38">
        <f t="shared" si="4"/>
        <v>9000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34">
        <f t="shared" si="2"/>
        <v>9</v>
      </c>
      <c r="C14" s="35">
        <v>42975</v>
      </c>
      <c r="D14" s="36" t="s">
        <v>12</v>
      </c>
      <c r="E14" s="36" t="s">
        <v>16</v>
      </c>
      <c r="F14" s="37">
        <v>9920</v>
      </c>
      <c r="G14" s="37">
        <v>9845</v>
      </c>
      <c r="H14" s="37">
        <v>75</v>
      </c>
      <c r="I14" s="37">
        <v>150</v>
      </c>
      <c r="J14" s="38">
        <f t="shared" si="4"/>
        <v>11250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34">
        <f t="shared" si="2"/>
        <v>10</v>
      </c>
      <c r="C15" s="35"/>
      <c r="D15" s="36"/>
      <c r="E15" s="36"/>
      <c r="F15" s="37"/>
      <c r="G15" s="37"/>
      <c r="H15" s="37"/>
      <c r="I15" s="37"/>
      <c r="J15" s="38">
        <f t="shared" si="4"/>
        <v>0</v>
      </c>
      <c r="K15" s="23"/>
      <c r="M15" s="72"/>
      <c r="R15" s="73"/>
      <c r="V15" s="21">
        <f>IF($J15&gt;0,1,0)</f>
        <v>0</v>
      </c>
      <c r="W15" s="21">
        <f>IF($J15&lt;0,1,0)</f>
        <v>0</v>
      </c>
    </row>
    <row r="16" spans="1:23" x14ac:dyDescent="0.3">
      <c r="A16" s="22"/>
      <c r="B16" s="34">
        <f t="shared" si="2"/>
        <v>11</v>
      </c>
      <c r="C16" s="35"/>
      <c r="D16" s="36"/>
      <c r="E16" s="36"/>
      <c r="F16" s="37"/>
      <c r="G16" s="37"/>
      <c r="H16" s="37"/>
      <c r="I16" s="37"/>
      <c r="J16" s="38">
        <f t="shared" si="4"/>
        <v>0</v>
      </c>
      <c r="K16" s="23"/>
      <c r="M16" s="72"/>
      <c r="R16" s="73"/>
      <c r="V16" s="21">
        <f>IF($J16&gt;0,1,0)</f>
        <v>0</v>
      </c>
      <c r="W16" s="21">
        <f>IF($J16&lt;0,1,0)</f>
        <v>0</v>
      </c>
    </row>
    <row r="17" spans="1:23" x14ac:dyDescent="0.3">
      <c r="A17" s="22"/>
      <c r="B17" s="34">
        <f t="shared" si="2"/>
        <v>12</v>
      </c>
      <c r="C17" s="35"/>
      <c r="D17" s="36"/>
      <c r="E17" s="36"/>
      <c r="F17" s="37"/>
      <c r="G17" s="37"/>
      <c r="H17" s="37"/>
      <c r="I17" s="37"/>
      <c r="J17" s="38">
        <f t="shared" si="4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34">
        <f t="shared" si="2"/>
        <v>13</v>
      </c>
      <c r="C18" s="35"/>
      <c r="D18" s="36"/>
      <c r="E18" s="36"/>
      <c r="F18" s="37"/>
      <c r="G18" s="37"/>
      <c r="H18" s="37"/>
      <c r="I18" s="37"/>
      <c r="J18" s="38">
        <f t="shared" si="4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34">
        <f t="shared" si="2"/>
        <v>14</v>
      </c>
      <c r="C19" s="35"/>
      <c r="D19" s="36"/>
      <c r="E19" s="36"/>
      <c r="F19" s="37"/>
      <c r="G19" s="37"/>
      <c r="H19" s="37"/>
      <c r="I19" s="37"/>
      <c r="J19" s="38">
        <f t="shared" si="4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34">
        <f t="shared" si="2"/>
        <v>15</v>
      </c>
      <c r="C20" s="35"/>
      <c r="D20" s="36"/>
      <c r="E20" s="36"/>
      <c r="F20" s="37"/>
      <c r="G20" s="37"/>
      <c r="H20" s="37"/>
      <c r="I20" s="37"/>
      <c r="J20" s="38">
        <f t="shared" si="4"/>
        <v>0</v>
      </c>
      <c r="K20" s="23"/>
      <c r="M20" s="75"/>
      <c r="N20" s="76"/>
      <c r="O20" s="76"/>
      <c r="P20" s="76"/>
      <c r="Q20" s="76"/>
      <c r="R20" s="77"/>
      <c r="V20" s="21">
        <f>SUM(V6:V19)</f>
        <v>8</v>
      </c>
      <c r="W20" s="21">
        <f>SUM(W6:W19)</f>
        <v>1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109272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B4:J4"/>
    <mergeCell ref="M6:O8"/>
    <mergeCell ref="P6:R8"/>
  </mergeCells>
  <hyperlinks>
    <hyperlink ref="B21" r:id="rId1" xr:uid="{00000000-0004-0000-1300-000000000000}"/>
    <hyperlink ref="M1" location="'Home Page'!A1" display="Back" xr:uid="{00000000-0004-0000-1300-000001000000}"/>
  </hyperlinks>
  <pageMargins left="0" right="0" top="0" bottom="0" header="0" footer="0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2"/>
  <sheetViews>
    <sheetView zoomScale="97" zoomScaleNormal="97" workbookViewId="0">
      <selection activeCell="H15" sqref="H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42979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11</v>
      </c>
      <c r="O4" s="147">
        <f>V20</f>
        <v>9</v>
      </c>
      <c r="P4" s="147">
        <f>W20</f>
        <v>1</v>
      </c>
      <c r="Q4" s="149">
        <f>N4-O4-P4</f>
        <v>1</v>
      </c>
      <c r="R4" s="151">
        <f>O4/N4</f>
        <v>0.81818181818181823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28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42982</v>
      </c>
      <c r="D6" s="31" t="s">
        <v>12</v>
      </c>
      <c r="E6" s="31" t="s">
        <v>16</v>
      </c>
      <c r="F6" s="32">
        <v>9940</v>
      </c>
      <c r="G6" s="32">
        <v>9916</v>
      </c>
      <c r="H6" s="32">
        <f>F6-G6</f>
        <v>24</v>
      </c>
      <c r="I6" s="32">
        <v>150</v>
      </c>
      <c r="J6" s="33">
        <f>I6*H6</f>
        <v>3600</v>
      </c>
      <c r="K6" s="23"/>
      <c r="M6" s="117" t="s">
        <v>67</v>
      </c>
      <c r="N6" s="118"/>
      <c r="O6" s="119"/>
      <c r="P6" s="126">
        <f>R4</f>
        <v>0.81818181818181823</v>
      </c>
      <c r="Q6" s="127"/>
      <c r="R6" s="128"/>
      <c r="V6" s="21">
        <f>IF($J6&gt;0,1,0)</f>
        <v>1</v>
      </c>
      <c r="W6" s="21">
        <f>IF($J6&lt;0,1,0)</f>
        <v>0</v>
      </c>
    </row>
    <row r="7" spans="1:23" ht="15" thickBot="1" x14ac:dyDescent="0.35">
      <c r="A7" s="22"/>
      <c r="B7" s="34">
        <f>B6+1</f>
        <v>2</v>
      </c>
      <c r="C7" s="35">
        <v>42984</v>
      </c>
      <c r="D7" s="36" t="s">
        <v>12</v>
      </c>
      <c r="E7" s="36" t="s">
        <v>20</v>
      </c>
      <c r="F7" s="37">
        <v>24320</v>
      </c>
      <c r="G7" s="37">
        <v>24300</v>
      </c>
      <c r="H7" s="37">
        <v>20</v>
      </c>
      <c r="I7" s="37">
        <v>80</v>
      </c>
      <c r="J7" s="33">
        <f t="shared" ref="J7:J10" si="0">I7*H7</f>
        <v>1600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1</v>
      </c>
      <c r="W7" s="21">
        <f t="shared" ref="W7:W19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42989</v>
      </c>
      <c r="D8" s="36" t="s">
        <v>15</v>
      </c>
      <c r="E8" s="36" t="s">
        <v>16</v>
      </c>
      <c r="F8" s="37">
        <v>10030</v>
      </c>
      <c r="G8" s="37">
        <v>10110</v>
      </c>
      <c r="H8" s="37">
        <v>80</v>
      </c>
      <c r="I8" s="37">
        <v>150</v>
      </c>
      <c r="J8" s="33">
        <f t="shared" si="0"/>
        <v>12000</v>
      </c>
      <c r="K8" s="23"/>
      <c r="M8" s="123"/>
      <c r="N8" s="124"/>
      <c r="O8" s="125"/>
      <c r="P8" s="132"/>
      <c r="Q8" s="133"/>
      <c r="R8" s="134"/>
      <c r="V8" s="21">
        <f t="shared" si="1"/>
        <v>1</v>
      </c>
      <c r="W8" s="21">
        <f t="shared" si="2"/>
        <v>0</v>
      </c>
    </row>
    <row r="9" spans="1:23" ht="15" thickBot="1" x14ac:dyDescent="0.35">
      <c r="A9" s="22"/>
      <c r="B9" s="34">
        <f t="shared" si="3"/>
        <v>4</v>
      </c>
      <c r="C9" s="35">
        <v>42989</v>
      </c>
      <c r="D9" s="36" t="s">
        <v>19</v>
      </c>
      <c r="E9" s="36" t="s">
        <v>20</v>
      </c>
      <c r="F9" s="37">
        <v>24670</v>
      </c>
      <c r="G9" s="37">
        <v>24800</v>
      </c>
      <c r="H9" s="37">
        <v>130</v>
      </c>
      <c r="I9" s="37">
        <v>80</v>
      </c>
      <c r="J9" s="33">
        <f t="shared" si="0"/>
        <v>10400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42996</v>
      </c>
      <c r="D10" s="36" t="s">
        <v>19</v>
      </c>
      <c r="E10" s="36" t="s">
        <v>16</v>
      </c>
      <c r="F10" s="37">
        <v>10160</v>
      </c>
      <c r="G10" s="37">
        <v>10170</v>
      </c>
      <c r="H10" s="37">
        <v>10</v>
      </c>
      <c r="I10" s="37">
        <v>150</v>
      </c>
      <c r="J10" s="33">
        <f t="shared" si="0"/>
        <v>1500</v>
      </c>
      <c r="K10" s="23"/>
      <c r="V10" s="21">
        <f t="shared" si="1"/>
        <v>1</v>
      </c>
      <c r="W10" s="21">
        <f t="shared" si="2"/>
        <v>0</v>
      </c>
    </row>
    <row r="11" spans="1:23" ht="15" thickBot="1" x14ac:dyDescent="0.35">
      <c r="A11" s="22"/>
      <c r="B11" s="34">
        <f t="shared" si="3"/>
        <v>6</v>
      </c>
      <c r="C11" s="35">
        <v>42996</v>
      </c>
      <c r="D11" s="36" t="s">
        <v>19</v>
      </c>
      <c r="E11" s="36" t="s">
        <v>20</v>
      </c>
      <c r="F11" s="37">
        <v>25040</v>
      </c>
      <c r="G11" s="37">
        <v>25040</v>
      </c>
      <c r="H11" s="37">
        <v>0</v>
      </c>
      <c r="I11" s="37">
        <v>80</v>
      </c>
      <c r="J11" s="38">
        <f t="shared" ref="J11:J20" si="4">H11*I11</f>
        <v>0</v>
      </c>
      <c r="K11" s="23"/>
      <c r="V11" s="21">
        <f t="shared" si="1"/>
        <v>0</v>
      </c>
      <c r="W11" s="21">
        <f t="shared" si="2"/>
        <v>0</v>
      </c>
    </row>
    <row r="12" spans="1:23" ht="15" thickTop="1" x14ac:dyDescent="0.3">
      <c r="A12" s="22"/>
      <c r="B12" s="34">
        <f t="shared" si="3"/>
        <v>7</v>
      </c>
      <c r="C12" s="35">
        <v>42999</v>
      </c>
      <c r="D12" s="36" t="s">
        <v>19</v>
      </c>
      <c r="E12" s="36" t="s">
        <v>18</v>
      </c>
      <c r="F12" s="37">
        <v>1225</v>
      </c>
      <c r="G12" s="37">
        <v>1215</v>
      </c>
      <c r="H12" s="37">
        <v>-10</v>
      </c>
      <c r="I12" s="37">
        <v>1500</v>
      </c>
      <c r="J12" s="38">
        <f t="shared" si="4"/>
        <v>-15000</v>
      </c>
      <c r="K12" s="23"/>
      <c r="M12" s="69"/>
      <c r="N12" s="70"/>
      <c r="O12" s="70"/>
      <c r="P12" s="70"/>
      <c r="Q12" s="70"/>
      <c r="R12" s="71"/>
      <c r="V12" s="21">
        <f t="shared" si="1"/>
        <v>0</v>
      </c>
      <c r="W12" s="21">
        <f t="shared" si="2"/>
        <v>1</v>
      </c>
    </row>
    <row r="13" spans="1:23" x14ac:dyDescent="0.3">
      <c r="A13" s="22"/>
      <c r="B13" s="34">
        <f t="shared" si="3"/>
        <v>8</v>
      </c>
      <c r="C13" s="35">
        <v>42999</v>
      </c>
      <c r="D13" s="36" t="s">
        <v>19</v>
      </c>
      <c r="E13" s="36" t="s">
        <v>24</v>
      </c>
      <c r="F13" s="37">
        <v>412</v>
      </c>
      <c r="G13" s="79">
        <v>420</v>
      </c>
      <c r="H13" s="79">
        <v>8</v>
      </c>
      <c r="I13" s="37">
        <v>3000</v>
      </c>
      <c r="J13" s="38">
        <f t="shared" si="4"/>
        <v>24000</v>
      </c>
      <c r="K13" s="23"/>
      <c r="M13" s="72"/>
      <c r="R13" s="73"/>
      <c r="V13" s="21">
        <f t="shared" si="1"/>
        <v>1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>
        <v>43004</v>
      </c>
      <c r="D14" s="36" t="s">
        <v>12</v>
      </c>
      <c r="E14" s="36" t="s">
        <v>16</v>
      </c>
      <c r="F14" s="37">
        <v>9900</v>
      </c>
      <c r="G14" s="37">
        <v>9810</v>
      </c>
      <c r="H14" s="37">
        <v>90</v>
      </c>
      <c r="I14" s="37">
        <v>150</v>
      </c>
      <c r="J14" s="38">
        <f t="shared" si="4"/>
        <v>13500</v>
      </c>
      <c r="K14" s="23"/>
      <c r="M14" s="72"/>
      <c r="R14" s="73"/>
      <c r="V14" s="21">
        <f t="shared" si="1"/>
        <v>1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>
        <v>43004</v>
      </c>
      <c r="D15" s="36" t="s">
        <v>12</v>
      </c>
      <c r="E15" s="36" t="s">
        <v>20</v>
      </c>
      <c r="F15" s="37">
        <v>24270</v>
      </c>
      <c r="G15" s="37">
        <v>24000</v>
      </c>
      <c r="H15" s="37">
        <v>270</v>
      </c>
      <c r="I15" s="37">
        <v>80</v>
      </c>
      <c r="J15" s="38">
        <f t="shared" si="4"/>
        <v>21600</v>
      </c>
      <c r="K15" s="23"/>
      <c r="M15" s="72"/>
      <c r="R15" s="73"/>
      <c r="V15" s="21">
        <f>IF($J15&gt;0,1,0)</f>
        <v>1</v>
      </c>
      <c r="W15" s="21">
        <f>IF($J15&lt;0,1,0)</f>
        <v>0</v>
      </c>
    </row>
    <row r="16" spans="1:23" x14ac:dyDescent="0.3">
      <c r="A16" s="22"/>
      <c r="B16" s="34">
        <f t="shared" si="3"/>
        <v>11</v>
      </c>
      <c r="C16" s="35">
        <v>43004</v>
      </c>
      <c r="D16" s="36" t="s">
        <v>19</v>
      </c>
      <c r="E16" s="36" t="s">
        <v>92</v>
      </c>
      <c r="F16" s="37">
        <v>330</v>
      </c>
      <c r="G16" s="37">
        <v>333</v>
      </c>
      <c r="H16" s="37">
        <v>3</v>
      </c>
      <c r="I16" s="37">
        <v>2400</v>
      </c>
      <c r="J16" s="38">
        <f t="shared" si="4"/>
        <v>7200</v>
      </c>
      <c r="K16" s="23"/>
      <c r="M16" s="72"/>
      <c r="R16" s="73"/>
      <c r="V16" s="21">
        <f>IF($J16&gt;0,1,0)</f>
        <v>1</v>
      </c>
      <c r="W16" s="21">
        <f>IF($J16&lt;0,1,0)</f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37"/>
      <c r="G17" s="37"/>
      <c r="H17" s="37"/>
      <c r="I17" s="37"/>
      <c r="J17" s="38">
        <f t="shared" si="4"/>
        <v>0</v>
      </c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37"/>
      <c r="G18" s="37"/>
      <c r="H18" s="37"/>
      <c r="I18" s="37"/>
      <c r="J18" s="38">
        <f t="shared" si="4"/>
        <v>0</v>
      </c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37"/>
      <c r="G19" s="37"/>
      <c r="H19" s="37"/>
      <c r="I19" s="37"/>
      <c r="J19" s="38">
        <f t="shared" si="4"/>
        <v>0</v>
      </c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4"/>
        <v>0</v>
      </c>
      <c r="K20" s="23"/>
      <c r="M20" s="75"/>
      <c r="N20" s="76"/>
      <c r="O20" s="76"/>
      <c r="P20" s="76"/>
      <c r="Q20" s="76"/>
      <c r="R20" s="77"/>
      <c r="V20" s="21">
        <f>SUM(V6:V19)</f>
        <v>9</v>
      </c>
      <c r="W20" s="21">
        <f>SUM(W6:W19)</f>
        <v>1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80400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1400-000000000000}"/>
    <hyperlink ref="M1" location="'Home Page'!A1" display="Back" xr:uid="{00000000-0004-0000-1400-000001000000}"/>
  </hyperlinks>
  <pageMargins left="0" right="0" top="0" bottom="0" header="0" footer="0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22"/>
  <sheetViews>
    <sheetView zoomScale="97" zoomScaleNormal="97" workbookViewId="0">
      <selection activeCell="H11" sqref="H1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43009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5</v>
      </c>
      <c r="O4" s="147">
        <f>V20</f>
        <v>5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28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43013</v>
      </c>
      <c r="D6" s="31" t="s">
        <v>15</v>
      </c>
      <c r="E6" s="31" t="s">
        <v>21</v>
      </c>
      <c r="F6" s="32">
        <v>310</v>
      </c>
      <c r="G6" s="32">
        <v>316</v>
      </c>
      <c r="H6" s="32">
        <v>6</v>
      </c>
      <c r="I6" s="32">
        <v>6168</v>
      </c>
      <c r="J6" s="33">
        <f>I6*H6</f>
        <v>37008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ht="15" thickBot="1" x14ac:dyDescent="0.35">
      <c r="A7" s="22"/>
      <c r="B7" s="34">
        <f>B6+1</f>
        <v>2</v>
      </c>
      <c r="C7" s="35">
        <v>43014</v>
      </c>
      <c r="D7" s="36" t="s">
        <v>19</v>
      </c>
      <c r="E7" s="36" t="s">
        <v>21</v>
      </c>
      <c r="F7" s="37">
        <v>315</v>
      </c>
      <c r="G7" s="79">
        <v>317.5</v>
      </c>
      <c r="H7" s="37">
        <v>2.5</v>
      </c>
      <c r="I7" s="37">
        <v>6168</v>
      </c>
      <c r="J7" s="33">
        <f t="shared" ref="J7:J10" si="0">I7*H7</f>
        <v>15420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1</v>
      </c>
      <c r="W7" s="21">
        <f t="shared" ref="W7:W19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43014</v>
      </c>
      <c r="D8" s="36" t="s">
        <v>19</v>
      </c>
      <c r="E8" s="36" t="s">
        <v>16</v>
      </c>
      <c r="F8" s="37">
        <v>9990</v>
      </c>
      <c r="G8" s="37">
        <v>10030</v>
      </c>
      <c r="H8" s="37">
        <v>40</v>
      </c>
      <c r="I8" s="37">
        <v>150</v>
      </c>
      <c r="J8" s="33">
        <f t="shared" si="0"/>
        <v>6000</v>
      </c>
      <c r="K8" s="23"/>
      <c r="M8" s="123"/>
      <c r="N8" s="124"/>
      <c r="O8" s="125"/>
      <c r="P8" s="132"/>
      <c r="Q8" s="133"/>
      <c r="R8" s="134"/>
      <c r="V8" s="21">
        <f t="shared" si="1"/>
        <v>1</v>
      </c>
      <c r="W8" s="21">
        <f t="shared" si="2"/>
        <v>0</v>
      </c>
    </row>
    <row r="9" spans="1:23" ht="15" thickBot="1" x14ac:dyDescent="0.35">
      <c r="A9" s="22"/>
      <c r="B9" s="34">
        <f t="shared" si="3"/>
        <v>4</v>
      </c>
      <c r="C9" s="35">
        <v>43017</v>
      </c>
      <c r="D9" s="36" t="s">
        <v>19</v>
      </c>
      <c r="E9" s="36" t="s">
        <v>21</v>
      </c>
      <c r="F9" s="79">
        <v>314.5</v>
      </c>
      <c r="G9" s="79">
        <v>317.5</v>
      </c>
      <c r="H9" s="37">
        <f>G9-F9</f>
        <v>3</v>
      </c>
      <c r="I9" s="37">
        <v>6168</v>
      </c>
      <c r="J9" s="33">
        <f t="shared" si="0"/>
        <v>18504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43017</v>
      </c>
      <c r="D10" s="36" t="s">
        <v>19</v>
      </c>
      <c r="E10" s="36" t="s">
        <v>16</v>
      </c>
      <c r="F10" s="37">
        <v>10000</v>
      </c>
      <c r="G10" s="37">
        <v>10045</v>
      </c>
      <c r="H10" s="37">
        <f>G10-F10</f>
        <v>45</v>
      </c>
      <c r="I10" s="37">
        <v>150</v>
      </c>
      <c r="J10" s="33">
        <f t="shared" si="0"/>
        <v>6750</v>
      </c>
      <c r="K10" s="23"/>
      <c r="V10" s="21">
        <f t="shared" si="1"/>
        <v>1</v>
      </c>
      <c r="W10" s="21">
        <f t="shared" si="2"/>
        <v>0</v>
      </c>
    </row>
    <row r="11" spans="1:23" ht="15" thickBot="1" x14ac:dyDescent="0.35">
      <c r="A11" s="22"/>
      <c r="B11" s="34">
        <f t="shared" si="3"/>
        <v>6</v>
      </c>
      <c r="C11" s="35"/>
      <c r="D11" s="36"/>
      <c r="E11" s="36"/>
      <c r="F11" s="37"/>
      <c r="G11" s="37"/>
      <c r="H11" s="37"/>
      <c r="I11" s="37"/>
      <c r="J11" s="38">
        <f t="shared" ref="J11:J20" si="4">H11*I11</f>
        <v>0</v>
      </c>
      <c r="K11" s="23"/>
      <c r="V11" s="21">
        <f t="shared" si="1"/>
        <v>0</v>
      </c>
      <c r="W11" s="21">
        <f t="shared" si="2"/>
        <v>0</v>
      </c>
    </row>
    <row r="12" spans="1:23" ht="15" thickTop="1" x14ac:dyDescent="0.3">
      <c r="A12" s="22"/>
      <c r="B12" s="34">
        <f t="shared" si="3"/>
        <v>7</v>
      </c>
      <c r="C12" s="35"/>
      <c r="D12" s="36"/>
      <c r="E12" s="36"/>
      <c r="F12" s="37"/>
      <c r="G12" s="37"/>
      <c r="H12" s="37"/>
      <c r="I12" s="37"/>
      <c r="J12" s="38">
        <f t="shared" si="4"/>
        <v>0</v>
      </c>
      <c r="K12" s="23"/>
      <c r="M12" s="69"/>
      <c r="N12" s="70"/>
      <c r="O12" s="70"/>
      <c r="P12" s="70"/>
      <c r="Q12" s="70"/>
      <c r="R12" s="71"/>
      <c r="V12" s="21">
        <f t="shared" si="1"/>
        <v>0</v>
      </c>
      <c r="W12" s="21">
        <f t="shared" si="2"/>
        <v>0</v>
      </c>
    </row>
    <row r="13" spans="1:23" x14ac:dyDescent="0.3">
      <c r="A13" s="22"/>
      <c r="B13" s="34">
        <f t="shared" si="3"/>
        <v>8</v>
      </c>
      <c r="C13" s="35"/>
      <c r="D13" s="36"/>
      <c r="E13" s="36"/>
      <c r="F13" s="37"/>
      <c r="G13" s="79"/>
      <c r="H13" s="79"/>
      <c r="I13" s="37"/>
      <c r="J13" s="38">
        <f t="shared" si="4"/>
        <v>0</v>
      </c>
      <c r="K13" s="23"/>
      <c r="M13" s="72"/>
      <c r="R13" s="73"/>
      <c r="V13" s="21">
        <f t="shared" si="1"/>
        <v>0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/>
      <c r="D14" s="36"/>
      <c r="E14" s="36"/>
      <c r="F14" s="37"/>
      <c r="G14" s="37"/>
      <c r="H14" s="37"/>
      <c r="I14" s="37"/>
      <c r="J14" s="38">
        <f t="shared" si="4"/>
        <v>0</v>
      </c>
      <c r="K14" s="23"/>
      <c r="M14" s="72"/>
      <c r="R14" s="73"/>
      <c r="V14" s="21">
        <f t="shared" si="1"/>
        <v>0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/>
      <c r="D15" s="36"/>
      <c r="E15" s="36"/>
      <c r="F15" s="37"/>
      <c r="G15" s="37"/>
      <c r="H15" s="37"/>
      <c r="I15" s="37"/>
      <c r="J15" s="38">
        <f t="shared" si="4"/>
        <v>0</v>
      </c>
      <c r="K15" s="23"/>
      <c r="M15" s="72"/>
      <c r="R15" s="73"/>
      <c r="V15" s="21">
        <f>IF($J15&gt;0,1,0)</f>
        <v>0</v>
      </c>
      <c r="W15" s="21">
        <f>IF($J15&lt;0,1,0)</f>
        <v>0</v>
      </c>
    </row>
    <row r="16" spans="1:23" x14ac:dyDescent="0.3">
      <c r="A16" s="22"/>
      <c r="B16" s="34">
        <f t="shared" si="3"/>
        <v>11</v>
      </c>
      <c r="C16" s="35"/>
      <c r="D16" s="36"/>
      <c r="E16" s="36"/>
      <c r="F16" s="37"/>
      <c r="G16" s="37"/>
      <c r="H16" s="37"/>
      <c r="I16" s="37"/>
      <c r="J16" s="38">
        <f t="shared" si="4"/>
        <v>0</v>
      </c>
      <c r="K16" s="23"/>
      <c r="M16" s="72"/>
      <c r="R16" s="73"/>
      <c r="V16" s="21">
        <f>IF($J16&gt;0,1,0)</f>
        <v>0</v>
      </c>
      <c r="W16" s="21">
        <f>IF($J16&lt;0,1,0)</f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37"/>
      <c r="G17" s="37"/>
      <c r="H17" s="37"/>
      <c r="I17" s="37"/>
      <c r="J17" s="38">
        <f t="shared" si="4"/>
        <v>0</v>
      </c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37"/>
      <c r="G18" s="37"/>
      <c r="H18" s="37"/>
      <c r="I18" s="37"/>
      <c r="J18" s="38">
        <f t="shared" si="4"/>
        <v>0</v>
      </c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37"/>
      <c r="G19" s="37"/>
      <c r="H19" s="37"/>
      <c r="I19" s="37"/>
      <c r="J19" s="38">
        <f t="shared" si="4"/>
        <v>0</v>
      </c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4"/>
        <v>0</v>
      </c>
      <c r="K20" s="23"/>
      <c r="M20" s="75"/>
      <c r="N20" s="76"/>
      <c r="O20" s="76"/>
      <c r="P20" s="76"/>
      <c r="Q20" s="76"/>
      <c r="R20" s="77"/>
      <c r="V20" s="21">
        <f>SUM(V6:V19)</f>
        <v>5</v>
      </c>
      <c r="W20" s="21">
        <f>SUM(W6:W19)</f>
        <v>0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83682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1500-000000000000}"/>
    <hyperlink ref="M1" location="'Home Page'!A1" display="Back" xr:uid="{00000000-0004-0000-1500-000001000000}"/>
  </hyperlinks>
  <pageMargins left="0" right="0" top="0" bottom="0" header="0" footer="0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22"/>
  <sheetViews>
    <sheetView zoomScale="97" zoomScaleNormal="97" workbookViewId="0">
      <selection activeCell="H17" sqref="H17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43040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11</v>
      </c>
      <c r="O4" s="147">
        <f>V20</f>
        <v>10</v>
      </c>
      <c r="P4" s="147">
        <f>W20</f>
        <v>1</v>
      </c>
      <c r="Q4" s="149">
        <f>N4-O4-P4</f>
        <v>0</v>
      </c>
      <c r="R4" s="151">
        <f>O4/N4</f>
        <v>0.90909090909090906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28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43040</v>
      </c>
      <c r="D6" s="31" t="s">
        <v>15</v>
      </c>
      <c r="E6" s="31" t="s">
        <v>16</v>
      </c>
      <c r="F6" s="32">
        <v>10470</v>
      </c>
      <c r="G6" s="32">
        <v>10490</v>
      </c>
      <c r="H6" s="32">
        <v>20</v>
      </c>
      <c r="I6" s="32">
        <v>150</v>
      </c>
      <c r="J6" s="33">
        <f>I6*H6</f>
        <v>3000</v>
      </c>
      <c r="K6" s="23"/>
      <c r="M6" s="117" t="s">
        <v>67</v>
      </c>
      <c r="N6" s="118"/>
      <c r="O6" s="119"/>
      <c r="P6" s="126">
        <f>R4</f>
        <v>0.90909090909090906</v>
      </c>
      <c r="Q6" s="127"/>
      <c r="R6" s="128"/>
      <c r="V6" s="21">
        <f>IF($J6&gt;0,1,0)</f>
        <v>1</v>
      </c>
      <c r="W6" s="21">
        <f>IF($J6&lt;0,1,0)</f>
        <v>0</v>
      </c>
    </row>
    <row r="7" spans="1:23" ht="15" thickBot="1" x14ac:dyDescent="0.35">
      <c r="A7" s="22"/>
      <c r="B7" s="34">
        <f>B6+1</f>
        <v>2</v>
      </c>
      <c r="C7" s="35">
        <v>43040</v>
      </c>
      <c r="D7" s="36" t="s">
        <v>19</v>
      </c>
      <c r="E7" s="36" t="s">
        <v>20</v>
      </c>
      <c r="F7" s="37">
        <v>25500</v>
      </c>
      <c r="G7" s="79">
        <v>25600</v>
      </c>
      <c r="H7" s="37">
        <v>100</v>
      </c>
      <c r="I7" s="37">
        <v>80</v>
      </c>
      <c r="J7" s="33">
        <f t="shared" ref="J7:J11" si="0">I7*H7</f>
        <v>8000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1</v>
      </c>
      <c r="W7" s="21">
        <f t="shared" ref="W7:W19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43045</v>
      </c>
      <c r="D8" s="36" t="s">
        <v>12</v>
      </c>
      <c r="E8" s="36" t="s">
        <v>16</v>
      </c>
      <c r="F8" s="37">
        <v>10510</v>
      </c>
      <c r="G8" s="37">
        <v>10480</v>
      </c>
      <c r="H8" s="37">
        <v>30</v>
      </c>
      <c r="I8" s="37">
        <v>150</v>
      </c>
      <c r="J8" s="33">
        <f t="shared" si="0"/>
        <v>4500</v>
      </c>
      <c r="K8" s="23"/>
      <c r="M8" s="123"/>
      <c r="N8" s="124"/>
      <c r="O8" s="125"/>
      <c r="P8" s="132"/>
      <c r="Q8" s="133"/>
      <c r="R8" s="134"/>
      <c r="V8" s="21">
        <f t="shared" si="1"/>
        <v>1</v>
      </c>
      <c r="W8" s="21">
        <f t="shared" si="2"/>
        <v>0</v>
      </c>
    </row>
    <row r="9" spans="1:23" ht="15" thickBot="1" x14ac:dyDescent="0.35">
      <c r="A9" s="22"/>
      <c r="B9" s="34">
        <f t="shared" si="3"/>
        <v>4</v>
      </c>
      <c r="C9" s="35">
        <v>43045</v>
      </c>
      <c r="D9" s="36" t="s">
        <v>12</v>
      </c>
      <c r="E9" s="36" t="s">
        <v>21</v>
      </c>
      <c r="F9" s="79">
        <v>411</v>
      </c>
      <c r="G9" s="79">
        <v>405</v>
      </c>
      <c r="H9" s="37">
        <v>6</v>
      </c>
      <c r="I9" s="37">
        <v>6168</v>
      </c>
      <c r="J9" s="33">
        <f t="shared" si="0"/>
        <v>37008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43047</v>
      </c>
      <c r="D10" s="36" t="s">
        <v>19</v>
      </c>
      <c r="E10" s="36" t="s">
        <v>16</v>
      </c>
      <c r="F10" s="37">
        <v>10340</v>
      </c>
      <c r="G10" s="37">
        <v>10399</v>
      </c>
      <c r="H10" s="37">
        <v>59</v>
      </c>
      <c r="I10" s="37">
        <v>150</v>
      </c>
      <c r="J10" s="33">
        <f t="shared" si="0"/>
        <v>8850</v>
      </c>
      <c r="K10" s="23"/>
      <c r="V10" s="21">
        <f t="shared" si="1"/>
        <v>1</v>
      </c>
      <c r="W10" s="21">
        <f t="shared" si="2"/>
        <v>0</v>
      </c>
    </row>
    <row r="11" spans="1:23" ht="15" thickBot="1" x14ac:dyDescent="0.35">
      <c r="A11" s="22"/>
      <c r="B11" s="34">
        <f t="shared" si="3"/>
        <v>6</v>
      </c>
      <c r="C11" s="35">
        <v>43053</v>
      </c>
      <c r="D11" s="36" t="s">
        <v>19</v>
      </c>
      <c r="E11" s="36" t="s">
        <v>16</v>
      </c>
      <c r="F11" s="37">
        <v>10240</v>
      </c>
      <c r="G11" s="37">
        <v>10210</v>
      </c>
      <c r="H11" s="37">
        <v>-30</v>
      </c>
      <c r="I11" s="37">
        <v>150</v>
      </c>
      <c r="J11" s="38">
        <f t="shared" si="0"/>
        <v>-4500</v>
      </c>
      <c r="K11" s="23"/>
      <c r="V11" s="21">
        <f t="shared" si="1"/>
        <v>0</v>
      </c>
      <c r="W11" s="21">
        <f t="shared" si="2"/>
        <v>1</v>
      </c>
    </row>
    <row r="12" spans="1:23" ht="15" thickTop="1" x14ac:dyDescent="0.3">
      <c r="A12" s="22"/>
      <c r="B12" s="34">
        <f t="shared" si="3"/>
        <v>7</v>
      </c>
      <c r="C12" s="35">
        <v>43054</v>
      </c>
      <c r="D12" s="36" t="s">
        <v>19</v>
      </c>
      <c r="E12" s="36" t="s">
        <v>20</v>
      </c>
      <c r="F12" s="37">
        <v>25300</v>
      </c>
      <c r="G12" s="37">
        <v>25460</v>
      </c>
      <c r="H12" s="37">
        <v>160</v>
      </c>
      <c r="I12" s="37">
        <v>80</v>
      </c>
      <c r="J12" s="38">
        <f t="shared" ref="J12:J20" si="4">H12*I12</f>
        <v>12800</v>
      </c>
      <c r="K12" s="23"/>
      <c r="M12" s="69"/>
      <c r="N12" s="70"/>
      <c r="O12" s="70"/>
      <c r="P12" s="70"/>
      <c r="Q12" s="70"/>
      <c r="R12" s="71"/>
      <c r="V12" s="21">
        <f t="shared" si="1"/>
        <v>1</v>
      </c>
      <c r="W12" s="21">
        <f t="shared" si="2"/>
        <v>0</v>
      </c>
    </row>
    <row r="13" spans="1:23" x14ac:dyDescent="0.3">
      <c r="A13" s="22"/>
      <c r="B13" s="34">
        <f t="shared" si="3"/>
        <v>8</v>
      </c>
      <c r="C13" s="35">
        <v>43055</v>
      </c>
      <c r="D13" s="36" t="s">
        <v>19</v>
      </c>
      <c r="E13" s="36" t="s">
        <v>20</v>
      </c>
      <c r="F13" s="37">
        <v>25460</v>
      </c>
      <c r="G13" s="80">
        <v>25880</v>
      </c>
      <c r="H13" s="80">
        <f>G13-F13</f>
        <v>420</v>
      </c>
      <c r="I13" s="37">
        <v>80</v>
      </c>
      <c r="J13" s="38">
        <f t="shared" si="4"/>
        <v>33600</v>
      </c>
      <c r="K13" s="23"/>
      <c r="M13" s="72"/>
      <c r="R13" s="73"/>
      <c r="V13" s="21">
        <f t="shared" si="1"/>
        <v>1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>
        <v>43055</v>
      </c>
      <c r="D14" s="36" t="s">
        <v>19</v>
      </c>
      <c r="E14" s="36" t="s">
        <v>13</v>
      </c>
      <c r="F14" s="37">
        <v>335</v>
      </c>
      <c r="G14" s="37">
        <v>345</v>
      </c>
      <c r="H14" s="37">
        <v>10</v>
      </c>
      <c r="I14" s="37">
        <v>6000</v>
      </c>
      <c r="J14" s="38">
        <f t="shared" si="4"/>
        <v>60000</v>
      </c>
      <c r="K14" s="23"/>
      <c r="M14" s="72"/>
      <c r="R14" s="73"/>
      <c r="V14" s="21">
        <f t="shared" si="1"/>
        <v>1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>
        <v>43062</v>
      </c>
      <c r="D15" s="36" t="s">
        <v>19</v>
      </c>
      <c r="E15" s="36" t="s">
        <v>20</v>
      </c>
      <c r="F15" s="37">
        <v>25750</v>
      </c>
      <c r="G15" s="37">
        <v>25850</v>
      </c>
      <c r="H15" s="37">
        <v>100</v>
      </c>
      <c r="I15" s="37">
        <v>80</v>
      </c>
      <c r="J15" s="38">
        <f t="shared" si="4"/>
        <v>8000</v>
      </c>
      <c r="K15" s="23"/>
      <c r="M15" s="72"/>
      <c r="R15" s="73"/>
      <c r="V15" s="21">
        <f>IF($J15&gt;0,1,0)</f>
        <v>1</v>
      </c>
      <c r="W15" s="21">
        <f>IF($J15&lt;0,1,0)</f>
        <v>0</v>
      </c>
    </row>
    <row r="16" spans="1:23" x14ac:dyDescent="0.3">
      <c r="A16" s="22"/>
      <c r="B16" s="34">
        <f t="shared" si="3"/>
        <v>11</v>
      </c>
      <c r="C16" s="35">
        <v>43066</v>
      </c>
      <c r="D16" s="36" t="s">
        <v>19</v>
      </c>
      <c r="E16" s="36" t="s">
        <v>20</v>
      </c>
      <c r="F16" s="37">
        <v>25910</v>
      </c>
      <c r="G16" s="37">
        <v>25970</v>
      </c>
      <c r="H16" s="37">
        <v>60</v>
      </c>
      <c r="I16" s="37">
        <v>80</v>
      </c>
      <c r="J16" s="38">
        <f t="shared" si="4"/>
        <v>4800</v>
      </c>
      <c r="K16" s="23"/>
      <c r="M16" s="72"/>
      <c r="R16" s="73"/>
      <c r="V16" s="21">
        <f>IF($J16&gt;0,1,0)</f>
        <v>1</v>
      </c>
      <c r="W16" s="21">
        <f>IF($J16&lt;0,1,0)</f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37"/>
      <c r="G17" s="37"/>
      <c r="H17" s="37"/>
      <c r="I17" s="37"/>
      <c r="J17" s="38">
        <f t="shared" si="4"/>
        <v>0</v>
      </c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37"/>
      <c r="G18" s="37"/>
      <c r="H18" s="37"/>
      <c r="I18" s="37"/>
      <c r="J18" s="38">
        <f t="shared" si="4"/>
        <v>0</v>
      </c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37"/>
      <c r="G19" s="37"/>
      <c r="H19" s="37"/>
      <c r="I19" s="37"/>
      <c r="J19" s="38">
        <f t="shared" si="4"/>
        <v>0</v>
      </c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4"/>
        <v>0</v>
      </c>
      <c r="K20" s="23"/>
      <c r="M20" s="75"/>
      <c r="N20" s="76"/>
      <c r="O20" s="76"/>
      <c r="P20" s="76"/>
      <c r="Q20" s="76"/>
      <c r="R20" s="77"/>
      <c r="V20" s="21">
        <f>SUM(V6:V19)</f>
        <v>10</v>
      </c>
      <c r="W20" s="21">
        <f>SUM(W6:W19)</f>
        <v>1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176058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1600-000000000000}"/>
    <hyperlink ref="M1" location="'Home Page'!A1" display="Back" xr:uid="{00000000-0004-0000-1600-000001000000}"/>
  </hyperlinks>
  <pageMargins left="0" right="0" top="0" bottom="0" header="0" footer="0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2"/>
  <sheetViews>
    <sheetView zoomScale="97" zoomScaleNormal="97" workbookViewId="0">
      <selection activeCell="P1" sqref="P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43070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10</v>
      </c>
      <c r="O4" s="147">
        <f>V20</f>
        <v>7</v>
      </c>
      <c r="P4" s="147">
        <f>W20</f>
        <v>3</v>
      </c>
      <c r="Q4" s="149">
        <f>N4-O4-P4</f>
        <v>0</v>
      </c>
      <c r="R4" s="151">
        <f>O4/N4</f>
        <v>0.7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28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43074</v>
      </c>
      <c r="D6" s="31" t="s">
        <v>15</v>
      </c>
      <c r="E6" s="31" t="s">
        <v>20</v>
      </c>
      <c r="F6" s="32">
        <v>25200</v>
      </c>
      <c r="G6" s="32">
        <v>25100</v>
      </c>
      <c r="H6" s="32">
        <v>-100</v>
      </c>
      <c r="I6" s="32">
        <v>80</v>
      </c>
      <c r="J6" s="33">
        <f>I6*H6</f>
        <v>-8000</v>
      </c>
      <c r="K6" s="23"/>
      <c r="M6" s="117" t="s">
        <v>67</v>
      </c>
      <c r="N6" s="118"/>
      <c r="O6" s="119"/>
      <c r="P6" s="126">
        <f>R4</f>
        <v>0.7</v>
      </c>
      <c r="Q6" s="127"/>
      <c r="R6" s="128"/>
      <c r="V6" s="21">
        <f>IF($J6&gt;0,1,0)</f>
        <v>0</v>
      </c>
      <c r="W6" s="21">
        <f>IF($J6&lt;0,1,0)</f>
        <v>1</v>
      </c>
    </row>
    <row r="7" spans="1:23" ht="15" thickBot="1" x14ac:dyDescent="0.35">
      <c r="A7" s="22"/>
      <c r="B7" s="34">
        <f>B6+1</f>
        <v>2</v>
      </c>
      <c r="C7" s="35">
        <v>43080</v>
      </c>
      <c r="D7" s="36" t="s">
        <v>19</v>
      </c>
      <c r="E7" s="36" t="s">
        <v>56</v>
      </c>
      <c r="F7" s="37">
        <v>920</v>
      </c>
      <c r="G7" s="79">
        <v>930</v>
      </c>
      <c r="H7" s="37">
        <v>10</v>
      </c>
      <c r="I7" s="37">
        <v>2000</v>
      </c>
      <c r="J7" s="33">
        <f t="shared" ref="J7:J15" si="0">I7*H7</f>
        <v>20000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1</v>
      </c>
      <c r="W7" s="21">
        <f t="shared" ref="W7:W19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43080</v>
      </c>
      <c r="D8" s="36" t="s">
        <v>19</v>
      </c>
      <c r="E8" s="36" t="s">
        <v>28</v>
      </c>
      <c r="F8" s="37">
        <v>312</v>
      </c>
      <c r="G8" s="37">
        <v>309</v>
      </c>
      <c r="H8" s="37">
        <v>-3</v>
      </c>
      <c r="I8" s="37">
        <v>5000</v>
      </c>
      <c r="J8" s="33">
        <f t="shared" si="0"/>
        <v>-15000</v>
      </c>
      <c r="K8" s="23"/>
      <c r="M8" s="123"/>
      <c r="N8" s="124"/>
      <c r="O8" s="125"/>
      <c r="P8" s="132"/>
      <c r="Q8" s="133"/>
      <c r="R8" s="134"/>
      <c r="V8" s="21">
        <f t="shared" si="1"/>
        <v>0</v>
      </c>
      <c r="W8" s="21">
        <f t="shared" si="2"/>
        <v>1</v>
      </c>
    </row>
    <row r="9" spans="1:23" ht="15" thickBot="1" x14ac:dyDescent="0.35">
      <c r="A9" s="22"/>
      <c r="B9" s="34">
        <f t="shared" si="3"/>
        <v>4</v>
      </c>
      <c r="C9" s="35">
        <v>43083</v>
      </c>
      <c r="D9" s="36" t="s">
        <v>19</v>
      </c>
      <c r="E9" s="36" t="s">
        <v>20</v>
      </c>
      <c r="F9" s="80">
        <v>25200</v>
      </c>
      <c r="G9" s="80">
        <v>25500</v>
      </c>
      <c r="H9" s="80">
        <v>300</v>
      </c>
      <c r="I9" s="80">
        <v>80</v>
      </c>
      <c r="J9" s="33">
        <f t="shared" si="0"/>
        <v>24000</v>
      </c>
      <c r="K9" s="23"/>
      <c r="V9" s="21">
        <f t="shared" si="1"/>
        <v>1</v>
      </c>
      <c r="W9" s="21">
        <f t="shared" si="2"/>
        <v>0</v>
      </c>
    </row>
    <row r="10" spans="1:23" ht="15" thickBot="1" x14ac:dyDescent="0.35">
      <c r="A10" s="22"/>
      <c r="B10" s="34">
        <f t="shared" si="3"/>
        <v>5</v>
      </c>
      <c r="C10" s="35">
        <v>43088</v>
      </c>
      <c r="D10" s="36" t="s">
        <v>19</v>
      </c>
      <c r="E10" s="36" t="s">
        <v>21</v>
      </c>
      <c r="F10" s="80">
        <v>370</v>
      </c>
      <c r="G10" s="80">
        <v>367</v>
      </c>
      <c r="H10" s="80">
        <v>-3</v>
      </c>
      <c r="I10" s="80">
        <v>6168</v>
      </c>
      <c r="J10" s="33">
        <f t="shared" si="0"/>
        <v>-18504</v>
      </c>
      <c r="K10" s="23"/>
      <c r="V10" s="21">
        <f t="shared" si="1"/>
        <v>0</v>
      </c>
      <c r="W10" s="21">
        <f t="shared" si="2"/>
        <v>1</v>
      </c>
    </row>
    <row r="11" spans="1:23" ht="15" thickBot="1" x14ac:dyDescent="0.35">
      <c r="A11" s="22"/>
      <c r="B11" s="34">
        <f t="shared" si="3"/>
        <v>6</v>
      </c>
      <c r="C11" s="35">
        <v>43089</v>
      </c>
      <c r="D11" s="36" t="s">
        <v>12</v>
      </c>
      <c r="E11" s="36" t="s">
        <v>16</v>
      </c>
      <c r="F11" s="80">
        <v>10490</v>
      </c>
      <c r="G11" s="80">
        <v>10450</v>
      </c>
      <c r="H11" s="80">
        <v>40</v>
      </c>
      <c r="I11" s="80">
        <v>150</v>
      </c>
      <c r="J11" s="33">
        <f t="shared" si="0"/>
        <v>6000</v>
      </c>
      <c r="K11" s="23"/>
      <c r="V11" s="21">
        <f t="shared" si="1"/>
        <v>1</v>
      </c>
      <c r="W11" s="21">
        <f t="shared" si="2"/>
        <v>0</v>
      </c>
    </row>
    <row r="12" spans="1:23" ht="15.6" thickTop="1" thickBot="1" x14ac:dyDescent="0.35">
      <c r="A12" s="22"/>
      <c r="B12" s="34">
        <f t="shared" si="3"/>
        <v>7</v>
      </c>
      <c r="C12" s="35">
        <v>43089</v>
      </c>
      <c r="D12" s="36" t="s">
        <v>12</v>
      </c>
      <c r="E12" s="36" t="s">
        <v>20</v>
      </c>
      <c r="F12" s="80">
        <v>25750</v>
      </c>
      <c r="G12" s="80">
        <v>25600</v>
      </c>
      <c r="H12" s="80">
        <v>150</v>
      </c>
      <c r="I12" s="80">
        <v>80</v>
      </c>
      <c r="J12" s="33">
        <f t="shared" si="0"/>
        <v>12000</v>
      </c>
      <c r="K12" s="23"/>
      <c r="M12" s="69"/>
      <c r="N12" s="70"/>
      <c r="O12" s="70"/>
      <c r="P12" s="70"/>
      <c r="Q12" s="70"/>
      <c r="R12" s="71"/>
      <c r="V12" s="21">
        <f t="shared" si="1"/>
        <v>1</v>
      </c>
      <c r="W12" s="21">
        <f t="shared" si="2"/>
        <v>0</v>
      </c>
    </row>
    <row r="13" spans="1:23" ht="15" thickBot="1" x14ac:dyDescent="0.35">
      <c r="A13" s="22"/>
      <c r="B13" s="34">
        <f t="shared" si="3"/>
        <v>8</v>
      </c>
      <c r="C13" s="35">
        <v>43065</v>
      </c>
      <c r="D13" s="36" t="s">
        <v>19</v>
      </c>
      <c r="E13" s="36" t="s">
        <v>96</v>
      </c>
      <c r="F13" s="80">
        <v>1175</v>
      </c>
      <c r="G13" s="80">
        <v>1200</v>
      </c>
      <c r="H13" s="80">
        <v>25</v>
      </c>
      <c r="I13" s="80">
        <v>1000</v>
      </c>
      <c r="J13" s="33">
        <f t="shared" si="0"/>
        <v>25000</v>
      </c>
      <c r="K13" s="23"/>
      <c r="M13" s="72"/>
      <c r="R13" s="73"/>
      <c r="V13" s="21">
        <f t="shared" si="1"/>
        <v>1</v>
      </c>
      <c r="W13" s="21">
        <f t="shared" si="2"/>
        <v>0</v>
      </c>
    </row>
    <row r="14" spans="1:23" ht="15" thickBot="1" x14ac:dyDescent="0.35">
      <c r="A14" s="22"/>
      <c r="B14" s="34">
        <f t="shared" si="3"/>
        <v>9</v>
      </c>
      <c r="C14" s="35">
        <v>43095</v>
      </c>
      <c r="D14" s="36" t="s">
        <v>19</v>
      </c>
      <c r="E14" s="36" t="s">
        <v>16</v>
      </c>
      <c r="F14" s="80">
        <v>10510</v>
      </c>
      <c r="G14" s="80">
        <v>10550</v>
      </c>
      <c r="H14" s="80">
        <v>40</v>
      </c>
      <c r="I14" s="80">
        <v>150</v>
      </c>
      <c r="J14" s="33">
        <f t="shared" si="0"/>
        <v>6000</v>
      </c>
      <c r="K14" s="23"/>
      <c r="M14" s="72"/>
      <c r="R14" s="73"/>
      <c r="V14" s="21">
        <f t="shared" si="1"/>
        <v>1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>
        <v>43096</v>
      </c>
      <c r="D15" s="36" t="s">
        <v>12</v>
      </c>
      <c r="E15" s="36" t="s">
        <v>16</v>
      </c>
      <c r="F15" s="80">
        <v>10550</v>
      </c>
      <c r="G15" s="80">
        <v>10500</v>
      </c>
      <c r="H15" s="80">
        <v>50</v>
      </c>
      <c r="I15" s="80">
        <v>150</v>
      </c>
      <c r="J15" s="33">
        <f t="shared" si="0"/>
        <v>7500</v>
      </c>
      <c r="K15" s="23"/>
      <c r="M15" s="72"/>
      <c r="R15" s="73"/>
      <c r="V15" s="21">
        <f>IF($J15&gt;0,1,0)</f>
        <v>1</v>
      </c>
      <c r="W15" s="21">
        <f>IF($J15&lt;0,1,0)</f>
        <v>0</v>
      </c>
    </row>
    <row r="16" spans="1:23" x14ac:dyDescent="0.3">
      <c r="A16" s="22"/>
      <c r="B16" s="34">
        <f t="shared" si="3"/>
        <v>11</v>
      </c>
      <c r="C16" s="35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>IF($J16&gt;0,1,0)</f>
        <v>0</v>
      </c>
      <c r="W16" s="21">
        <f>IF($J16&lt;0,1,0)</f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80"/>
      <c r="G17" s="80"/>
      <c r="H17" s="80"/>
      <c r="I17" s="80"/>
      <c r="J17" s="38">
        <f t="shared" ref="J17:J20" si="4">H17*I17</f>
        <v>0</v>
      </c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80"/>
      <c r="G18" s="80"/>
      <c r="H18" s="80"/>
      <c r="I18" s="80"/>
      <c r="J18" s="38">
        <f t="shared" si="4"/>
        <v>0</v>
      </c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80"/>
      <c r="G19" s="80"/>
      <c r="H19" s="80"/>
      <c r="I19" s="80"/>
      <c r="J19" s="38">
        <f t="shared" si="4"/>
        <v>0</v>
      </c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4"/>
        <v>0</v>
      </c>
      <c r="K20" s="23"/>
      <c r="M20" s="75"/>
      <c r="N20" s="76"/>
      <c r="O20" s="76"/>
      <c r="P20" s="76"/>
      <c r="Q20" s="76"/>
      <c r="R20" s="77"/>
      <c r="V20" s="21">
        <f>SUM(V6:V19)</f>
        <v>7</v>
      </c>
      <c r="W20" s="21">
        <f>SUM(W6:W19)</f>
        <v>3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58996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1700-000000000000}"/>
    <hyperlink ref="M1" location="'Home Page'!A1" display="Back" xr:uid="{00000000-0004-0000-1700-000001000000}"/>
  </hyperlinks>
  <pageMargins left="0" right="0" top="0" bottom="0" header="0" footer="0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22"/>
  <sheetViews>
    <sheetView zoomScale="97" zoomScaleNormal="97" workbookViewId="0">
      <selection activeCell="J17" sqref="J17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43101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11</v>
      </c>
      <c r="O4" s="147">
        <f>V20</f>
        <v>11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29">
        <v>1</v>
      </c>
      <c r="C6" s="30">
        <v>43104</v>
      </c>
      <c r="D6" s="31" t="s">
        <v>15</v>
      </c>
      <c r="E6" s="31" t="s">
        <v>18</v>
      </c>
      <c r="F6" s="32">
        <v>1315</v>
      </c>
      <c r="G6" s="32">
        <v>1325</v>
      </c>
      <c r="H6" s="32">
        <v>10</v>
      </c>
      <c r="I6" s="32">
        <v>1500</v>
      </c>
      <c r="J6" s="37">
        <f>I6*H6</f>
        <v>15000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34">
        <f>B6+1</f>
        <v>2</v>
      </c>
      <c r="C7" s="35">
        <v>43108</v>
      </c>
      <c r="D7" s="36" t="s">
        <v>19</v>
      </c>
      <c r="E7" s="36" t="s">
        <v>16</v>
      </c>
      <c r="F7" s="37">
        <v>10620</v>
      </c>
      <c r="G7" s="79">
        <v>10655</v>
      </c>
      <c r="H7" s="37">
        <v>35</v>
      </c>
      <c r="I7" s="37">
        <v>150</v>
      </c>
      <c r="J7" s="37">
        <f t="shared" ref="J7:J10" si="0">I7*H7</f>
        <v>5250</v>
      </c>
      <c r="K7" s="23"/>
      <c r="M7" s="120"/>
      <c r="N7" s="121"/>
      <c r="O7" s="122"/>
      <c r="P7" s="129"/>
      <c r="Q7" s="130"/>
      <c r="R7" s="131"/>
      <c r="V7" s="21">
        <f t="shared" ref="V7" si="1">IF($J7&gt;0,1,0)</f>
        <v>1</v>
      </c>
      <c r="W7" s="21">
        <f t="shared" ref="W7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43111</v>
      </c>
      <c r="D8" s="36" t="s">
        <v>19</v>
      </c>
      <c r="E8" s="36" t="s">
        <v>56</v>
      </c>
      <c r="F8" s="37">
        <v>938</v>
      </c>
      <c r="G8" s="37">
        <v>952</v>
      </c>
      <c r="H8" s="37">
        <v>14</v>
      </c>
      <c r="I8" s="37">
        <v>2000</v>
      </c>
      <c r="J8" s="37">
        <f t="shared" si="0"/>
        <v>28000</v>
      </c>
      <c r="K8" s="23"/>
      <c r="M8" s="123"/>
      <c r="N8" s="124"/>
      <c r="O8" s="125"/>
      <c r="P8" s="132"/>
      <c r="Q8" s="133"/>
      <c r="R8" s="134"/>
      <c r="V8" s="21">
        <f t="shared" ref="V8:V19" si="4">IF($J8&gt;0,1,0)</f>
        <v>1</v>
      </c>
      <c r="W8" s="21">
        <f t="shared" ref="W8:W19" si="5">IF($J8&lt;0,1,0)</f>
        <v>0</v>
      </c>
    </row>
    <row r="9" spans="1:23" x14ac:dyDescent="0.3">
      <c r="A9" s="22"/>
      <c r="B9" s="34">
        <f>B8+1</f>
        <v>4</v>
      </c>
      <c r="C9" s="35">
        <v>43117</v>
      </c>
      <c r="D9" s="36" t="s">
        <v>19</v>
      </c>
      <c r="E9" s="36" t="s">
        <v>16</v>
      </c>
      <c r="F9" s="80">
        <v>10750</v>
      </c>
      <c r="G9" s="80">
        <v>10860</v>
      </c>
      <c r="H9" s="80">
        <v>110</v>
      </c>
      <c r="I9" s="80">
        <v>150</v>
      </c>
      <c r="J9" s="37">
        <f>I9*H9</f>
        <v>16500</v>
      </c>
      <c r="K9" s="23"/>
      <c r="V9" s="21">
        <f t="shared" si="4"/>
        <v>1</v>
      </c>
      <c r="W9" s="21">
        <f t="shared" si="5"/>
        <v>0</v>
      </c>
    </row>
    <row r="10" spans="1:23" x14ac:dyDescent="0.3">
      <c r="A10" s="22"/>
      <c r="B10" s="34">
        <f t="shared" si="3"/>
        <v>5</v>
      </c>
      <c r="C10" s="35">
        <v>43117</v>
      </c>
      <c r="D10" s="36" t="s">
        <v>19</v>
      </c>
      <c r="E10" s="36" t="s">
        <v>20</v>
      </c>
      <c r="F10" s="80">
        <v>26230</v>
      </c>
      <c r="G10" s="80">
        <v>26600</v>
      </c>
      <c r="H10" s="80">
        <v>370</v>
      </c>
      <c r="I10" s="80">
        <v>80</v>
      </c>
      <c r="J10" s="37">
        <f t="shared" si="0"/>
        <v>29600</v>
      </c>
      <c r="K10" s="23"/>
      <c r="V10" s="21">
        <f t="shared" si="4"/>
        <v>1</v>
      </c>
      <c r="W10" s="21">
        <f t="shared" si="5"/>
        <v>0</v>
      </c>
    </row>
    <row r="11" spans="1:23" ht="15" thickBot="1" x14ac:dyDescent="0.35">
      <c r="A11" s="22"/>
      <c r="B11" s="34">
        <f t="shared" si="3"/>
        <v>6</v>
      </c>
      <c r="C11" s="35">
        <v>43118</v>
      </c>
      <c r="D11" s="36" t="s">
        <v>19</v>
      </c>
      <c r="E11" s="36" t="s">
        <v>16</v>
      </c>
      <c r="F11" s="80">
        <v>10790</v>
      </c>
      <c r="G11" s="80">
        <v>10850</v>
      </c>
      <c r="H11" s="80">
        <v>60</v>
      </c>
      <c r="I11" s="80">
        <v>150</v>
      </c>
      <c r="J11" s="37">
        <f t="shared" ref="J11:J14" si="6">I11*H11</f>
        <v>9000</v>
      </c>
      <c r="K11" s="23"/>
      <c r="V11" s="21">
        <f t="shared" si="4"/>
        <v>1</v>
      </c>
      <c r="W11" s="21">
        <f t="shared" si="5"/>
        <v>0</v>
      </c>
    </row>
    <row r="12" spans="1:23" ht="15" thickTop="1" x14ac:dyDescent="0.3">
      <c r="A12" s="22"/>
      <c r="B12" s="34">
        <f t="shared" si="3"/>
        <v>7</v>
      </c>
      <c r="C12" s="35">
        <v>43118</v>
      </c>
      <c r="D12" s="36" t="s">
        <v>19</v>
      </c>
      <c r="E12" s="36" t="s">
        <v>20</v>
      </c>
      <c r="F12" s="80">
        <v>26480</v>
      </c>
      <c r="G12" s="80">
        <v>26750</v>
      </c>
      <c r="H12" s="80">
        <v>270</v>
      </c>
      <c r="I12" s="80">
        <v>80</v>
      </c>
      <c r="J12" s="37">
        <f t="shared" si="6"/>
        <v>21600</v>
      </c>
      <c r="K12" s="23"/>
      <c r="M12" s="69"/>
      <c r="N12" s="70"/>
      <c r="O12" s="70"/>
      <c r="P12" s="70"/>
      <c r="Q12" s="70"/>
      <c r="R12" s="71"/>
      <c r="V12" s="21">
        <f t="shared" si="4"/>
        <v>1</v>
      </c>
      <c r="W12" s="21">
        <f t="shared" si="5"/>
        <v>0</v>
      </c>
    </row>
    <row r="13" spans="1:23" x14ac:dyDescent="0.3">
      <c r="A13" s="22"/>
      <c r="B13" s="34">
        <f t="shared" si="3"/>
        <v>8</v>
      </c>
      <c r="C13" s="35">
        <v>43122</v>
      </c>
      <c r="D13" s="36" t="s">
        <v>19</v>
      </c>
      <c r="E13" s="36" t="s">
        <v>16</v>
      </c>
      <c r="F13" s="80">
        <v>10920</v>
      </c>
      <c r="G13" s="80">
        <v>11000</v>
      </c>
      <c r="H13" s="80">
        <v>80</v>
      </c>
      <c r="I13" s="80">
        <v>150</v>
      </c>
      <c r="J13" s="37">
        <f t="shared" si="6"/>
        <v>12000</v>
      </c>
      <c r="K13" s="23"/>
      <c r="M13" s="72"/>
      <c r="R13" s="73"/>
      <c r="V13" s="21">
        <f t="shared" si="4"/>
        <v>1</v>
      </c>
      <c r="W13" s="21">
        <f t="shared" si="5"/>
        <v>0</v>
      </c>
    </row>
    <row r="14" spans="1:23" x14ac:dyDescent="0.3">
      <c r="A14" s="22"/>
      <c r="B14" s="34">
        <f t="shared" si="3"/>
        <v>9</v>
      </c>
      <c r="C14" s="35">
        <v>43487</v>
      </c>
      <c r="D14" s="36" t="s">
        <v>19</v>
      </c>
      <c r="E14" s="36" t="s">
        <v>20</v>
      </c>
      <c r="F14" s="80">
        <v>26900</v>
      </c>
      <c r="G14" s="80">
        <v>27150</v>
      </c>
      <c r="H14" s="80">
        <v>250</v>
      </c>
      <c r="I14" s="80">
        <v>80</v>
      </c>
      <c r="J14" s="37">
        <f t="shared" si="6"/>
        <v>20000</v>
      </c>
      <c r="K14" s="23"/>
      <c r="M14" s="72"/>
      <c r="R14" s="73"/>
      <c r="V14" s="21">
        <f t="shared" si="4"/>
        <v>1</v>
      </c>
      <c r="W14" s="21">
        <f t="shared" si="5"/>
        <v>0</v>
      </c>
    </row>
    <row r="15" spans="1:23" x14ac:dyDescent="0.3">
      <c r="A15" s="22"/>
      <c r="B15" s="34">
        <f t="shared" si="3"/>
        <v>10</v>
      </c>
      <c r="C15" s="35">
        <v>43130</v>
      </c>
      <c r="D15" s="36" t="s">
        <v>12</v>
      </c>
      <c r="E15" s="36" t="s">
        <v>16</v>
      </c>
      <c r="F15" s="80">
        <v>11080</v>
      </c>
      <c r="G15" s="80">
        <v>11015</v>
      </c>
      <c r="H15" s="80">
        <v>65</v>
      </c>
      <c r="I15" s="80">
        <v>150</v>
      </c>
      <c r="J15" s="38">
        <f t="shared" ref="J15:J16" si="7">H15*I15</f>
        <v>9750</v>
      </c>
      <c r="K15" s="23"/>
      <c r="M15" s="72"/>
      <c r="R15" s="73"/>
      <c r="V15" s="21">
        <f t="shared" si="4"/>
        <v>1</v>
      </c>
      <c r="W15" s="21">
        <f t="shared" si="5"/>
        <v>0</v>
      </c>
    </row>
    <row r="16" spans="1:23" x14ac:dyDescent="0.3">
      <c r="A16" s="22"/>
      <c r="B16" s="34">
        <f t="shared" si="3"/>
        <v>11</v>
      </c>
      <c r="C16" s="35">
        <v>43130</v>
      </c>
      <c r="D16" s="36" t="s">
        <v>12</v>
      </c>
      <c r="E16" s="36" t="s">
        <v>20</v>
      </c>
      <c r="F16" s="80">
        <v>27400</v>
      </c>
      <c r="G16" s="80">
        <v>27250</v>
      </c>
      <c r="H16" s="80">
        <v>150</v>
      </c>
      <c r="I16" s="80">
        <v>80</v>
      </c>
      <c r="J16" s="38">
        <f t="shared" si="7"/>
        <v>12000</v>
      </c>
      <c r="K16" s="23"/>
      <c r="M16" s="72"/>
      <c r="R16" s="73"/>
      <c r="V16" s="21">
        <f t="shared" si="4"/>
        <v>1</v>
      </c>
      <c r="W16" s="21">
        <f t="shared" si="5"/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4"/>
        <v>0</v>
      </c>
      <c r="W17" s="21">
        <f t="shared" si="5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4"/>
        <v>0</v>
      </c>
      <c r="W18" s="21">
        <f t="shared" si="5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80"/>
      <c r="G19" s="80"/>
      <c r="H19" s="80"/>
      <c r="I19" s="80"/>
      <c r="J19" s="38">
        <f t="shared" ref="J19:J20" si="8">H19*I19</f>
        <v>0</v>
      </c>
      <c r="K19" s="23"/>
      <c r="M19" s="72"/>
      <c r="O19" s="39"/>
      <c r="P19" s="39"/>
      <c r="Q19" s="39"/>
      <c r="R19" s="74"/>
      <c r="V19" s="21">
        <f t="shared" si="4"/>
        <v>0</v>
      </c>
      <c r="W19" s="21">
        <f t="shared" si="5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8"/>
        <v>0</v>
      </c>
      <c r="K20" s="23"/>
      <c r="M20" s="75"/>
      <c r="N20" s="76"/>
      <c r="O20" s="76"/>
      <c r="P20" s="76"/>
      <c r="Q20" s="76"/>
      <c r="R20" s="77"/>
      <c r="V20" s="21">
        <f>SUM(V6:V19)</f>
        <v>11</v>
      </c>
      <c r="W20" s="21">
        <f>SUM(W6:W19)</f>
        <v>0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178700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1800-000000000000}"/>
    <hyperlink ref="M1" location="'Home Page'!A1" display="Back" xr:uid="{00000000-0004-0000-1800-000001000000}"/>
  </hyperlinks>
  <pageMargins left="0" right="0" top="0" bottom="0" header="0" footer="0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22"/>
  <sheetViews>
    <sheetView zoomScale="97" zoomScaleNormal="97" workbookViewId="0">
      <selection activeCell="I15" sqref="I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43132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7</v>
      </c>
      <c r="P4" s="147">
        <f>W20</f>
        <v>2</v>
      </c>
      <c r="Q4" s="149">
        <f>N4-O4-P4</f>
        <v>0</v>
      </c>
      <c r="R4" s="151">
        <f>O4/N4</f>
        <v>0.77777777777777779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43136</v>
      </c>
      <c r="D6" s="31" t="s">
        <v>12</v>
      </c>
      <c r="E6" s="31" t="s">
        <v>20</v>
      </c>
      <c r="F6" s="32">
        <v>26160</v>
      </c>
      <c r="G6" s="32">
        <v>25300</v>
      </c>
      <c r="H6" s="32">
        <f>F6-G6</f>
        <v>860</v>
      </c>
      <c r="I6" s="32">
        <v>80</v>
      </c>
      <c r="J6" s="37">
        <f>H6*I6</f>
        <v>68800</v>
      </c>
      <c r="K6" s="23"/>
      <c r="M6" s="117" t="s">
        <v>67</v>
      </c>
      <c r="N6" s="118"/>
      <c r="O6" s="119"/>
      <c r="P6" s="126">
        <f>R4</f>
        <v>0.77777777777777779</v>
      </c>
      <c r="Q6" s="127"/>
      <c r="R6" s="128"/>
      <c r="V6" s="21">
        <f>IF($J6&gt;0,1,0)</f>
        <v>1</v>
      </c>
      <c r="W6" s="21">
        <f>IF($J6&lt;0,1,0)</f>
        <v>0</v>
      </c>
    </row>
    <row r="7" spans="1:23" ht="15" thickBot="1" x14ac:dyDescent="0.35">
      <c r="A7" s="22"/>
      <c r="B7" s="34">
        <f>B6+1</f>
        <v>2</v>
      </c>
      <c r="C7" s="30">
        <v>43136</v>
      </c>
      <c r="D7" s="36" t="s">
        <v>12</v>
      </c>
      <c r="E7" s="36" t="s">
        <v>16</v>
      </c>
      <c r="F7" s="37">
        <v>10690</v>
      </c>
      <c r="G7" s="79">
        <v>10310</v>
      </c>
      <c r="H7" s="32">
        <f t="shared" ref="H7:H8" si="0">F7-G7</f>
        <v>380</v>
      </c>
      <c r="I7" s="37">
        <v>150</v>
      </c>
      <c r="J7" s="37">
        <f t="shared" ref="J7:J14" si="1">H7*I7</f>
        <v>57000</v>
      </c>
      <c r="K7" s="23"/>
      <c r="M7" s="120"/>
      <c r="N7" s="121"/>
      <c r="O7" s="122"/>
      <c r="P7" s="129"/>
      <c r="Q7" s="130"/>
      <c r="R7" s="131"/>
      <c r="V7" s="21">
        <f t="shared" ref="V7:V19" si="2">IF($J7&gt;0,1,0)</f>
        <v>1</v>
      </c>
      <c r="W7" s="21">
        <f t="shared" ref="W7:W19" si="3">IF($J7&lt;0,1,0)</f>
        <v>0</v>
      </c>
    </row>
    <row r="8" spans="1:23" ht="15" thickBot="1" x14ac:dyDescent="0.35">
      <c r="A8" s="22"/>
      <c r="B8" s="34">
        <f t="shared" ref="B8:B20" si="4">B7+1</f>
        <v>3</v>
      </c>
      <c r="C8" s="35">
        <v>43145</v>
      </c>
      <c r="D8" s="36" t="s">
        <v>12</v>
      </c>
      <c r="E8" s="36" t="s">
        <v>16</v>
      </c>
      <c r="F8" s="37">
        <v>10565</v>
      </c>
      <c r="G8" s="37">
        <v>10505</v>
      </c>
      <c r="H8" s="32">
        <f t="shared" si="0"/>
        <v>60</v>
      </c>
      <c r="I8" s="37">
        <v>150</v>
      </c>
      <c r="J8" s="37">
        <f t="shared" si="1"/>
        <v>9000</v>
      </c>
      <c r="K8" s="23"/>
      <c r="M8" s="123"/>
      <c r="N8" s="124"/>
      <c r="O8" s="125"/>
      <c r="P8" s="132"/>
      <c r="Q8" s="133"/>
      <c r="R8" s="134"/>
      <c r="V8" s="21">
        <f t="shared" si="2"/>
        <v>1</v>
      </c>
      <c r="W8" s="21">
        <f t="shared" si="3"/>
        <v>0</v>
      </c>
    </row>
    <row r="9" spans="1:23" x14ac:dyDescent="0.3">
      <c r="A9" s="22"/>
      <c r="B9" s="34">
        <f>B8+1</f>
        <v>4</v>
      </c>
      <c r="C9" s="35">
        <v>43145</v>
      </c>
      <c r="D9" s="36" t="s">
        <v>12</v>
      </c>
      <c r="E9" s="36" t="s">
        <v>20</v>
      </c>
      <c r="F9" s="80">
        <v>25530</v>
      </c>
      <c r="G9" s="80">
        <v>25330</v>
      </c>
      <c r="H9" s="80">
        <v>200</v>
      </c>
      <c r="I9" s="80">
        <v>80</v>
      </c>
      <c r="J9" s="37">
        <f t="shared" si="1"/>
        <v>16000</v>
      </c>
      <c r="K9" s="23"/>
      <c r="V9" s="21">
        <f t="shared" si="2"/>
        <v>1</v>
      </c>
      <c r="W9" s="21">
        <f t="shared" si="3"/>
        <v>0</v>
      </c>
    </row>
    <row r="10" spans="1:23" x14ac:dyDescent="0.3">
      <c r="A10" s="22"/>
      <c r="B10" s="34">
        <f t="shared" si="4"/>
        <v>5</v>
      </c>
      <c r="C10" s="35">
        <v>43146</v>
      </c>
      <c r="D10" s="36" t="s">
        <v>12</v>
      </c>
      <c r="E10" s="36" t="s">
        <v>16</v>
      </c>
      <c r="F10" s="80">
        <v>10545</v>
      </c>
      <c r="G10" s="80">
        <v>10585</v>
      </c>
      <c r="H10" s="80">
        <v>-40</v>
      </c>
      <c r="I10" s="80">
        <v>150</v>
      </c>
      <c r="J10" s="37">
        <f t="shared" si="1"/>
        <v>-6000</v>
      </c>
      <c r="K10" s="23"/>
      <c r="V10" s="21">
        <f t="shared" si="2"/>
        <v>0</v>
      </c>
      <c r="W10" s="21">
        <f t="shared" si="3"/>
        <v>1</v>
      </c>
    </row>
    <row r="11" spans="1:23" ht="15" thickBot="1" x14ac:dyDescent="0.35">
      <c r="A11" s="22"/>
      <c r="B11" s="34">
        <f t="shared" si="4"/>
        <v>6</v>
      </c>
      <c r="C11" s="35">
        <v>43146</v>
      </c>
      <c r="D11" s="36" t="s">
        <v>12</v>
      </c>
      <c r="E11" s="36" t="s">
        <v>20</v>
      </c>
      <c r="F11" s="80">
        <v>25420</v>
      </c>
      <c r="G11" s="80">
        <v>25550</v>
      </c>
      <c r="H11" s="80">
        <v>-130</v>
      </c>
      <c r="I11" s="80">
        <v>80</v>
      </c>
      <c r="J11" s="37">
        <f t="shared" si="1"/>
        <v>-10400</v>
      </c>
      <c r="K11" s="23"/>
      <c r="V11" s="21">
        <f t="shared" si="2"/>
        <v>0</v>
      </c>
      <c r="W11" s="21">
        <f t="shared" si="3"/>
        <v>1</v>
      </c>
    </row>
    <row r="12" spans="1:23" ht="15" thickTop="1" x14ac:dyDescent="0.3">
      <c r="A12" s="22"/>
      <c r="B12" s="34">
        <f t="shared" si="4"/>
        <v>7</v>
      </c>
      <c r="C12" s="35">
        <v>43150</v>
      </c>
      <c r="D12" s="36" t="s">
        <v>15</v>
      </c>
      <c r="E12" s="36" t="s">
        <v>16</v>
      </c>
      <c r="F12" s="80">
        <v>10340</v>
      </c>
      <c r="G12" s="80">
        <v>10420</v>
      </c>
      <c r="H12" s="80">
        <f>G12-F12</f>
        <v>80</v>
      </c>
      <c r="I12" s="80">
        <v>150</v>
      </c>
      <c r="J12" s="37">
        <f t="shared" si="1"/>
        <v>12000</v>
      </c>
      <c r="K12" s="23"/>
      <c r="M12" s="69"/>
      <c r="N12" s="70"/>
      <c r="O12" s="70"/>
      <c r="P12" s="70"/>
      <c r="Q12" s="70"/>
      <c r="R12" s="71"/>
      <c r="V12" s="21">
        <f t="shared" si="2"/>
        <v>1</v>
      </c>
      <c r="W12" s="21">
        <f t="shared" si="3"/>
        <v>0</v>
      </c>
    </row>
    <row r="13" spans="1:23" x14ac:dyDescent="0.3">
      <c r="A13" s="22"/>
      <c r="B13" s="34">
        <f t="shared" si="4"/>
        <v>8</v>
      </c>
      <c r="C13" s="35">
        <v>43151</v>
      </c>
      <c r="D13" s="36" t="s">
        <v>12</v>
      </c>
      <c r="E13" s="36" t="s">
        <v>20</v>
      </c>
      <c r="F13" s="80">
        <v>24880</v>
      </c>
      <c r="G13" s="80">
        <v>24850</v>
      </c>
      <c r="H13" s="80">
        <v>30</v>
      </c>
      <c r="I13" s="80">
        <v>80</v>
      </c>
      <c r="J13" s="37">
        <f t="shared" si="1"/>
        <v>2400</v>
      </c>
      <c r="K13" s="23"/>
      <c r="M13" s="72"/>
      <c r="R13" s="73"/>
      <c r="V13" s="21">
        <f t="shared" si="2"/>
        <v>1</v>
      </c>
      <c r="W13" s="21">
        <f t="shared" si="3"/>
        <v>0</v>
      </c>
    </row>
    <row r="14" spans="1:23" x14ac:dyDescent="0.3">
      <c r="A14" s="22"/>
      <c r="B14" s="34">
        <f t="shared" si="4"/>
        <v>9</v>
      </c>
      <c r="C14" s="35">
        <v>43157</v>
      </c>
      <c r="D14" s="36" t="s">
        <v>19</v>
      </c>
      <c r="E14" s="36" t="s">
        <v>16</v>
      </c>
      <c r="F14" s="80">
        <v>10590</v>
      </c>
      <c r="G14" s="80">
        <v>10630</v>
      </c>
      <c r="H14" s="80">
        <v>40</v>
      </c>
      <c r="I14" s="80">
        <v>150</v>
      </c>
      <c r="J14" s="37">
        <f t="shared" si="1"/>
        <v>6000</v>
      </c>
      <c r="K14" s="23"/>
      <c r="M14" s="72"/>
      <c r="R14" s="73"/>
      <c r="V14" s="21">
        <f t="shared" si="2"/>
        <v>1</v>
      </c>
      <c r="W14" s="21">
        <f t="shared" si="3"/>
        <v>0</v>
      </c>
    </row>
    <row r="15" spans="1:23" x14ac:dyDescent="0.3">
      <c r="A15" s="22"/>
      <c r="B15" s="34">
        <f t="shared" si="4"/>
        <v>10</v>
      </c>
      <c r="C15" s="35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2"/>
        <v>0</v>
      </c>
      <c r="W15" s="21">
        <f t="shared" si="3"/>
        <v>0</v>
      </c>
    </row>
    <row r="16" spans="1:23" x14ac:dyDescent="0.3">
      <c r="A16" s="22"/>
      <c r="B16" s="34">
        <f t="shared" si="4"/>
        <v>11</v>
      </c>
      <c r="C16" s="35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2"/>
        <v>0</v>
      </c>
      <c r="W16" s="21">
        <f t="shared" si="3"/>
        <v>0</v>
      </c>
    </row>
    <row r="17" spans="1:23" x14ac:dyDescent="0.3">
      <c r="A17" s="22"/>
      <c r="B17" s="34">
        <f t="shared" si="4"/>
        <v>12</v>
      </c>
      <c r="C17" s="35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2"/>
        <v>0</v>
      </c>
      <c r="W17" s="21">
        <f t="shared" si="3"/>
        <v>0</v>
      </c>
    </row>
    <row r="18" spans="1:23" x14ac:dyDescent="0.3">
      <c r="A18" s="22"/>
      <c r="B18" s="34">
        <f t="shared" si="4"/>
        <v>13</v>
      </c>
      <c r="C18" s="35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2"/>
        <v>0</v>
      </c>
      <c r="W18" s="21">
        <f t="shared" si="3"/>
        <v>0</v>
      </c>
    </row>
    <row r="19" spans="1:23" x14ac:dyDescent="0.3">
      <c r="A19" s="22"/>
      <c r="B19" s="34">
        <f t="shared" si="4"/>
        <v>14</v>
      </c>
      <c r="C19" s="35"/>
      <c r="D19" s="36"/>
      <c r="E19" s="36"/>
      <c r="F19" s="80"/>
      <c r="G19" s="80"/>
      <c r="H19" s="80"/>
      <c r="I19" s="80"/>
      <c r="J19" s="38">
        <f t="shared" ref="J19:J20" si="5">H19*I19</f>
        <v>0</v>
      </c>
      <c r="K19" s="23"/>
      <c r="M19" s="72"/>
      <c r="O19" s="39"/>
      <c r="P19" s="39"/>
      <c r="Q19" s="39"/>
      <c r="R19" s="74"/>
      <c r="V19" s="21">
        <f t="shared" si="2"/>
        <v>0</v>
      </c>
      <c r="W19" s="21">
        <f t="shared" si="3"/>
        <v>0</v>
      </c>
    </row>
    <row r="20" spans="1:23" ht="15" thickBot="1" x14ac:dyDescent="0.35">
      <c r="A20" s="22"/>
      <c r="B20" s="34">
        <f t="shared" si="4"/>
        <v>15</v>
      </c>
      <c r="C20" s="35"/>
      <c r="D20" s="36"/>
      <c r="E20" s="36"/>
      <c r="F20" s="37"/>
      <c r="G20" s="37"/>
      <c r="H20" s="37"/>
      <c r="I20" s="37"/>
      <c r="J20" s="38">
        <f t="shared" si="5"/>
        <v>0</v>
      </c>
      <c r="K20" s="23"/>
      <c r="M20" s="75"/>
      <c r="N20" s="76"/>
      <c r="O20" s="76"/>
      <c r="P20" s="76"/>
      <c r="Q20" s="76"/>
      <c r="R20" s="77"/>
      <c r="V20" s="21">
        <f>SUM(V6:V19)</f>
        <v>7</v>
      </c>
      <c r="W20" s="21">
        <f>SUM(W6:W19)</f>
        <v>2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154800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1900-000000000000}"/>
    <hyperlink ref="M1" location="'Home Page'!A1" display="Back" xr:uid="{00000000-0004-0000-1900-000001000000}"/>
  </hyperlinks>
  <pageMargins left="0" right="0" top="0" bottom="0" header="0" footer="0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22"/>
  <sheetViews>
    <sheetView zoomScale="97" zoomScaleNormal="97" workbookViewId="0">
      <selection activeCell="C17" sqref="C17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43160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11</v>
      </c>
      <c r="O4" s="147">
        <f>V20</f>
        <v>11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43164</v>
      </c>
      <c r="D6" s="31" t="s">
        <v>15</v>
      </c>
      <c r="E6" s="31" t="s">
        <v>16</v>
      </c>
      <c r="F6" s="32">
        <v>10350</v>
      </c>
      <c r="G6" s="32">
        <v>10420</v>
      </c>
      <c r="H6" s="32">
        <v>70</v>
      </c>
      <c r="I6" s="32">
        <v>150</v>
      </c>
      <c r="J6" s="37">
        <f>H6*I6</f>
        <v>10500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ht="15" thickBot="1" x14ac:dyDescent="0.35">
      <c r="A7" s="22"/>
      <c r="B7" s="34">
        <f>B6+1</f>
        <v>2</v>
      </c>
      <c r="C7" s="30">
        <v>43164</v>
      </c>
      <c r="D7" s="36" t="s">
        <v>19</v>
      </c>
      <c r="E7" s="36" t="s">
        <v>20</v>
      </c>
      <c r="F7" s="37">
        <v>24850</v>
      </c>
      <c r="G7" s="79">
        <v>25050</v>
      </c>
      <c r="H7" s="32">
        <v>200</v>
      </c>
      <c r="I7" s="37">
        <v>80</v>
      </c>
      <c r="J7" s="37">
        <f t="shared" ref="J7:J16" si="0">H7*I7</f>
        <v>16000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1</v>
      </c>
      <c r="W7" s="21">
        <f t="shared" ref="W7:W19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43167</v>
      </c>
      <c r="D8" s="36" t="s">
        <v>12</v>
      </c>
      <c r="E8" s="36" t="s">
        <v>16</v>
      </c>
      <c r="F8" s="37">
        <v>10270</v>
      </c>
      <c r="G8" s="37">
        <v>10200</v>
      </c>
      <c r="H8" s="32">
        <v>70</v>
      </c>
      <c r="I8" s="37">
        <v>150</v>
      </c>
      <c r="J8" s="37">
        <f t="shared" si="0"/>
        <v>10500</v>
      </c>
      <c r="K8" s="23"/>
      <c r="M8" s="123"/>
      <c r="N8" s="124"/>
      <c r="O8" s="125"/>
      <c r="P8" s="132"/>
      <c r="Q8" s="133"/>
      <c r="R8" s="134"/>
      <c r="V8" s="21">
        <f t="shared" si="1"/>
        <v>1</v>
      </c>
      <c r="W8" s="21">
        <f t="shared" si="2"/>
        <v>0</v>
      </c>
    </row>
    <row r="9" spans="1:23" x14ac:dyDescent="0.3">
      <c r="A9" s="22"/>
      <c r="B9" s="34">
        <f>B8+1</f>
        <v>4</v>
      </c>
      <c r="C9" s="35">
        <v>43167</v>
      </c>
      <c r="D9" s="36" t="s">
        <v>12</v>
      </c>
      <c r="E9" s="36" t="s">
        <v>21</v>
      </c>
      <c r="F9" s="80">
        <v>250</v>
      </c>
      <c r="G9" s="80">
        <v>240</v>
      </c>
      <c r="H9" s="80">
        <v>10</v>
      </c>
      <c r="I9" s="80">
        <v>3200</v>
      </c>
      <c r="J9" s="37">
        <f t="shared" si="0"/>
        <v>32000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43172</v>
      </c>
      <c r="D10" s="36" t="s">
        <v>12</v>
      </c>
      <c r="E10" s="36" t="s">
        <v>16</v>
      </c>
      <c r="F10" s="80">
        <v>10450</v>
      </c>
      <c r="G10" s="80">
        <v>10380</v>
      </c>
      <c r="H10" s="80">
        <v>70</v>
      </c>
      <c r="I10" s="80">
        <v>150</v>
      </c>
      <c r="J10" s="37">
        <f t="shared" si="0"/>
        <v>10500</v>
      </c>
      <c r="K10" s="23"/>
      <c r="V10" s="21">
        <f t="shared" si="1"/>
        <v>1</v>
      </c>
      <c r="W10" s="21">
        <f t="shared" si="2"/>
        <v>0</v>
      </c>
    </row>
    <row r="11" spans="1:23" ht="15" thickBot="1" x14ac:dyDescent="0.35">
      <c r="A11" s="22"/>
      <c r="B11" s="34">
        <f t="shared" si="3"/>
        <v>6</v>
      </c>
      <c r="C11" s="35">
        <v>43172</v>
      </c>
      <c r="D11" s="36" t="s">
        <v>12</v>
      </c>
      <c r="E11" s="36" t="s">
        <v>20</v>
      </c>
      <c r="F11" s="80">
        <v>24900</v>
      </c>
      <c r="G11" s="80">
        <v>24600</v>
      </c>
      <c r="H11" s="80">
        <v>300</v>
      </c>
      <c r="I11" s="80">
        <v>80</v>
      </c>
      <c r="J11" s="37">
        <f t="shared" si="0"/>
        <v>24000</v>
      </c>
      <c r="K11" s="23"/>
      <c r="V11" s="21">
        <f t="shared" si="1"/>
        <v>1</v>
      </c>
      <c r="W11" s="21">
        <f t="shared" si="2"/>
        <v>0</v>
      </c>
    </row>
    <row r="12" spans="1:23" ht="15" thickTop="1" x14ac:dyDescent="0.3">
      <c r="A12" s="22"/>
      <c r="B12" s="34">
        <f t="shared" si="3"/>
        <v>7</v>
      </c>
      <c r="C12" s="35">
        <v>43174</v>
      </c>
      <c r="D12" s="36" t="s">
        <v>12</v>
      </c>
      <c r="E12" s="36" t="s">
        <v>20</v>
      </c>
      <c r="F12" s="80">
        <v>24850</v>
      </c>
      <c r="G12" s="80">
        <v>24750</v>
      </c>
      <c r="H12" s="80">
        <v>100</v>
      </c>
      <c r="I12" s="80">
        <v>80</v>
      </c>
      <c r="J12" s="37">
        <f t="shared" si="0"/>
        <v>8000</v>
      </c>
      <c r="K12" s="23"/>
      <c r="M12" s="69"/>
      <c r="N12" s="70"/>
      <c r="O12" s="70"/>
      <c r="P12" s="70"/>
      <c r="Q12" s="70"/>
      <c r="R12" s="71"/>
      <c r="V12" s="21">
        <f t="shared" si="1"/>
        <v>1</v>
      </c>
      <c r="W12" s="21">
        <f t="shared" si="2"/>
        <v>0</v>
      </c>
    </row>
    <row r="13" spans="1:23" x14ac:dyDescent="0.3">
      <c r="A13" s="22"/>
      <c r="B13" s="34">
        <f t="shared" si="3"/>
        <v>8</v>
      </c>
      <c r="C13" s="35">
        <v>43179</v>
      </c>
      <c r="D13" s="36" t="s">
        <v>19</v>
      </c>
      <c r="E13" s="36" t="s">
        <v>16</v>
      </c>
      <c r="F13" s="80">
        <v>10140</v>
      </c>
      <c r="G13" s="80">
        <v>10210</v>
      </c>
      <c r="H13" s="80">
        <v>70</v>
      </c>
      <c r="I13" s="80">
        <v>150</v>
      </c>
      <c r="J13" s="37">
        <f t="shared" si="0"/>
        <v>10500</v>
      </c>
      <c r="K13" s="23"/>
      <c r="M13" s="72"/>
      <c r="R13" s="73"/>
      <c r="V13" s="21">
        <f t="shared" si="1"/>
        <v>1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>
        <v>43181</v>
      </c>
      <c r="D14" s="36" t="s">
        <v>12</v>
      </c>
      <c r="E14" s="36" t="s">
        <v>16</v>
      </c>
      <c r="F14" s="80">
        <v>10150</v>
      </c>
      <c r="G14" s="80">
        <v>10000</v>
      </c>
      <c r="H14" s="80">
        <v>150</v>
      </c>
      <c r="I14" s="80">
        <v>150</v>
      </c>
      <c r="J14" s="37">
        <f t="shared" si="0"/>
        <v>22500</v>
      </c>
      <c r="K14" s="23"/>
      <c r="M14" s="72"/>
      <c r="R14" s="73"/>
      <c r="V14" s="21">
        <f t="shared" si="1"/>
        <v>1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>
        <v>43185</v>
      </c>
      <c r="D15" s="36" t="s">
        <v>19</v>
      </c>
      <c r="E15" s="36" t="s">
        <v>16</v>
      </c>
      <c r="F15" s="80">
        <v>10100</v>
      </c>
      <c r="G15" s="80">
        <v>10180</v>
      </c>
      <c r="H15" s="80">
        <v>80</v>
      </c>
      <c r="I15" s="80">
        <v>150</v>
      </c>
      <c r="J15" s="38">
        <f t="shared" si="0"/>
        <v>12000</v>
      </c>
      <c r="K15" s="23"/>
      <c r="M15" s="72"/>
      <c r="R15" s="73"/>
      <c r="V15" s="21">
        <f t="shared" si="1"/>
        <v>1</v>
      </c>
      <c r="W15" s="21">
        <f t="shared" si="2"/>
        <v>0</v>
      </c>
    </row>
    <row r="16" spans="1:23" x14ac:dyDescent="0.3">
      <c r="A16" s="22"/>
      <c r="B16" s="34">
        <f t="shared" si="3"/>
        <v>11</v>
      </c>
      <c r="C16" s="35">
        <v>43185</v>
      </c>
      <c r="D16" s="36" t="s">
        <v>19</v>
      </c>
      <c r="E16" s="36" t="s">
        <v>20</v>
      </c>
      <c r="F16" s="80">
        <v>24100</v>
      </c>
      <c r="G16" s="80">
        <v>24500</v>
      </c>
      <c r="H16" s="80">
        <v>400</v>
      </c>
      <c r="I16" s="80">
        <v>80</v>
      </c>
      <c r="J16" s="38">
        <f t="shared" si="0"/>
        <v>32000</v>
      </c>
      <c r="K16" s="23"/>
      <c r="M16" s="72"/>
      <c r="R16" s="73"/>
      <c r="V16" s="21">
        <f t="shared" si="1"/>
        <v>1</v>
      </c>
      <c r="W16" s="21">
        <f t="shared" si="2"/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80"/>
      <c r="G19" s="80"/>
      <c r="H19" s="80"/>
      <c r="I19" s="80"/>
      <c r="J19" s="38">
        <f t="shared" ref="J19:J20" si="4">H19*I19</f>
        <v>0</v>
      </c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4"/>
        <v>0</v>
      </c>
      <c r="K20" s="23"/>
      <c r="M20" s="75"/>
      <c r="N20" s="76"/>
      <c r="O20" s="76"/>
      <c r="P20" s="76"/>
      <c r="Q20" s="76"/>
      <c r="R20" s="77"/>
      <c r="V20" s="21">
        <f>SUM(V6:V19)</f>
        <v>11</v>
      </c>
      <c r="W20" s="21">
        <f>SUM(W6:W19)</f>
        <v>0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188500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1A00-000000000000}"/>
    <hyperlink ref="M1" location="'Home Page'!A1" display="Back" xr:uid="{00000000-0004-0000-1A00-000001000000}"/>
  </hyperlinks>
  <pageMargins left="0" right="0" top="0" bottom="0" header="0" footer="0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22"/>
  <sheetViews>
    <sheetView zoomScale="97" zoomScaleNormal="97" workbookViewId="0">
      <selection activeCell="H15" sqref="H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43191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6</v>
      </c>
      <c r="P4" s="147">
        <f>W20</f>
        <v>3</v>
      </c>
      <c r="Q4" s="149">
        <f>N4-O4-P4</f>
        <v>0</v>
      </c>
      <c r="R4" s="151">
        <f>O4/N4</f>
        <v>0.66666666666666663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43192</v>
      </c>
      <c r="D6" s="31" t="s">
        <v>15</v>
      </c>
      <c r="E6" s="31" t="s">
        <v>16</v>
      </c>
      <c r="F6" s="32">
        <v>10250</v>
      </c>
      <c r="G6" s="32">
        <v>10285</v>
      </c>
      <c r="H6" s="32">
        <v>35</v>
      </c>
      <c r="I6" s="32">
        <v>150</v>
      </c>
      <c r="J6" s="37">
        <f>I6*H6</f>
        <v>5250</v>
      </c>
      <c r="K6" s="23"/>
      <c r="M6" s="117" t="s">
        <v>67</v>
      </c>
      <c r="N6" s="118"/>
      <c r="O6" s="119"/>
      <c r="P6" s="126">
        <f>R4</f>
        <v>0.66666666666666663</v>
      </c>
      <c r="Q6" s="127"/>
      <c r="R6" s="128"/>
      <c r="V6" s="21">
        <f>IF($J6&gt;0,1,0)</f>
        <v>1</v>
      </c>
      <c r="W6" s="21">
        <f>IF($J6&lt;0,1,0)</f>
        <v>0</v>
      </c>
    </row>
    <row r="7" spans="1:23" ht="15" thickBot="1" x14ac:dyDescent="0.35">
      <c r="A7" s="22"/>
      <c r="B7" s="34">
        <f>B6+1</f>
        <v>2</v>
      </c>
      <c r="C7" s="30">
        <v>43194</v>
      </c>
      <c r="D7" s="36" t="s">
        <v>12</v>
      </c>
      <c r="E7" s="36" t="s">
        <v>16</v>
      </c>
      <c r="F7" s="37">
        <v>10160</v>
      </c>
      <c r="G7" s="79">
        <v>10200</v>
      </c>
      <c r="H7" s="32">
        <v>-40</v>
      </c>
      <c r="I7" s="37">
        <v>150</v>
      </c>
      <c r="J7" s="37">
        <f t="shared" ref="J7:J16" si="0">I7*H7</f>
        <v>-6000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0</v>
      </c>
      <c r="W7" s="21">
        <f t="shared" ref="W7:W19" si="2">IF($J7&lt;0,1,0)</f>
        <v>1</v>
      </c>
    </row>
    <row r="8" spans="1:23" ht="15" thickBot="1" x14ac:dyDescent="0.35">
      <c r="A8" s="22"/>
      <c r="B8" s="34">
        <f t="shared" ref="B8:B20" si="3">B7+1</f>
        <v>3</v>
      </c>
      <c r="C8" s="35">
        <v>43200</v>
      </c>
      <c r="D8" s="36" t="s">
        <v>19</v>
      </c>
      <c r="E8" s="36" t="s">
        <v>20</v>
      </c>
      <c r="F8" s="37">
        <v>25170</v>
      </c>
      <c r="G8" s="37">
        <v>25020</v>
      </c>
      <c r="H8" s="32">
        <v>-150</v>
      </c>
      <c r="I8" s="37">
        <v>80</v>
      </c>
      <c r="J8" s="37">
        <f t="shared" si="0"/>
        <v>-12000</v>
      </c>
      <c r="K8" s="23"/>
      <c r="M8" s="123"/>
      <c r="N8" s="124"/>
      <c r="O8" s="125"/>
      <c r="P8" s="132"/>
      <c r="Q8" s="133"/>
      <c r="R8" s="134"/>
      <c r="V8" s="21">
        <f t="shared" si="1"/>
        <v>0</v>
      </c>
      <c r="W8" s="21">
        <f t="shared" si="2"/>
        <v>1</v>
      </c>
    </row>
    <row r="9" spans="1:23" x14ac:dyDescent="0.3">
      <c r="A9" s="22"/>
      <c r="B9" s="34">
        <f>B8+1</f>
        <v>4</v>
      </c>
      <c r="C9" s="35">
        <v>43202</v>
      </c>
      <c r="D9" s="36" t="s">
        <v>12</v>
      </c>
      <c r="E9" s="36" t="s">
        <v>21</v>
      </c>
      <c r="F9" s="80">
        <v>282</v>
      </c>
      <c r="G9" s="80">
        <v>277.5</v>
      </c>
      <c r="H9" s="80">
        <f>F9-G9</f>
        <v>4.5</v>
      </c>
      <c r="I9" s="80">
        <v>3200</v>
      </c>
      <c r="J9" s="37">
        <f t="shared" si="0"/>
        <v>14400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43207</v>
      </c>
      <c r="D10" s="36" t="s">
        <v>19</v>
      </c>
      <c r="E10" s="36" t="s">
        <v>28</v>
      </c>
      <c r="F10" s="80">
        <v>290</v>
      </c>
      <c r="G10" s="80">
        <v>294</v>
      </c>
      <c r="H10" s="80">
        <v>4</v>
      </c>
      <c r="I10" s="80">
        <v>5500</v>
      </c>
      <c r="J10" s="37">
        <f t="shared" si="0"/>
        <v>22000</v>
      </c>
      <c r="K10" s="23"/>
      <c r="V10" s="21">
        <f t="shared" si="1"/>
        <v>1</v>
      </c>
      <c r="W10" s="21">
        <f t="shared" si="2"/>
        <v>0</v>
      </c>
    </row>
    <row r="11" spans="1:23" ht="15" thickBot="1" x14ac:dyDescent="0.35">
      <c r="A11" s="22"/>
      <c r="B11" s="34">
        <f t="shared" si="3"/>
        <v>6</v>
      </c>
      <c r="C11" s="35">
        <v>43208</v>
      </c>
      <c r="D11" s="36" t="s">
        <v>19</v>
      </c>
      <c r="E11" s="36" t="s">
        <v>28</v>
      </c>
      <c r="F11" s="80">
        <v>289</v>
      </c>
      <c r="G11" s="80">
        <v>286</v>
      </c>
      <c r="H11" s="80">
        <v>-3</v>
      </c>
      <c r="I11" s="80">
        <v>5500</v>
      </c>
      <c r="J11" s="37">
        <f t="shared" si="0"/>
        <v>-16500</v>
      </c>
      <c r="K11" s="23"/>
      <c r="V11" s="21">
        <f t="shared" si="1"/>
        <v>0</v>
      </c>
      <c r="W11" s="21">
        <f t="shared" si="2"/>
        <v>1</v>
      </c>
    </row>
    <row r="12" spans="1:23" ht="15" thickTop="1" x14ac:dyDescent="0.3">
      <c r="A12" s="22"/>
      <c r="B12" s="34">
        <f t="shared" si="3"/>
        <v>7</v>
      </c>
      <c r="C12" s="35">
        <v>43213</v>
      </c>
      <c r="D12" s="36" t="s">
        <v>19</v>
      </c>
      <c r="E12" s="36" t="s">
        <v>97</v>
      </c>
      <c r="F12" s="80">
        <v>1895</v>
      </c>
      <c r="G12" s="80">
        <v>1927</v>
      </c>
      <c r="H12" s="80">
        <f>G12-F12</f>
        <v>32</v>
      </c>
      <c r="I12" s="80">
        <v>1000</v>
      </c>
      <c r="J12" s="37">
        <f t="shared" si="0"/>
        <v>32000</v>
      </c>
      <c r="K12" s="23"/>
      <c r="M12" s="69"/>
      <c r="N12" s="70"/>
      <c r="O12" s="70"/>
      <c r="P12" s="70"/>
      <c r="Q12" s="70"/>
      <c r="R12" s="71"/>
      <c r="V12" s="21">
        <f t="shared" si="1"/>
        <v>1</v>
      </c>
      <c r="W12" s="21">
        <f t="shared" si="2"/>
        <v>0</v>
      </c>
    </row>
    <row r="13" spans="1:23" x14ac:dyDescent="0.3">
      <c r="A13" s="22"/>
      <c r="B13" s="34">
        <f t="shared" si="3"/>
        <v>8</v>
      </c>
      <c r="C13" s="35">
        <v>43213</v>
      </c>
      <c r="D13" s="36" t="s">
        <v>12</v>
      </c>
      <c r="E13" s="36" t="s">
        <v>16</v>
      </c>
      <c r="F13" s="80">
        <v>10590</v>
      </c>
      <c r="G13" s="80">
        <v>10580</v>
      </c>
      <c r="H13" s="80">
        <v>10</v>
      </c>
      <c r="I13" s="80">
        <v>150</v>
      </c>
      <c r="J13" s="37">
        <f t="shared" si="0"/>
        <v>1500</v>
      </c>
      <c r="K13" s="23"/>
      <c r="M13" s="72"/>
      <c r="R13" s="73"/>
      <c r="V13" s="21">
        <f t="shared" si="1"/>
        <v>1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>
        <v>43215</v>
      </c>
      <c r="D14" s="36" t="s">
        <v>19</v>
      </c>
      <c r="E14" s="36" t="s">
        <v>16</v>
      </c>
      <c r="F14" s="80">
        <v>10560</v>
      </c>
      <c r="G14" s="80">
        <v>10615</v>
      </c>
      <c r="H14" s="80">
        <v>55</v>
      </c>
      <c r="I14" s="80">
        <v>150</v>
      </c>
      <c r="J14" s="37">
        <f t="shared" si="0"/>
        <v>8250</v>
      </c>
      <c r="K14" s="23"/>
      <c r="M14" s="72"/>
      <c r="R14" s="73"/>
      <c r="V14" s="21">
        <f t="shared" si="1"/>
        <v>1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/>
      <c r="D15" s="36"/>
      <c r="E15" s="36"/>
      <c r="F15" s="80"/>
      <c r="G15" s="80"/>
      <c r="H15" s="80"/>
      <c r="I15" s="80"/>
      <c r="J15" s="37">
        <f t="shared" si="0"/>
        <v>0</v>
      </c>
      <c r="K15" s="23"/>
      <c r="M15" s="72"/>
      <c r="R15" s="73"/>
      <c r="V15" s="21">
        <f t="shared" si="1"/>
        <v>0</v>
      </c>
      <c r="W15" s="21">
        <f t="shared" si="2"/>
        <v>0</v>
      </c>
    </row>
    <row r="16" spans="1:23" x14ac:dyDescent="0.3">
      <c r="A16" s="22"/>
      <c r="B16" s="34">
        <f t="shared" si="3"/>
        <v>11</v>
      </c>
      <c r="C16" s="35"/>
      <c r="D16" s="36"/>
      <c r="E16" s="36"/>
      <c r="F16" s="80"/>
      <c r="G16" s="80"/>
      <c r="H16" s="80"/>
      <c r="I16" s="80"/>
      <c r="J16" s="37">
        <f t="shared" si="0"/>
        <v>0</v>
      </c>
      <c r="K16" s="23"/>
      <c r="M16" s="72"/>
      <c r="R16" s="73"/>
      <c r="V16" s="21">
        <f t="shared" si="1"/>
        <v>0</v>
      </c>
      <c r="W16" s="21">
        <f t="shared" si="2"/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80"/>
      <c r="G19" s="80"/>
      <c r="H19" s="80"/>
      <c r="I19" s="80"/>
      <c r="J19" s="38">
        <f t="shared" ref="J19:J20" si="4">H19*I19</f>
        <v>0</v>
      </c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4"/>
        <v>0</v>
      </c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3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48900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1B00-000000000000}"/>
    <hyperlink ref="M1" location="'Home Page'!A1" display="Back" xr:uid="{00000000-0004-0000-1B00-000001000000}"/>
  </hyperlinks>
  <pageMargins left="0" right="0" top="0" bottom="0" header="0" footer="0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22"/>
  <sheetViews>
    <sheetView zoomScale="97" zoomScaleNormal="97" workbookViewId="0">
      <selection activeCell="H14" sqref="H14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43221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6</v>
      </c>
      <c r="P4" s="147">
        <f>W20</f>
        <v>2</v>
      </c>
      <c r="Q4" s="149">
        <f>N4-O4-P4</f>
        <v>0</v>
      </c>
      <c r="R4" s="151">
        <f>O4/N4</f>
        <v>0.75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43223</v>
      </c>
      <c r="D6" s="31" t="s">
        <v>12</v>
      </c>
      <c r="E6" s="31" t="s">
        <v>16</v>
      </c>
      <c r="F6" s="32">
        <v>10730</v>
      </c>
      <c r="G6" s="32">
        <v>10660</v>
      </c>
      <c r="H6" s="32">
        <v>70</v>
      </c>
      <c r="I6" s="32">
        <v>150</v>
      </c>
      <c r="J6" s="37">
        <f>I6*H6</f>
        <v>10500</v>
      </c>
      <c r="K6" s="23"/>
      <c r="M6" s="117" t="s">
        <v>67</v>
      </c>
      <c r="N6" s="118"/>
      <c r="O6" s="119"/>
      <c r="P6" s="126">
        <f>R4</f>
        <v>0.75</v>
      </c>
      <c r="Q6" s="127"/>
      <c r="R6" s="128"/>
      <c r="V6" s="21">
        <f>IF($J6&gt;0,1,0)</f>
        <v>1</v>
      </c>
      <c r="W6" s="21">
        <f>IF($J6&lt;0,1,0)</f>
        <v>0</v>
      </c>
    </row>
    <row r="7" spans="1:23" ht="15" thickBot="1" x14ac:dyDescent="0.35">
      <c r="A7" s="22"/>
      <c r="B7" s="34">
        <f>B6+1</f>
        <v>2</v>
      </c>
      <c r="C7" s="30">
        <v>43227</v>
      </c>
      <c r="D7" s="36" t="s">
        <v>12</v>
      </c>
      <c r="E7" s="36" t="s">
        <v>16</v>
      </c>
      <c r="F7" s="37">
        <v>10745</v>
      </c>
      <c r="G7" s="79">
        <v>10690</v>
      </c>
      <c r="H7" s="32">
        <f>F7-G7</f>
        <v>55</v>
      </c>
      <c r="I7" s="37">
        <v>150</v>
      </c>
      <c r="J7" s="37">
        <f t="shared" ref="J7:J16" si="0">I7*H7</f>
        <v>8250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1</v>
      </c>
      <c r="W7" s="21">
        <f t="shared" ref="W7:W19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43228</v>
      </c>
      <c r="D8" s="36" t="s">
        <v>12</v>
      </c>
      <c r="E8" s="36" t="s">
        <v>33</v>
      </c>
      <c r="F8" s="37">
        <v>346</v>
      </c>
      <c r="G8" s="37">
        <v>350</v>
      </c>
      <c r="H8" s="32">
        <v>-4</v>
      </c>
      <c r="I8" s="37">
        <v>1750</v>
      </c>
      <c r="J8" s="37">
        <f t="shared" si="0"/>
        <v>-7000</v>
      </c>
      <c r="K8" s="23"/>
      <c r="M8" s="123"/>
      <c r="N8" s="124"/>
      <c r="O8" s="125"/>
      <c r="P8" s="132"/>
      <c r="Q8" s="133"/>
      <c r="R8" s="134"/>
      <c r="V8" s="21">
        <f t="shared" si="1"/>
        <v>0</v>
      </c>
      <c r="W8" s="21">
        <f t="shared" si="2"/>
        <v>1</v>
      </c>
    </row>
    <row r="9" spans="1:23" x14ac:dyDescent="0.3">
      <c r="A9" s="22"/>
      <c r="B9" s="34">
        <f>B8+1</f>
        <v>4</v>
      </c>
      <c r="C9" s="35">
        <v>43234</v>
      </c>
      <c r="D9" s="36" t="s">
        <v>15</v>
      </c>
      <c r="E9" s="36" t="s">
        <v>16</v>
      </c>
      <c r="F9" s="80">
        <v>10800</v>
      </c>
      <c r="G9" s="80">
        <v>10880</v>
      </c>
      <c r="H9" s="80">
        <v>80</v>
      </c>
      <c r="I9" s="80">
        <v>150</v>
      </c>
      <c r="J9" s="37">
        <f t="shared" si="0"/>
        <v>12000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43236</v>
      </c>
      <c r="D10" s="36" t="s">
        <v>12</v>
      </c>
      <c r="E10" s="36" t="s">
        <v>16</v>
      </c>
      <c r="F10" s="80">
        <v>10770</v>
      </c>
      <c r="G10" s="80">
        <v>10700</v>
      </c>
      <c r="H10" s="80">
        <v>70</v>
      </c>
      <c r="I10" s="80">
        <v>150</v>
      </c>
      <c r="J10" s="37">
        <f t="shared" si="0"/>
        <v>10500</v>
      </c>
      <c r="K10" s="23"/>
      <c r="V10" s="21">
        <f t="shared" si="1"/>
        <v>1</v>
      </c>
      <c r="W10" s="21">
        <f t="shared" si="2"/>
        <v>0</v>
      </c>
    </row>
    <row r="11" spans="1:23" ht="15" thickBot="1" x14ac:dyDescent="0.35">
      <c r="A11" s="22"/>
      <c r="B11" s="34">
        <f t="shared" si="3"/>
        <v>6</v>
      </c>
      <c r="C11" s="35">
        <v>43242</v>
      </c>
      <c r="D11" s="36" t="s">
        <v>19</v>
      </c>
      <c r="E11" s="36" t="s">
        <v>16</v>
      </c>
      <c r="F11" s="80">
        <v>10535</v>
      </c>
      <c r="G11" s="80">
        <v>10505</v>
      </c>
      <c r="H11" s="80">
        <v>-30</v>
      </c>
      <c r="I11" s="80">
        <v>150</v>
      </c>
      <c r="J11" s="37">
        <f t="shared" si="0"/>
        <v>-4500</v>
      </c>
      <c r="K11" s="23"/>
      <c r="V11" s="21">
        <f t="shared" si="1"/>
        <v>0</v>
      </c>
      <c r="W11" s="21">
        <f t="shared" si="2"/>
        <v>1</v>
      </c>
    </row>
    <row r="12" spans="1:23" ht="15" thickTop="1" x14ac:dyDescent="0.3">
      <c r="A12" s="22"/>
      <c r="B12" s="34">
        <f t="shared" si="3"/>
        <v>7</v>
      </c>
      <c r="C12" s="35">
        <v>43248</v>
      </c>
      <c r="D12" s="36" t="s">
        <v>12</v>
      </c>
      <c r="E12" s="36" t="s">
        <v>16</v>
      </c>
      <c r="F12" s="80">
        <v>10695</v>
      </c>
      <c r="G12" s="80">
        <v>10635</v>
      </c>
      <c r="H12" s="80">
        <f>F12-G12</f>
        <v>60</v>
      </c>
      <c r="I12" s="80">
        <v>150</v>
      </c>
      <c r="J12" s="37">
        <f t="shared" si="0"/>
        <v>9000</v>
      </c>
      <c r="K12" s="23"/>
      <c r="M12" s="69"/>
      <c r="N12" s="70"/>
      <c r="O12" s="70"/>
      <c r="P12" s="70"/>
      <c r="Q12" s="70"/>
      <c r="R12" s="71"/>
      <c r="V12" s="21">
        <f t="shared" si="1"/>
        <v>1</v>
      </c>
      <c r="W12" s="21">
        <f t="shared" si="2"/>
        <v>0</v>
      </c>
    </row>
    <row r="13" spans="1:23" x14ac:dyDescent="0.3">
      <c r="A13" s="22"/>
      <c r="B13" s="34">
        <f t="shared" si="3"/>
        <v>8</v>
      </c>
      <c r="C13" s="35">
        <v>43248</v>
      </c>
      <c r="D13" s="36" t="s">
        <v>12</v>
      </c>
      <c r="E13" s="36" t="s">
        <v>20</v>
      </c>
      <c r="F13" s="80">
        <v>26550</v>
      </c>
      <c r="G13" s="80">
        <v>26200</v>
      </c>
      <c r="H13" s="80">
        <v>350</v>
      </c>
      <c r="I13" s="80">
        <v>80</v>
      </c>
      <c r="J13" s="37">
        <f t="shared" si="0"/>
        <v>28000</v>
      </c>
      <c r="K13" s="23"/>
      <c r="M13" s="72"/>
      <c r="R13" s="73"/>
      <c r="V13" s="21">
        <f t="shared" si="1"/>
        <v>1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/>
      <c r="D14" s="36"/>
      <c r="E14" s="36"/>
      <c r="F14" s="80"/>
      <c r="G14" s="80"/>
      <c r="H14" s="80"/>
      <c r="I14" s="80"/>
      <c r="J14" s="37">
        <f t="shared" si="0"/>
        <v>0</v>
      </c>
      <c r="K14" s="23"/>
      <c r="M14" s="72"/>
      <c r="R14" s="73"/>
      <c r="V14" s="21">
        <f t="shared" si="1"/>
        <v>0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/>
      <c r="D15" s="36"/>
      <c r="E15" s="36"/>
      <c r="F15" s="80"/>
      <c r="G15" s="80"/>
      <c r="H15" s="80"/>
      <c r="I15" s="80"/>
      <c r="J15" s="37">
        <f t="shared" si="0"/>
        <v>0</v>
      </c>
      <c r="K15" s="23"/>
      <c r="M15" s="72"/>
      <c r="R15" s="73"/>
      <c r="V15" s="21">
        <f t="shared" si="1"/>
        <v>0</v>
      </c>
      <c r="W15" s="21">
        <f t="shared" si="2"/>
        <v>0</v>
      </c>
    </row>
    <row r="16" spans="1:23" x14ac:dyDescent="0.3">
      <c r="A16" s="22"/>
      <c r="B16" s="34">
        <f t="shared" si="3"/>
        <v>11</v>
      </c>
      <c r="C16" s="35"/>
      <c r="D16" s="36"/>
      <c r="E16" s="36"/>
      <c r="F16" s="80"/>
      <c r="G16" s="80"/>
      <c r="H16" s="80"/>
      <c r="I16" s="80"/>
      <c r="J16" s="37">
        <f t="shared" si="0"/>
        <v>0</v>
      </c>
      <c r="K16" s="23"/>
      <c r="M16" s="72"/>
      <c r="R16" s="73"/>
      <c r="V16" s="21">
        <f t="shared" si="1"/>
        <v>0</v>
      </c>
      <c r="W16" s="21">
        <f t="shared" si="2"/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80"/>
      <c r="G19" s="80"/>
      <c r="H19" s="80"/>
      <c r="I19" s="80"/>
      <c r="J19" s="38">
        <f t="shared" ref="J19:J20" si="4">H19*I19</f>
        <v>0</v>
      </c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4"/>
        <v>0</v>
      </c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2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66750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1C00-000000000000}"/>
    <hyperlink ref="M1" location="'Home Page'!A1" display="Back" xr:uid="{00000000-0004-0000-1C00-000001000000}"/>
  </hyperlinks>
  <pageMargins left="0" right="0" top="0" bottom="0" header="0" footer="0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2" sqref="K2"/>
    </sheetView>
  </sheetViews>
  <sheetFormatPr defaultColWidth="9.109375" defaultRowHeight="14.4" x14ac:dyDescent="0.3"/>
  <cols>
    <col min="1" max="1" width="9.109375" style="7"/>
    <col min="2" max="2" width="21" customWidth="1"/>
    <col min="3" max="3" width="18.33203125" customWidth="1"/>
    <col min="4" max="4" width="24.332031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  <col min="11" max="11" width="10.44140625" customWidth="1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23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8">
        <v>42432</v>
      </c>
      <c r="C5" s="4" t="s">
        <v>12</v>
      </c>
      <c r="D5" s="4" t="s">
        <v>22</v>
      </c>
      <c r="E5" s="4">
        <v>557</v>
      </c>
      <c r="F5" s="4">
        <v>742</v>
      </c>
      <c r="G5" s="4">
        <v>16</v>
      </c>
      <c r="H5" s="4">
        <v>1400</v>
      </c>
      <c r="I5" s="4">
        <f>H5*G5</f>
        <v>22400</v>
      </c>
    </row>
    <row r="6" spans="1:11" ht="25.8" x14ac:dyDescent="0.5">
      <c r="B6" s="11">
        <v>42437</v>
      </c>
      <c r="C6" s="12" t="s">
        <v>12</v>
      </c>
      <c r="D6" s="12" t="s">
        <v>22</v>
      </c>
      <c r="E6" s="12">
        <v>760</v>
      </c>
      <c r="F6" s="12">
        <v>752</v>
      </c>
      <c r="G6" s="12">
        <v>8</v>
      </c>
      <c r="H6" s="12">
        <v>1400</v>
      </c>
      <c r="I6" s="4">
        <f>H6*G6</f>
        <v>11200</v>
      </c>
    </row>
    <row r="7" spans="1:11" ht="25.8" x14ac:dyDescent="0.5">
      <c r="B7" s="13">
        <v>42438</v>
      </c>
      <c r="C7" s="12" t="s">
        <v>15</v>
      </c>
      <c r="D7" s="12" t="s">
        <v>16</v>
      </c>
      <c r="E7" s="12">
        <v>7420</v>
      </c>
      <c r="F7" s="12">
        <v>7480</v>
      </c>
      <c r="G7" s="12">
        <v>60</v>
      </c>
      <c r="H7" s="12">
        <v>150</v>
      </c>
      <c r="I7" s="4">
        <f t="shared" ref="I7:I11" si="0">H7*G7</f>
        <v>9000</v>
      </c>
    </row>
    <row r="8" spans="1:11" ht="25.8" x14ac:dyDescent="0.5">
      <c r="B8" s="9">
        <v>42443</v>
      </c>
      <c r="C8" s="4" t="s">
        <v>19</v>
      </c>
      <c r="D8" s="4" t="s">
        <v>16</v>
      </c>
      <c r="E8" s="4">
        <v>7540</v>
      </c>
      <c r="F8" s="4">
        <v>7580</v>
      </c>
      <c r="G8" s="4">
        <v>-40</v>
      </c>
      <c r="H8" s="4">
        <v>150</v>
      </c>
      <c r="I8" s="4">
        <f t="shared" si="0"/>
        <v>-6000</v>
      </c>
    </row>
    <row r="9" spans="1:11" ht="25.8" x14ac:dyDescent="0.5">
      <c r="B9" s="9">
        <v>42447</v>
      </c>
      <c r="C9" s="4" t="s">
        <v>19</v>
      </c>
      <c r="D9" s="4" t="s">
        <v>16</v>
      </c>
      <c r="E9" s="4">
        <v>7580</v>
      </c>
      <c r="F9" s="4">
        <v>7640</v>
      </c>
      <c r="G9" s="4">
        <v>60</v>
      </c>
      <c r="H9" s="4">
        <v>150</v>
      </c>
      <c r="I9" s="4">
        <f t="shared" si="0"/>
        <v>9000</v>
      </c>
    </row>
    <row r="10" spans="1:11" ht="25.8" x14ac:dyDescent="0.5">
      <c r="B10" s="9">
        <v>42450</v>
      </c>
      <c r="C10" s="4" t="s">
        <v>19</v>
      </c>
      <c r="D10" s="4" t="s">
        <v>24</v>
      </c>
      <c r="E10" s="4">
        <v>372</v>
      </c>
      <c r="F10" s="4">
        <v>376</v>
      </c>
      <c r="G10" s="4">
        <v>4</v>
      </c>
      <c r="H10" s="4">
        <v>3000</v>
      </c>
      <c r="I10" s="4">
        <f t="shared" si="0"/>
        <v>12000</v>
      </c>
    </row>
    <row r="11" spans="1:11" ht="25.8" x14ac:dyDescent="0.5">
      <c r="B11" s="9">
        <v>42451</v>
      </c>
      <c r="C11" s="4" t="s">
        <v>19</v>
      </c>
      <c r="D11" s="4" t="s">
        <v>16</v>
      </c>
      <c r="E11" s="4">
        <v>7700</v>
      </c>
      <c r="F11" s="4">
        <v>7740</v>
      </c>
      <c r="G11" s="4">
        <v>40</v>
      </c>
      <c r="H11" s="4">
        <v>150</v>
      </c>
      <c r="I11" s="4">
        <f t="shared" si="0"/>
        <v>6000</v>
      </c>
    </row>
    <row r="12" spans="1:11" ht="25.8" x14ac:dyDescent="0.5">
      <c r="B12" s="8">
        <v>42458</v>
      </c>
      <c r="C12" s="4" t="s">
        <v>12</v>
      </c>
      <c r="D12" s="4" t="s">
        <v>16</v>
      </c>
      <c r="E12" s="4">
        <v>7630</v>
      </c>
      <c r="F12" s="4">
        <v>7660</v>
      </c>
      <c r="G12" s="4">
        <v>-30</v>
      </c>
      <c r="H12" s="4">
        <v>150</v>
      </c>
      <c r="I12" s="4">
        <f>H12*G12</f>
        <v>-4500</v>
      </c>
    </row>
    <row r="14" spans="1:11" ht="28.8" x14ac:dyDescent="0.55000000000000004">
      <c r="B14" s="9"/>
      <c r="C14" s="4"/>
      <c r="D14" s="4"/>
      <c r="E14" s="4"/>
      <c r="F14" s="4"/>
      <c r="G14" s="4"/>
      <c r="H14" s="4"/>
      <c r="I14" s="14"/>
    </row>
    <row r="15" spans="1:11" ht="25.8" x14ac:dyDescent="0.5">
      <c r="B15" s="9"/>
      <c r="C15" s="4"/>
      <c r="D15" s="4"/>
      <c r="E15" s="4"/>
      <c r="F15" s="4"/>
      <c r="G15" s="4"/>
      <c r="H15" s="4"/>
      <c r="I15" s="10">
        <f>SUM(I5:I14)</f>
        <v>59100</v>
      </c>
    </row>
    <row r="16" spans="1:11" ht="25.8" x14ac:dyDescent="0.5">
      <c r="B16" s="9"/>
      <c r="C16" s="4"/>
      <c r="D16" s="4"/>
      <c r="E16" s="4"/>
      <c r="F16" s="4"/>
      <c r="G16" s="4"/>
      <c r="H16" s="4"/>
      <c r="I16" s="4"/>
    </row>
    <row r="17" spans="2:9" ht="25.8" x14ac:dyDescent="0.5">
      <c r="B17" s="8"/>
      <c r="C17" s="4"/>
      <c r="D17" s="4"/>
      <c r="E17" s="4"/>
      <c r="F17" s="4"/>
      <c r="G17" s="4"/>
      <c r="H17" s="4"/>
      <c r="I17" s="10"/>
    </row>
    <row r="18" spans="2:9" ht="25.8" x14ac:dyDescent="0.5">
      <c r="B18" s="8"/>
      <c r="C18" s="4"/>
      <c r="D18" s="4"/>
      <c r="E18" s="4"/>
      <c r="F18" s="4"/>
      <c r="G18" s="4"/>
      <c r="H18" s="4"/>
      <c r="I18" s="4"/>
    </row>
    <row r="19" spans="2:9" ht="25.8" x14ac:dyDescent="0.5">
      <c r="B19" s="8"/>
      <c r="C19" s="4"/>
      <c r="D19" s="4"/>
      <c r="E19" s="4"/>
      <c r="F19" s="4"/>
      <c r="G19" s="4"/>
      <c r="H19" s="4"/>
      <c r="I19" s="4"/>
    </row>
    <row r="20" spans="2:9" ht="25.8" x14ac:dyDescent="0.5">
      <c r="I20" s="10"/>
    </row>
  </sheetData>
  <mergeCells count="3">
    <mergeCell ref="B1:I1"/>
    <mergeCell ref="B2:I2"/>
    <mergeCell ref="B3:I3"/>
  </mergeCells>
  <hyperlinks>
    <hyperlink ref="K2" location="'Home Page'!A1" display="Back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22"/>
  <sheetViews>
    <sheetView zoomScale="97" zoomScaleNormal="97" workbookViewId="0">
      <selection activeCell="C13" sqref="C13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43252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7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27" t="s">
        <v>8</v>
      </c>
      <c r="I5" s="27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43262</v>
      </c>
      <c r="D6" s="31" t="s">
        <v>12</v>
      </c>
      <c r="E6" s="31" t="s">
        <v>16</v>
      </c>
      <c r="F6" s="32">
        <v>10790</v>
      </c>
      <c r="G6" s="32">
        <v>10770</v>
      </c>
      <c r="H6" s="32">
        <v>20</v>
      </c>
      <c r="I6" s="32">
        <v>150</v>
      </c>
      <c r="J6" s="37">
        <f>I6*H6</f>
        <v>3000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ht="15" thickBot="1" x14ac:dyDescent="0.35">
      <c r="A7" s="22"/>
      <c r="B7" s="34">
        <f>B6+1</f>
        <v>2</v>
      </c>
      <c r="C7" s="30">
        <v>43271</v>
      </c>
      <c r="D7" s="36" t="s">
        <v>15</v>
      </c>
      <c r="E7" s="36" t="s">
        <v>16</v>
      </c>
      <c r="F7" s="37">
        <v>10780</v>
      </c>
      <c r="G7" s="79">
        <v>10805</v>
      </c>
      <c r="H7" s="32">
        <v>25</v>
      </c>
      <c r="I7" s="37">
        <v>150</v>
      </c>
      <c r="J7" s="37">
        <f t="shared" ref="J7:J12" si="0">I7*H7</f>
        <v>3750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1</v>
      </c>
      <c r="W7" s="21">
        <f t="shared" ref="W7:W19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43271</v>
      </c>
      <c r="D8" s="36" t="s">
        <v>19</v>
      </c>
      <c r="E8" s="36" t="s">
        <v>13</v>
      </c>
      <c r="F8" s="37">
        <v>273</v>
      </c>
      <c r="G8" s="37">
        <v>274.8</v>
      </c>
      <c r="H8" s="32">
        <v>2</v>
      </c>
      <c r="I8" s="37">
        <v>6000</v>
      </c>
      <c r="J8" s="37">
        <f t="shared" si="0"/>
        <v>12000</v>
      </c>
      <c r="K8" s="23"/>
      <c r="M8" s="123"/>
      <c r="N8" s="124"/>
      <c r="O8" s="125"/>
      <c r="P8" s="132"/>
      <c r="Q8" s="133"/>
      <c r="R8" s="134"/>
      <c r="V8" s="21">
        <f t="shared" si="1"/>
        <v>1</v>
      </c>
      <c r="W8" s="21">
        <f t="shared" si="2"/>
        <v>0</v>
      </c>
    </row>
    <row r="9" spans="1:23" x14ac:dyDescent="0.3">
      <c r="A9" s="22"/>
      <c r="B9" s="34">
        <f>B8+1</f>
        <v>4</v>
      </c>
      <c r="C9" s="35">
        <v>43272</v>
      </c>
      <c r="D9" s="36" t="s">
        <v>19</v>
      </c>
      <c r="E9" s="36" t="s">
        <v>16</v>
      </c>
      <c r="F9" s="80">
        <v>10730</v>
      </c>
      <c r="G9" s="80">
        <v>10800</v>
      </c>
      <c r="H9" s="80">
        <v>70</v>
      </c>
      <c r="I9" s="80">
        <v>150</v>
      </c>
      <c r="J9" s="37">
        <f t="shared" si="0"/>
        <v>10500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43277</v>
      </c>
      <c r="D10" s="36" t="s">
        <v>12</v>
      </c>
      <c r="E10" s="36" t="s">
        <v>28</v>
      </c>
      <c r="F10" s="80">
        <v>288</v>
      </c>
      <c r="G10" s="80">
        <v>280</v>
      </c>
      <c r="H10" s="80">
        <v>8</v>
      </c>
      <c r="I10" s="80">
        <v>5500</v>
      </c>
      <c r="J10" s="37">
        <f t="shared" si="0"/>
        <v>44000</v>
      </c>
      <c r="K10" s="23"/>
      <c r="V10" s="21">
        <f t="shared" si="1"/>
        <v>1</v>
      </c>
      <c r="W10" s="21">
        <f t="shared" si="2"/>
        <v>0</v>
      </c>
    </row>
    <row r="11" spans="1:23" ht="15" thickBot="1" x14ac:dyDescent="0.35">
      <c r="A11" s="22"/>
      <c r="B11" s="34">
        <f t="shared" si="3"/>
        <v>6</v>
      </c>
      <c r="C11" s="35">
        <v>43277</v>
      </c>
      <c r="D11" s="36" t="s">
        <v>12</v>
      </c>
      <c r="E11" s="36" t="s">
        <v>16</v>
      </c>
      <c r="F11" s="80">
        <v>10790</v>
      </c>
      <c r="G11" s="80">
        <v>10710</v>
      </c>
      <c r="H11" s="80">
        <v>80</v>
      </c>
      <c r="I11" s="80">
        <v>150</v>
      </c>
      <c r="J11" s="37">
        <f t="shared" si="0"/>
        <v>12000</v>
      </c>
      <c r="K11" s="23"/>
      <c r="V11" s="21">
        <f t="shared" si="1"/>
        <v>1</v>
      </c>
      <c r="W11" s="21">
        <f t="shared" si="2"/>
        <v>0</v>
      </c>
    </row>
    <row r="12" spans="1:23" ht="15" thickTop="1" x14ac:dyDescent="0.3">
      <c r="A12" s="22"/>
      <c r="B12" s="34">
        <f t="shared" si="3"/>
        <v>7</v>
      </c>
      <c r="C12" s="35">
        <v>43278</v>
      </c>
      <c r="D12" s="36" t="s">
        <v>12</v>
      </c>
      <c r="E12" s="36" t="s">
        <v>13</v>
      </c>
      <c r="F12" s="80">
        <v>263</v>
      </c>
      <c r="G12" s="80">
        <v>258</v>
      </c>
      <c r="H12" s="80">
        <v>5</v>
      </c>
      <c r="I12" s="80">
        <v>6000</v>
      </c>
      <c r="J12" s="37">
        <f t="shared" si="0"/>
        <v>30000</v>
      </c>
      <c r="K12" s="23"/>
      <c r="M12" s="69"/>
      <c r="N12" s="70"/>
      <c r="O12" s="70"/>
      <c r="P12" s="70"/>
      <c r="Q12" s="70"/>
      <c r="R12" s="71"/>
      <c r="V12" s="21">
        <f t="shared" si="1"/>
        <v>1</v>
      </c>
      <c r="W12" s="21">
        <f t="shared" si="2"/>
        <v>0</v>
      </c>
    </row>
    <row r="13" spans="1:23" x14ac:dyDescent="0.3">
      <c r="A13" s="22"/>
      <c r="B13" s="34">
        <f t="shared" si="3"/>
        <v>8</v>
      </c>
      <c r="C13" s="35"/>
      <c r="D13" s="36"/>
      <c r="E13" s="36"/>
      <c r="F13" s="80"/>
      <c r="G13" s="80"/>
      <c r="H13" s="80"/>
      <c r="I13" s="80"/>
      <c r="J13" s="37"/>
      <c r="K13" s="23"/>
      <c r="M13" s="72"/>
      <c r="R13" s="73"/>
      <c r="V13" s="21">
        <f t="shared" si="1"/>
        <v>0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/>
      <c r="D14" s="36"/>
      <c r="E14" s="36"/>
      <c r="F14" s="80"/>
      <c r="G14" s="80"/>
      <c r="H14" s="80"/>
      <c r="I14" s="80"/>
      <c r="J14" s="37"/>
      <c r="K14" s="23"/>
      <c r="M14" s="72"/>
      <c r="R14" s="73"/>
      <c r="V14" s="21">
        <f t="shared" si="1"/>
        <v>0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/>
      <c r="D15" s="36"/>
      <c r="E15" s="36"/>
      <c r="F15" s="80"/>
      <c r="G15" s="80"/>
      <c r="H15" s="80"/>
      <c r="I15" s="80"/>
      <c r="J15" s="37"/>
      <c r="K15" s="23"/>
      <c r="M15" s="72"/>
      <c r="R15" s="73"/>
      <c r="V15" s="21">
        <f t="shared" si="1"/>
        <v>0</v>
      </c>
      <c r="W15" s="21">
        <f t="shared" si="2"/>
        <v>0</v>
      </c>
    </row>
    <row r="16" spans="1:23" x14ac:dyDescent="0.3">
      <c r="A16" s="22"/>
      <c r="B16" s="34">
        <f t="shared" si="3"/>
        <v>11</v>
      </c>
      <c r="C16" s="35"/>
      <c r="D16" s="36"/>
      <c r="E16" s="36"/>
      <c r="F16" s="80"/>
      <c r="G16" s="80"/>
      <c r="H16" s="80"/>
      <c r="I16" s="80"/>
      <c r="J16" s="37">
        <f t="shared" ref="J16" si="4">I16*H16</f>
        <v>0</v>
      </c>
      <c r="K16" s="23"/>
      <c r="M16" s="72"/>
      <c r="R16" s="73"/>
      <c r="V16" s="21">
        <f t="shared" si="1"/>
        <v>0</v>
      </c>
      <c r="W16" s="21">
        <f t="shared" si="2"/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80"/>
      <c r="G19" s="80"/>
      <c r="H19" s="80"/>
      <c r="I19" s="80"/>
      <c r="J19" s="38">
        <f t="shared" ref="J19:J20" si="5">H19*I19</f>
        <v>0</v>
      </c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>
        <f t="shared" si="5"/>
        <v>0</v>
      </c>
      <c r="K20" s="23"/>
      <c r="M20" s="75"/>
      <c r="N20" s="76"/>
      <c r="O20" s="76"/>
      <c r="P20" s="76"/>
      <c r="Q20" s="76"/>
      <c r="R20" s="77"/>
      <c r="V20" s="21">
        <f>SUM(V6:V19)</f>
        <v>7</v>
      </c>
      <c r="W20" s="21">
        <f>SUM(W6:W19)</f>
        <v>0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115250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1D00-000000000000}"/>
    <hyperlink ref="M1" location="'Home Page'!A1" display="Back" xr:uid="{00000000-0004-0000-1D00-000001000000}"/>
  </hyperlinks>
  <pageMargins left="0" right="0" top="0" bottom="0" header="0" footer="0"/>
  <pageSetup paperSize="9" orientation="portrait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22"/>
  <sheetViews>
    <sheetView zoomScale="97" zoomScaleNormal="97" workbookViewId="0">
      <selection activeCell="J16" sqref="J16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43282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6</v>
      </c>
      <c r="P4" s="147">
        <f>W20</f>
        <v>2</v>
      </c>
      <c r="Q4" s="149">
        <f>N4-O4-P4</f>
        <v>0</v>
      </c>
      <c r="R4" s="151">
        <f>O4/N4</f>
        <v>0.75</v>
      </c>
    </row>
    <row r="5" spans="1:23" ht="15" thickBot="1" x14ac:dyDescent="0.35">
      <c r="A5" s="22"/>
      <c r="B5" s="24" t="s">
        <v>66</v>
      </c>
      <c r="C5" s="25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82" t="s">
        <v>8</v>
      </c>
      <c r="I5" s="27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ht="15" thickBot="1" x14ac:dyDescent="0.35">
      <c r="A6" s="22"/>
      <c r="B6" s="29">
        <v>1</v>
      </c>
      <c r="C6" s="30">
        <v>43283</v>
      </c>
      <c r="D6" s="31" t="s">
        <v>12</v>
      </c>
      <c r="E6" s="31" t="s">
        <v>16</v>
      </c>
      <c r="F6" s="32">
        <v>10660</v>
      </c>
      <c r="G6" s="32">
        <v>10635</v>
      </c>
      <c r="H6" s="37">
        <v>25</v>
      </c>
      <c r="I6" s="32">
        <v>150</v>
      </c>
      <c r="J6" s="37">
        <f>I6*H6</f>
        <v>3750</v>
      </c>
      <c r="K6" s="23"/>
      <c r="M6" s="117" t="s">
        <v>67</v>
      </c>
      <c r="N6" s="118"/>
      <c r="O6" s="119"/>
      <c r="P6" s="126">
        <f>R4</f>
        <v>0.75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34">
        <f>B6+1</f>
        <v>2</v>
      </c>
      <c r="C7" s="30">
        <v>43284</v>
      </c>
      <c r="D7" s="36" t="s">
        <v>15</v>
      </c>
      <c r="E7" s="36" t="s">
        <v>33</v>
      </c>
      <c r="F7" s="37">
        <v>338</v>
      </c>
      <c r="G7" s="79">
        <v>336</v>
      </c>
      <c r="H7" s="37">
        <v>-2</v>
      </c>
      <c r="I7" s="37">
        <v>3500</v>
      </c>
      <c r="J7" s="37">
        <f t="shared" ref="J7:J14" si="0">I7*H7</f>
        <v>-7000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0</v>
      </c>
      <c r="W7" s="21">
        <f t="shared" ref="W7:W19" si="2">IF($J7&lt;0,1,0)</f>
        <v>1</v>
      </c>
    </row>
    <row r="8" spans="1:23" ht="15" thickBot="1" x14ac:dyDescent="0.35">
      <c r="A8" s="22"/>
      <c r="B8" s="34">
        <f t="shared" ref="B8:B20" si="3">B7+1</f>
        <v>3</v>
      </c>
      <c r="C8" s="35">
        <v>43286</v>
      </c>
      <c r="D8" s="36" t="s">
        <v>12</v>
      </c>
      <c r="E8" s="36" t="s">
        <v>16</v>
      </c>
      <c r="F8" s="37">
        <v>10770</v>
      </c>
      <c r="G8" s="37">
        <v>10720</v>
      </c>
      <c r="H8" s="83">
        <v>50</v>
      </c>
      <c r="I8" s="37">
        <v>150</v>
      </c>
      <c r="J8" s="37">
        <f t="shared" si="0"/>
        <v>7500</v>
      </c>
      <c r="K8" s="23"/>
      <c r="M8" s="123"/>
      <c r="N8" s="124"/>
      <c r="O8" s="125"/>
      <c r="P8" s="132"/>
      <c r="Q8" s="133"/>
      <c r="R8" s="134"/>
      <c r="V8" s="21">
        <f t="shared" si="1"/>
        <v>1</v>
      </c>
      <c r="W8" s="21">
        <f t="shared" si="2"/>
        <v>0</v>
      </c>
    </row>
    <row r="9" spans="1:23" x14ac:dyDescent="0.3">
      <c r="A9" s="22"/>
      <c r="B9" s="34">
        <f>B8+1</f>
        <v>4</v>
      </c>
      <c r="C9" s="35">
        <v>43292</v>
      </c>
      <c r="D9" s="36" t="s">
        <v>12</v>
      </c>
      <c r="E9" s="36" t="s">
        <v>98</v>
      </c>
      <c r="F9" s="80">
        <v>542</v>
      </c>
      <c r="G9" s="80">
        <v>536</v>
      </c>
      <c r="H9" s="80">
        <f>F9-G9</f>
        <v>6</v>
      </c>
      <c r="I9" s="80">
        <v>3400</v>
      </c>
      <c r="J9" s="37">
        <f t="shared" si="0"/>
        <v>20400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43268</v>
      </c>
      <c r="D10" s="36" t="s">
        <v>12</v>
      </c>
      <c r="E10" s="36" t="s">
        <v>16</v>
      </c>
      <c r="F10" s="80">
        <v>11030</v>
      </c>
      <c r="G10" s="80">
        <v>11060</v>
      </c>
      <c r="H10" s="80">
        <v>-30</v>
      </c>
      <c r="I10" s="80">
        <v>150</v>
      </c>
      <c r="J10" s="37">
        <f t="shared" si="0"/>
        <v>-4500</v>
      </c>
      <c r="K10" s="23"/>
      <c r="V10" s="21">
        <f t="shared" si="1"/>
        <v>0</v>
      </c>
      <c r="W10" s="21">
        <f t="shared" si="2"/>
        <v>1</v>
      </c>
    </row>
    <row r="11" spans="1:23" ht="15" thickBot="1" x14ac:dyDescent="0.35">
      <c r="A11" s="22"/>
      <c r="B11" s="34">
        <f t="shared" si="3"/>
        <v>6</v>
      </c>
      <c r="C11" s="35">
        <v>43300</v>
      </c>
      <c r="D11" s="36" t="s">
        <v>19</v>
      </c>
      <c r="E11" s="36" t="s">
        <v>16</v>
      </c>
      <c r="F11" s="80">
        <v>10960</v>
      </c>
      <c r="G11" s="80">
        <v>11040</v>
      </c>
      <c r="H11" s="80">
        <v>80</v>
      </c>
      <c r="I11" s="80">
        <v>150</v>
      </c>
      <c r="J11" s="37">
        <f t="shared" si="0"/>
        <v>12000</v>
      </c>
      <c r="K11" s="23"/>
      <c r="V11" s="21">
        <f t="shared" si="1"/>
        <v>1</v>
      </c>
      <c r="W11" s="21">
        <f t="shared" si="2"/>
        <v>0</v>
      </c>
    </row>
    <row r="12" spans="1:23" ht="15" thickTop="1" x14ac:dyDescent="0.3">
      <c r="A12" s="22"/>
      <c r="B12" s="34">
        <f t="shared" si="3"/>
        <v>7</v>
      </c>
      <c r="C12" s="35">
        <v>43306</v>
      </c>
      <c r="D12" s="36" t="s">
        <v>19</v>
      </c>
      <c r="E12" s="36" t="s">
        <v>16</v>
      </c>
      <c r="F12" s="80">
        <v>11130</v>
      </c>
      <c r="G12" s="80">
        <v>11165</v>
      </c>
      <c r="H12" s="80">
        <v>35</v>
      </c>
      <c r="I12" s="80">
        <v>150</v>
      </c>
      <c r="J12" s="37">
        <f t="shared" si="0"/>
        <v>5250</v>
      </c>
      <c r="K12" s="23"/>
      <c r="M12" s="69"/>
      <c r="N12" s="70"/>
      <c r="O12" s="70"/>
      <c r="P12" s="70"/>
      <c r="Q12" s="70"/>
      <c r="R12" s="71"/>
      <c r="V12" s="21">
        <f t="shared" si="1"/>
        <v>1</v>
      </c>
      <c r="W12" s="21">
        <f t="shared" si="2"/>
        <v>0</v>
      </c>
    </row>
    <row r="13" spans="1:23" x14ac:dyDescent="0.3">
      <c r="A13" s="22"/>
      <c r="B13" s="34">
        <f t="shared" si="3"/>
        <v>8</v>
      </c>
      <c r="C13" s="35">
        <v>43312</v>
      </c>
      <c r="D13" s="36" t="s">
        <v>19</v>
      </c>
      <c r="E13" s="36" t="s">
        <v>16</v>
      </c>
      <c r="F13" s="80">
        <v>11320</v>
      </c>
      <c r="G13" s="80">
        <v>11375</v>
      </c>
      <c r="H13" s="80">
        <f>G13-F13</f>
        <v>55</v>
      </c>
      <c r="I13" s="80">
        <v>150</v>
      </c>
      <c r="J13" s="37">
        <f t="shared" si="0"/>
        <v>8250</v>
      </c>
      <c r="K13" s="23"/>
      <c r="M13" s="72"/>
      <c r="R13" s="73"/>
      <c r="V13" s="21">
        <f t="shared" si="1"/>
        <v>1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/>
      <c r="D14" s="36"/>
      <c r="E14" s="36"/>
      <c r="F14" s="80"/>
      <c r="G14" s="80"/>
      <c r="H14" s="80"/>
      <c r="I14" s="80"/>
      <c r="J14" s="37">
        <f t="shared" si="0"/>
        <v>0</v>
      </c>
      <c r="K14" s="23"/>
      <c r="M14" s="72"/>
      <c r="R14" s="73"/>
      <c r="V14" s="21">
        <f t="shared" si="1"/>
        <v>0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/>
      <c r="D15" s="36"/>
      <c r="E15" s="36"/>
      <c r="F15" s="80"/>
      <c r="G15" s="80"/>
      <c r="H15" s="80"/>
      <c r="I15" s="80"/>
      <c r="J15" s="37"/>
      <c r="K15" s="23"/>
      <c r="M15" s="72"/>
      <c r="R15" s="73"/>
      <c r="V15" s="21">
        <f t="shared" si="1"/>
        <v>0</v>
      </c>
      <c r="W15" s="21">
        <f t="shared" si="2"/>
        <v>0</v>
      </c>
    </row>
    <row r="16" spans="1:23" x14ac:dyDescent="0.3">
      <c r="A16" s="22"/>
      <c r="B16" s="34">
        <f t="shared" si="3"/>
        <v>11</v>
      </c>
      <c r="C16" s="35"/>
      <c r="D16" s="36"/>
      <c r="E16" s="36"/>
      <c r="F16" s="80"/>
      <c r="G16" s="80"/>
      <c r="H16" s="80"/>
      <c r="I16" s="80"/>
      <c r="J16" s="37"/>
      <c r="K16" s="23"/>
      <c r="M16" s="72"/>
      <c r="R16" s="73"/>
      <c r="V16" s="21">
        <f t="shared" si="1"/>
        <v>0</v>
      </c>
      <c r="W16" s="21">
        <f t="shared" si="2"/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2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45650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1E00-000000000000}"/>
    <hyperlink ref="M1" location="'Home Page'!A1" display="Back" xr:uid="{00000000-0004-0000-1E00-000001000000}"/>
  </hyperlinks>
  <pageMargins left="0" right="0" top="0" bottom="0" header="0" footer="0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22"/>
  <sheetViews>
    <sheetView zoomScale="97" zoomScaleNormal="97" workbookViewId="0">
      <selection activeCell="J22" sqref="J22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2.88671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43313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5</v>
      </c>
      <c r="P4" s="147">
        <f>W20</f>
        <v>1</v>
      </c>
      <c r="Q4" s="149">
        <f>N4-O4-P4</f>
        <v>1</v>
      </c>
      <c r="R4" s="151">
        <f>O4/N4</f>
        <v>0.7142857142857143</v>
      </c>
    </row>
    <row r="5" spans="1:23" ht="15" thickBot="1" x14ac:dyDescent="0.35">
      <c r="A5" s="22"/>
      <c r="B5" s="24" t="s">
        <v>66</v>
      </c>
      <c r="C5" s="84" t="s">
        <v>2</v>
      </c>
      <c r="D5" s="26" t="s">
        <v>3</v>
      </c>
      <c r="E5" s="26" t="s">
        <v>4</v>
      </c>
      <c r="F5" s="27" t="s">
        <v>5</v>
      </c>
      <c r="G5" s="27" t="s">
        <v>6</v>
      </c>
      <c r="H5" s="82" t="s">
        <v>8</v>
      </c>
      <c r="I5" s="27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29">
        <v>1</v>
      </c>
      <c r="C6" s="35">
        <v>43315</v>
      </c>
      <c r="D6" s="31" t="s">
        <v>12</v>
      </c>
      <c r="E6" s="31" t="s">
        <v>18</v>
      </c>
      <c r="F6" s="32">
        <v>1282</v>
      </c>
      <c r="G6" s="32">
        <v>1277</v>
      </c>
      <c r="H6" s="37">
        <v>5</v>
      </c>
      <c r="I6" s="32">
        <v>1500</v>
      </c>
      <c r="J6" s="37">
        <f>I6*H6</f>
        <v>7500</v>
      </c>
      <c r="K6" s="23"/>
      <c r="M6" s="117" t="s">
        <v>67</v>
      </c>
      <c r="N6" s="118"/>
      <c r="O6" s="119"/>
      <c r="P6" s="126">
        <f>R4</f>
        <v>0.7142857142857143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34">
        <f>B6+1</f>
        <v>2</v>
      </c>
      <c r="C7" s="85">
        <v>43318</v>
      </c>
      <c r="D7" s="36" t="s">
        <v>19</v>
      </c>
      <c r="E7" s="36" t="s">
        <v>99</v>
      </c>
      <c r="F7" s="37">
        <v>11415</v>
      </c>
      <c r="G7" s="36">
        <v>11445</v>
      </c>
      <c r="H7" s="37">
        <v>30</v>
      </c>
      <c r="I7" s="37">
        <v>150</v>
      </c>
      <c r="J7" s="37">
        <f t="shared" ref="J7:J14" si="0">I7*H7</f>
        <v>4500</v>
      </c>
      <c r="K7" s="23"/>
      <c r="M7" s="120"/>
      <c r="N7" s="121"/>
      <c r="O7" s="122"/>
      <c r="P7" s="129"/>
      <c r="Q7" s="130"/>
      <c r="R7" s="131"/>
      <c r="V7" s="21">
        <f t="shared" ref="V7:V19" si="1">IF($J7&gt;0,1,0)</f>
        <v>1</v>
      </c>
      <c r="W7" s="21">
        <f t="shared" ref="W7:W19" si="2">IF($J7&lt;0,1,0)</f>
        <v>0</v>
      </c>
    </row>
    <row r="8" spans="1:23" ht="15" thickBot="1" x14ac:dyDescent="0.35">
      <c r="A8" s="22"/>
      <c r="B8" s="34">
        <f t="shared" ref="B8:B20" si="3">B7+1</f>
        <v>3</v>
      </c>
      <c r="C8" s="35">
        <v>43319</v>
      </c>
      <c r="D8" s="36" t="s">
        <v>19</v>
      </c>
      <c r="E8" s="36" t="s">
        <v>99</v>
      </c>
      <c r="F8" s="37">
        <v>11410</v>
      </c>
      <c r="G8" s="37">
        <v>11475</v>
      </c>
      <c r="H8" s="83">
        <v>65</v>
      </c>
      <c r="I8" s="37">
        <v>150</v>
      </c>
      <c r="J8" s="37">
        <f t="shared" si="0"/>
        <v>9750</v>
      </c>
      <c r="K8" s="23"/>
      <c r="M8" s="123"/>
      <c r="N8" s="124"/>
      <c r="O8" s="125"/>
      <c r="P8" s="132"/>
      <c r="Q8" s="133"/>
      <c r="R8" s="134"/>
      <c r="V8" s="21">
        <f t="shared" si="1"/>
        <v>1</v>
      </c>
      <c r="W8" s="21">
        <f t="shared" si="2"/>
        <v>0</v>
      </c>
    </row>
    <row r="9" spans="1:23" x14ac:dyDescent="0.3">
      <c r="A9" s="22"/>
      <c r="B9" s="34">
        <f>B8+1</f>
        <v>4</v>
      </c>
      <c r="C9" s="35">
        <v>43332</v>
      </c>
      <c r="D9" s="36" t="s">
        <v>19</v>
      </c>
      <c r="E9" s="36" t="s">
        <v>100</v>
      </c>
      <c r="F9" s="80">
        <v>405</v>
      </c>
      <c r="G9" s="80">
        <v>412</v>
      </c>
      <c r="H9" s="80">
        <v>7</v>
      </c>
      <c r="I9" s="80">
        <v>4000</v>
      </c>
      <c r="J9" s="37">
        <f t="shared" si="0"/>
        <v>28000</v>
      </c>
      <c r="K9" s="23"/>
      <c r="V9" s="21">
        <f t="shared" si="1"/>
        <v>1</v>
      </c>
      <c r="W9" s="21">
        <f t="shared" si="2"/>
        <v>0</v>
      </c>
    </row>
    <row r="10" spans="1:23" x14ac:dyDescent="0.3">
      <c r="A10" s="22"/>
      <c r="B10" s="34">
        <f t="shared" si="3"/>
        <v>5</v>
      </c>
      <c r="C10" s="35">
        <v>43332</v>
      </c>
      <c r="D10" s="36" t="s">
        <v>19</v>
      </c>
      <c r="E10" s="36" t="s">
        <v>13</v>
      </c>
      <c r="F10" s="80">
        <v>308</v>
      </c>
      <c r="G10" s="80">
        <v>308</v>
      </c>
      <c r="H10" s="80">
        <v>0</v>
      </c>
      <c r="I10" s="80">
        <v>6000</v>
      </c>
      <c r="J10" s="37">
        <f t="shared" si="0"/>
        <v>0</v>
      </c>
      <c r="K10" s="23"/>
      <c r="V10" s="21">
        <f t="shared" si="1"/>
        <v>0</v>
      </c>
      <c r="W10" s="21">
        <f t="shared" si="2"/>
        <v>0</v>
      </c>
    </row>
    <row r="11" spans="1:23" ht="15" thickBot="1" x14ac:dyDescent="0.35">
      <c r="A11" s="22"/>
      <c r="B11" s="34">
        <f t="shared" si="3"/>
        <v>6</v>
      </c>
      <c r="C11" s="35">
        <v>43335</v>
      </c>
      <c r="D11" s="36" t="s">
        <v>19</v>
      </c>
      <c r="E11" s="36" t="s">
        <v>99</v>
      </c>
      <c r="F11" s="80">
        <v>11590</v>
      </c>
      <c r="G11" s="80">
        <v>11560</v>
      </c>
      <c r="H11" s="80">
        <v>-30</v>
      </c>
      <c r="I11" s="80">
        <v>150</v>
      </c>
      <c r="J11" s="37">
        <f t="shared" si="0"/>
        <v>-4500</v>
      </c>
      <c r="K11" s="23"/>
      <c r="V11" s="21">
        <f t="shared" si="1"/>
        <v>0</v>
      </c>
      <c r="W11" s="21">
        <f t="shared" si="2"/>
        <v>1</v>
      </c>
    </row>
    <row r="12" spans="1:23" ht="15" thickTop="1" x14ac:dyDescent="0.3">
      <c r="A12" s="22"/>
      <c r="B12" s="34">
        <f t="shared" si="3"/>
        <v>7</v>
      </c>
      <c r="C12" s="35">
        <v>43340</v>
      </c>
      <c r="D12" s="36" t="s">
        <v>19</v>
      </c>
      <c r="E12" s="36" t="s">
        <v>56</v>
      </c>
      <c r="F12" s="80">
        <v>1318</v>
      </c>
      <c r="G12" s="80">
        <v>1328</v>
      </c>
      <c r="H12" s="80">
        <v>10</v>
      </c>
      <c r="I12" s="80">
        <v>2000</v>
      </c>
      <c r="J12" s="37">
        <f t="shared" si="0"/>
        <v>20000</v>
      </c>
      <c r="K12" s="23"/>
      <c r="M12" s="69"/>
      <c r="N12" s="70"/>
      <c r="O12" s="70"/>
      <c r="P12" s="70"/>
      <c r="Q12" s="70"/>
      <c r="R12" s="71"/>
      <c r="V12" s="21">
        <f t="shared" si="1"/>
        <v>1</v>
      </c>
      <c r="W12" s="21">
        <f t="shared" si="2"/>
        <v>0</v>
      </c>
    </row>
    <row r="13" spans="1:23" x14ac:dyDescent="0.3">
      <c r="A13" s="22"/>
      <c r="B13" s="34">
        <f t="shared" si="3"/>
        <v>8</v>
      </c>
      <c r="C13" s="35"/>
      <c r="D13" s="36"/>
      <c r="E13" s="36"/>
      <c r="F13" s="80"/>
      <c r="G13" s="80"/>
      <c r="H13" s="80"/>
      <c r="I13" s="80"/>
      <c r="J13" s="37">
        <f t="shared" si="0"/>
        <v>0</v>
      </c>
      <c r="K13" s="23"/>
      <c r="M13" s="72"/>
      <c r="R13" s="73"/>
      <c r="V13" s="21">
        <f t="shared" si="1"/>
        <v>0</v>
      </c>
      <c r="W13" s="21">
        <f t="shared" si="2"/>
        <v>0</v>
      </c>
    </row>
    <row r="14" spans="1:23" x14ac:dyDescent="0.3">
      <c r="A14" s="22"/>
      <c r="B14" s="34">
        <f t="shared" si="3"/>
        <v>9</v>
      </c>
      <c r="C14" s="35"/>
      <c r="D14" s="36"/>
      <c r="E14" s="36"/>
      <c r="F14" s="80"/>
      <c r="G14" s="80"/>
      <c r="H14" s="80"/>
      <c r="I14" s="80"/>
      <c r="J14" s="37">
        <f t="shared" si="0"/>
        <v>0</v>
      </c>
      <c r="K14" s="23"/>
      <c r="M14" s="72"/>
      <c r="R14" s="73"/>
      <c r="V14" s="21">
        <f t="shared" si="1"/>
        <v>0</v>
      </c>
      <c r="W14" s="21">
        <f t="shared" si="2"/>
        <v>0</v>
      </c>
    </row>
    <row r="15" spans="1:23" x14ac:dyDescent="0.3">
      <c r="A15" s="22"/>
      <c r="B15" s="34">
        <f t="shared" si="3"/>
        <v>10</v>
      </c>
      <c r="C15" s="35"/>
      <c r="D15" s="36"/>
      <c r="E15" s="36"/>
      <c r="F15" s="80"/>
      <c r="G15" s="80"/>
      <c r="H15" s="80"/>
      <c r="I15" s="80"/>
      <c r="J15" s="37"/>
      <c r="K15" s="23"/>
      <c r="M15" s="72"/>
      <c r="R15" s="73"/>
      <c r="V15" s="21">
        <f t="shared" si="1"/>
        <v>0</v>
      </c>
      <c r="W15" s="21">
        <f t="shared" si="2"/>
        <v>0</v>
      </c>
    </row>
    <row r="16" spans="1:23" x14ac:dyDescent="0.3">
      <c r="A16" s="22"/>
      <c r="B16" s="34">
        <f t="shared" si="3"/>
        <v>11</v>
      </c>
      <c r="C16" s="35"/>
      <c r="D16" s="36"/>
      <c r="E16" s="36"/>
      <c r="F16" s="80"/>
      <c r="G16" s="80"/>
      <c r="H16" s="80"/>
      <c r="I16" s="80"/>
      <c r="J16" s="37"/>
      <c r="K16" s="23"/>
      <c r="M16" s="72"/>
      <c r="R16" s="73"/>
      <c r="V16" s="21">
        <f t="shared" si="1"/>
        <v>0</v>
      </c>
      <c r="W16" s="21">
        <f t="shared" si="2"/>
        <v>0</v>
      </c>
    </row>
    <row r="17" spans="1:23" x14ac:dyDescent="0.3">
      <c r="A17" s="22"/>
      <c r="B17" s="34">
        <f t="shared" si="3"/>
        <v>12</v>
      </c>
      <c r="C17" s="35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1"/>
        <v>0</v>
      </c>
      <c r="W17" s="21">
        <f t="shared" si="2"/>
        <v>0</v>
      </c>
    </row>
    <row r="18" spans="1:23" x14ac:dyDescent="0.3">
      <c r="A18" s="22"/>
      <c r="B18" s="34">
        <f t="shared" si="3"/>
        <v>13</v>
      </c>
      <c r="C18" s="35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1"/>
        <v>0</v>
      </c>
      <c r="W18" s="21">
        <f t="shared" si="2"/>
        <v>0</v>
      </c>
    </row>
    <row r="19" spans="1:23" x14ac:dyDescent="0.3">
      <c r="A19" s="22"/>
      <c r="B19" s="34">
        <f t="shared" si="3"/>
        <v>14</v>
      </c>
      <c r="C19" s="35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1"/>
        <v>0</v>
      </c>
      <c r="W19" s="21">
        <f t="shared" si="2"/>
        <v>0</v>
      </c>
    </row>
    <row r="20" spans="1:23" ht="15" thickBot="1" x14ac:dyDescent="0.35">
      <c r="A20" s="22"/>
      <c r="B20" s="34">
        <f t="shared" si="3"/>
        <v>15</v>
      </c>
      <c r="C20" s="35"/>
      <c r="D20" s="36"/>
      <c r="E20" s="36"/>
      <c r="F20" s="37"/>
      <c r="G20" s="37"/>
      <c r="H20" s="37"/>
      <c r="I20" s="37"/>
      <c r="J20" s="38"/>
      <c r="K20" s="23"/>
      <c r="M20" s="75"/>
      <c r="N20" s="76"/>
      <c r="O20" s="76"/>
      <c r="P20" s="76"/>
      <c r="Q20" s="76"/>
      <c r="R20" s="77"/>
      <c r="V20" s="21">
        <f>SUM(V6:V19)</f>
        <v>5</v>
      </c>
      <c r="W20" s="21">
        <f>SUM(W6:W19)</f>
        <v>1</v>
      </c>
    </row>
    <row r="21" spans="1:23" ht="30" customHeight="1" thickTop="1" thickBot="1" x14ac:dyDescent="0.5">
      <c r="A21" s="22"/>
      <c r="B21" s="135" t="s">
        <v>68</v>
      </c>
      <c r="C21" s="136"/>
      <c r="D21" s="136"/>
      <c r="E21" s="136"/>
      <c r="F21" s="136"/>
      <c r="G21" s="136"/>
      <c r="H21" s="137"/>
      <c r="I21" s="40" t="s">
        <v>69</v>
      </c>
      <c r="J21" s="41">
        <f>SUM(J6:J20)</f>
        <v>65250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1F00-000000000000}"/>
    <hyperlink ref="M1" location="'Home Page'!A1" display="Back" xr:uid="{00000000-0004-0000-1F00-000001000000}"/>
  </hyperlinks>
  <pageMargins left="0" right="0" top="0" bottom="0" header="0" footer="0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22"/>
  <sheetViews>
    <sheetView zoomScale="97" zoomScaleNormal="97" workbookViewId="0">
      <selection activeCell="E13" sqref="E13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43344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4</v>
      </c>
      <c r="O4" s="147">
        <f>V20</f>
        <v>2</v>
      </c>
      <c r="P4" s="147">
        <f>W20</f>
        <v>2</v>
      </c>
      <c r="Q4" s="149">
        <f>N4-O4-P4</f>
        <v>0</v>
      </c>
      <c r="R4" s="151">
        <f>O4/N4</f>
        <v>0.5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43353</v>
      </c>
      <c r="D6" s="31" t="s">
        <v>19</v>
      </c>
      <c r="E6" s="31" t="s">
        <v>28</v>
      </c>
      <c r="F6" s="32">
        <v>333</v>
      </c>
      <c r="G6" s="86">
        <v>336.8</v>
      </c>
      <c r="H6" s="86">
        <v>3.8</v>
      </c>
      <c r="I6" s="32">
        <v>5500</v>
      </c>
      <c r="J6" s="33">
        <f>I6*H6</f>
        <v>20900</v>
      </c>
      <c r="K6" s="23"/>
      <c r="M6" s="117" t="s">
        <v>67</v>
      </c>
      <c r="N6" s="118"/>
      <c r="O6" s="119"/>
      <c r="P6" s="126">
        <f>R4</f>
        <v>0.5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43355</v>
      </c>
      <c r="D7" s="36" t="s">
        <v>12</v>
      </c>
      <c r="E7" s="36" t="s">
        <v>13</v>
      </c>
      <c r="F7" s="37">
        <v>287.5</v>
      </c>
      <c r="G7" s="36">
        <v>291</v>
      </c>
      <c r="H7" s="37">
        <v>-3</v>
      </c>
      <c r="I7" s="37">
        <v>3000</v>
      </c>
      <c r="J7" s="38">
        <f>I7*H7</f>
        <v>-9000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43357</v>
      </c>
      <c r="D8" s="36" t="s">
        <v>19</v>
      </c>
      <c r="E8" s="36" t="s">
        <v>43</v>
      </c>
      <c r="F8" s="37">
        <v>455</v>
      </c>
      <c r="G8" s="37">
        <v>448</v>
      </c>
      <c r="H8" s="37">
        <v>-7</v>
      </c>
      <c r="I8" s="37">
        <v>2500</v>
      </c>
      <c r="J8" s="38">
        <f t="shared" ref="J8:J14" si="3">I8*H8</f>
        <v>-17500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1</v>
      </c>
    </row>
    <row r="9" spans="1:23" x14ac:dyDescent="0.3">
      <c r="A9" s="22"/>
      <c r="B9" s="91">
        <f>B8+1</f>
        <v>4</v>
      </c>
      <c r="C9" s="93">
        <v>43357</v>
      </c>
      <c r="D9" s="36" t="s">
        <v>19</v>
      </c>
      <c r="E9" s="36" t="s">
        <v>101</v>
      </c>
      <c r="F9" s="80">
        <v>676</v>
      </c>
      <c r="G9" s="80">
        <v>691</v>
      </c>
      <c r="H9" s="80">
        <v>15</v>
      </c>
      <c r="I9" s="80">
        <v>900</v>
      </c>
      <c r="J9" s="38">
        <f>I9*H9</f>
        <v>13500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2</v>
      </c>
      <c r="W20" s="21">
        <f>SUM(W6:W19)</f>
        <v>2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7900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2000-000000000000}"/>
    <hyperlink ref="M1" location="'Home Page'!A1" display="Back" xr:uid="{00000000-0004-0000-2000-000001000000}"/>
  </hyperlinks>
  <pageMargins left="0" right="0" top="0" bottom="0" header="0" footer="0"/>
  <pageSetup paperSize="9"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22"/>
  <sheetViews>
    <sheetView zoomScale="97" zoomScaleNormal="97" workbookViewId="0">
      <selection activeCell="I11" sqref="I1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43374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6</v>
      </c>
      <c r="O4" s="147">
        <f>V20</f>
        <v>3</v>
      </c>
      <c r="P4" s="147">
        <f>W20</f>
        <v>3</v>
      </c>
      <c r="Q4" s="149">
        <f>N4-O4-P4</f>
        <v>0</v>
      </c>
      <c r="R4" s="151">
        <f>O4/N4</f>
        <v>0.5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43381</v>
      </c>
      <c r="D6" s="31" t="s">
        <v>12</v>
      </c>
      <c r="E6" s="31" t="s">
        <v>13</v>
      </c>
      <c r="F6" s="32">
        <v>268</v>
      </c>
      <c r="G6" s="86">
        <v>261</v>
      </c>
      <c r="H6" s="86">
        <v>7</v>
      </c>
      <c r="I6" s="32">
        <v>6000</v>
      </c>
      <c r="J6" s="33">
        <f>I6*H6</f>
        <v>42000</v>
      </c>
      <c r="K6" s="23"/>
      <c r="M6" s="117" t="s">
        <v>67</v>
      </c>
      <c r="N6" s="118"/>
      <c r="O6" s="119"/>
      <c r="P6" s="126">
        <f>R4</f>
        <v>0.5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43381</v>
      </c>
      <c r="D7" s="36" t="s">
        <v>12</v>
      </c>
      <c r="E7" s="36" t="s">
        <v>56</v>
      </c>
      <c r="F7" s="37">
        <v>1115</v>
      </c>
      <c r="G7" s="36">
        <v>1125</v>
      </c>
      <c r="H7" s="37">
        <v>-10</v>
      </c>
      <c r="I7" s="37">
        <v>2000</v>
      </c>
      <c r="J7" s="38">
        <f>I7*H7</f>
        <v>-20000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43382</v>
      </c>
      <c r="D8" s="36" t="s">
        <v>12</v>
      </c>
      <c r="E8" s="36" t="s">
        <v>56</v>
      </c>
      <c r="F8" s="37">
        <v>1095</v>
      </c>
      <c r="G8" s="37">
        <v>1110</v>
      </c>
      <c r="H8" s="37">
        <v>-15</v>
      </c>
      <c r="I8" s="37">
        <v>2000</v>
      </c>
      <c r="J8" s="38">
        <f t="shared" ref="J8:J14" si="3">I8*H8</f>
        <v>-30000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1</v>
      </c>
    </row>
    <row r="9" spans="1:23" x14ac:dyDescent="0.3">
      <c r="A9" s="22"/>
      <c r="B9" s="91">
        <f>B8+1</f>
        <v>4</v>
      </c>
      <c r="C9" s="93">
        <v>43389</v>
      </c>
      <c r="D9" s="36" t="s">
        <v>19</v>
      </c>
      <c r="E9" s="36" t="s">
        <v>56</v>
      </c>
      <c r="F9" s="80">
        <v>1160</v>
      </c>
      <c r="G9" s="80">
        <v>1175</v>
      </c>
      <c r="H9" s="80">
        <v>15</v>
      </c>
      <c r="I9" s="80">
        <v>2000</v>
      </c>
      <c r="J9" s="38">
        <f>I9*H9</f>
        <v>30000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43396</v>
      </c>
      <c r="D10" s="36" t="s">
        <v>12</v>
      </c>
      <c r="E10" s="36" t="s">
        <v>16</v>
      </c>
      <c r="F10" s="80">
        <v>10130</v>
      </c>
      <c r="G10" s="80">
        <v>10160</v>
      </c>
      <c r="H10" s="80">
        <v>-30</v>
      </c>
      <c r="I10" s="80">
        <v>150</v>
      </c>
      <c r="J10" s="38">
        <f t="shared" si="3"/>
        <v>-4500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43402</v>
      </c>
      <c r="D11" s="36" t="s">
        <v>19</v>
      </c>
      <c r="E11" s="36" t="s">
        <v>37</v>
      </c>
      <c r="F11" s="80">
        <v>938</v>
      </c>
      <c r="G11" s="80">
        <v>954</v>
      </c>
      <c r="H11" s="80">
        <v>16</v>
      </c>
      <c r="I11" s="80">
        <v>1100</v>
      </c>
      <c r="J11" s="38">
        <f t="shared" si="3"/>
        <v>17600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3</v>
      </c>
      <c r="W20" s="21">
        <f>SUM(W6:W19)</f>
        <v>3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35100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2100-000000000000}"/>
    <hyperlink ref="M1" location="'Home Page'!A1" display="Back" xr:uid="{00000000-0004-0000-2100-000001000000}"/>
  </hyperlinks>
  <pageMargins left="0" right="0" top="0" bottom="0" header="0" footer="0"/>
  <pageSetup paperSize="9" orientation="portrait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22"/>
  <sheetViews>
    <sheetView zoomScale="97" zoomScaleNormal="97" workbookViewId="0">
      <selection activeCell="B4" sqref="B4:J4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43405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2</v>
      </c>
      <c r="O4" s="147">
        <f>V20</f>
        <v>2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43419</v>
      </c>
      <c r="D6" s="31" t="s">
        <v>12</v>
      </c>
      <c r="E6" s="31" t="s">
        <v>102</v>
      </c>
      <c r="F6" s="86">
        <v>155</v>
      </c>
      <c r="G6" s="86">
        <v>153</v>
      </c>
      <c r="H6" s="86">
        <v>2</v>
      </c>
      <c r="I6" s="32">
        <v>4000</v>
      </c>
      <c r="J6" s="33">
        <f>I6*H6</f>
        <v>8000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43424</v>
      </c>
      <c r="D7" s="36" t="s">
        <v>19</v>
      </c>
      <c r="E7" s="36" t="s">
        <v>28</v>
      </c>
      <c r="F7" s="80">
        <v>356.5</v>
      </c>
      <c r="G7" s="80">
        <v>360</v>
      </c>
      <c r="H7" s="80">
        <v>3.5</v>
      </c>
      <c r="I7" s="37">
        <v>2750</v>
      </c>
      <c r="J7" s="38">
        <f>I7*H7</f>
        <v>9625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/>
      <c r="D8" s="36"/>
      <c r="E8" s="36"/>
      <c r="F8" s="80"/>
      <c r="G8" s="80"/>
      <c r="H8" s="80"/>
      <c r="I8" s="37"/>
      <c r="J8" s="38">
        <f t="shared" ref="J8:J14" si="3">I8*H8</f>
        <v>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/>
      <c r="D9" s="36"/>
      <c r="E9" s="36"/>
      <c r="F9" s="80"/>
      <c r="G9" s="80"/>
      <c r="H9" s="80"/>
      <c r="I9" s="80"/>
      <c r="J9" s="38">
        <f>I9*H9</f>
        <v>0</v>
      </c>
      <c r="K9" s="23"/>
      <c r="V9" s="21">
        <f t="shared" si="0"/>
        <v>0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2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17625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2200-000000000000}"/>
    <hyperlink ref="M1" location="'Home Page'!A1" display="Back" xr:uid="{00000000-0004-0000-2200-000001000000}"/>
  </hyperlinks>
  <pageMargins left="0" right="0" top="0" bottom="0" header="0" footer="0"/>
  <pageSetup paperSize="9" orientation="portrait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22"/>
  <sheetViews>
    <sheetView zoomScale="97" zoomScaleNormal="97" workbookViewId="0">
      <selection activeCell="B4" sqref="B4:J4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43435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3</v>
      </c>
      <c r="O4" s="147">
        <f>V20</f>
        <v>3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43444</v>
      </c>
      <c r="D6" s="31" t="s">
        <v>12</v>
      </c>
      <c r="E6" s="31" t="s">
        <v>56</v>
      </c>
      <c r="F6" s="86">
        <v>1095</v>
      </c>
      <c r="G6" s="86">
        <v>1060</v>
      </c>
      <c r="H6" s="86">
        <v>35</v>
      </c>
      <c r="I6" s="32">
        <v>500</v>
      </c>
      <c r="J6" s="33">
        <f>I6*H6</f>
        <v>17500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43447</v>
      </c>
      <c r="D7" s="36" t="s">
        <v>19</v>
      </c>
      <c r="E7" s="36" t="s">
        <v>103</v>
      </c>
      <c r="F7" s="80">
        <v>705</v>
      </c>
      <c r="G7" s="80">
        <v>715</v>
      </c>
      <c r="H7" s="80">
        <v>10</v>
      </c>
      <c r="I7" s="37">
        <v>1000</v>
      </c>
      <c r="J7" s="38">
        <f>I7*H7</f>
        <v>10000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43451</v>
      </c>
      <c r="D8" s="36" t="s">
        <v>19</v>
      </c>
      <c r="E8" s="36" t="s">
        <v>103</v>
      </c>
      <c r="F8" s="80">
        <v>706</v>
      </c>
      <c r="G8" s="80">
        <v>713</v>
      </c>
      <c r="H8" s="80">
        <v>7</v>
      </c>
      <c r="I8" s="37">
        <v>1000</v>
      </c>
      <c r="J8" s="38">
        <f t="shared" ref="J8:J14" si="3">I8*H8</f>
        <v>7000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/>
      <c r="D9" s="36"/>
      <c r="E9" s="36"/>
      <c r="F9" s="80"/>
      <c r="G9" s="80"/>
      <c r="H9" s="80"/>
      <c r="I9" s="80"/>
      <c r="J9" s="38">
        <f>I9*H9</f>
        <v>0</v>
      </c>
      <c r="K9" s="23"/>
      <c r="V9" s="21">
        <f t="shared" si="0"/>
        <v>0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3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34500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2300-000000000000}"/>
    <hyperlink ref="M1" location="'Home Page'!A1" display="Back" xr:uid="{00000000-0004-0000-2300-000001000000}"/>
  </hyperlinks>
  <pageMargins left="0" right="0" top="0" bottom="0" header="0" footer="0"/>
  <pageSetup paperSize="9" orientation="portrait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43466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8</v>
      </c>
      <c r="P4" s="147">
        <f>W20</f>
        <v>1</v>
      </c>
      <c r="Q4" s="149">
        <f>N4-O4-P4</f>
        <v>0</v>
      </c>
      <c r="R4" s="151">
        <f>O4/N4</f>
        <v>0.88888888888888884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43473</v>
      </c>
      <c r="D6" s="31" t="s">
        <v>12</v>
      </c>
      <c r="E6" s="31" t="s">
        <v>16</v>
      </c>
      <c r="F6" s="86">
        <v>10850</v>
      </c>
      <c r="G6" s="86">
        <v>10890</v>
      </c>
      <c r="H6" s="86">
        <v>-40</v>
      </c>
      <c r="I6" s="32">
        <v>150</v>
      </c>
      <c r="J6" s="33">
        <f>I6*H6</f>
        <v>-6000</v>
      </c>
      <c r="K6" s="23"/>
      <c r="M6" s="117" t="s">
        <v>67</v>
      </c>
      <c r="N6" s="118"/>
      <c r="O6" s="119"/>
      <c r="P6" s="126">
        <f>R4</f>
        <v>0.88888888888888884</v>
      </c>
      <c r="Q6" s="127"/>
      <c r="R6" s="128"/>
      <c r="V6" s="21">
        <f>IF($J6&gt;0,1,0)</f>
        <v>0</v>
      </c>
      <c r="W6" s="21">
        <f>IF($J6&lt;0,1,0)</f>
        <v>1</v>
      </c>
    </row>
    <row r="7" spans="1:23" x14ac:dyDescent="0.3">
      <c r="A7" s="22"/>
      <c r="B7" s="91">
        <f>B6+1</f>
        <v>2</v>
      </c>
      <c r="C7" s="93">
        <v>43473</v>
      </c>
      <c r="D7" s="36" t="s">
        <v>19</v>
      </c>
      <c r="E7" s="36" t="s">
        <v>116</v>
      </c>
      <c r="F7" s="80">
        <v>838</v>
      </c>
      <c r="G7" s="80">
        <v>846</v>
      </c>
      <c r="H7" s="80">
        <v>8</v>
      </c>
      <c r="I7" s="37">
        <v>1500</v>
      </c>
      <c r="J7" s="38">
        <f>I7*H7</f>
        <v>12000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43481</v>
      </c>
      <c r="D8" s="36" t="s">
        <v>19</v>
      </c>
      <c r="E8" s="36" t="s">
        <v>55</v>
      </c>
      <c r="F8" s="80">
        <v>2365</v>
      </c>
      <c r="G8" s="80">
        <v>2395</v>
      </c>
      <c r="H8" s="80">
        <v>30</v>
      </c>
      <c r="I8" s="37">
        <v>302</v>
      </c>
      <c r="J8" s="38">
        <f t="shared" ref="J8:J14" si="3">I8*H8</f>
        <v>9060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43487</v>
      </c>
      <c r="D9" s="36" t="s">
        <v>19</v>
      </c>
      <c r="E9" s="36" t="s">
        <v>117</v>
      </c>
      <c r="F9" s="80">
        <v>982</v>
      </c>
      <c r="G9" s="80">
        <v>986</v>
      </c>
      <c r="H9" s="80">
        <v>4</v>
      </c>
      <c r="I9" s="80">
        <v>750</v>
      </c>
      <c r="J9" s="38">
        <f>I9*H9</f>
        <v>3000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43487</v>
      </c>
      <c r="D10" s="36" t="s">
        <v>19</v>
      </c>
      <c r="E10" s="36" t="s">
        <v>118</v>
      </c>
      <c r="F10" s="80">
        <v>903</v>
      </c>
      <c r="G10" s="80">
        <v>922</v>
      </c>
      <c r="H10" s="80">
        <v>19</v>
      </c>
      <c r="I10" s="80">
        <v>600</v>
      </c>
      <c r="J10" s="38">
        <f t="shared" si="3"/>
        <v>11400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43489</v>
      </c>
      <c r="D11" s="36" t="s">
        <v>19</v>
      </c>
      <c r="E11" s="36" t="s">
        <v>16</v>
      </c>
      <c r="F11" s="80">
        <v>10860</v>
      </c>
      <c r="G11" s="80">
        <v>10940</v>
      </c>
      <c r="H11" s="80">
        <v>80</v>
      </c>
      <c r="I11" s="80">
        <v>150</v>
      </c>
      <c r="J11" s="38">
        <f t="shared" si="3"/>
        <v>12000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43489</v>
      </c>
      <c r="D12" s="36" t="s">
        <v>19</v>
      </c>
      <c r="E12" s="36" t="s">
        <v>119</v>
      </c>
      <c r="F12" s="80">
        <v>1247</v>
      </c>
      <c r="G12" s="80">
        <v>1264</v>
      </c>
      <c r="H12" s="80">
        <v>17</v>
      </c>
      <c r="I12" s="80">
        <v>500</v>
      </c>
      <c r="J12" s="38">
        <f t="shared" si="3"/>
        <v>8500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43494</v>
      </c>
      <c r="D13" s="36" t="s">
        <v>19</v>
      </c>
      <c r="E13" s="36" t="s">
        <v>16</v>
      </c>
      <c r="F13" s="80">
        <v>10630</v>
      </c>
      <c r="G13" s="80">
        <v>10690</v>
      </c>
      <c r="H13" s="80">
        <v>60</v>
      </c>
      <c r="I13" s="80">
        <v>150</v>
      </c>
      <c r="J13" s="38">
        <f t="shared" si="3"/>
        <v>9000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43494</v>
      </c>
      <c r="D14" s="36" t="s">
        <v>19</v>
      </c>
      <c r="E14" s="36" t="s">
        <v>120</v>
      </c>
      <c r="F14" s="80">
        <v>1192</v>
      </c>
      <c r="G14" s="80">
        <v>1215</v>
      </c>
      <c r="H14" s="80">
        <v>23</v>
      </c>
      <c r="I14" s="80">
        <v>500</v>
      </c>
      <c r="J14" s="38">
        <f t="shared" si="3"/>
        <v>11500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8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70460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2400-000000000000}"/>
    <hyperlink ref="M1" location="'Home Page'!A1" display="Back" xr:uid="{00000000-0004-0000-2400-000001000000}"/>
  </hyperlinks>
  <pageMargins left="0" right="0" top="0" bottom="0" header="0" footer="0"/>
  <pageSetup paperSize="9" orientation="portrait" r:id="rId2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22"/>
  <sheetViews>
    <sheetView zoomScale="97" zoomScaleNormal="97" workbookViewId="0">
      <selection activeCell="M1" sqref="M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43497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6</v>
      </c>
      <c r="P4" s="147">
        <f>W20</f>
        <v>1</v>
      </c>
      <c r="Q4" s="149">
        <f>N4-O4-P4</f>
        <v>0</v>
      </c>
      <c r="R4" s="151">
        <f>O4/N4</f>
        <v>0.8571428571428571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43507</v>
      </c>
      <c r="D6" s="31" t="s">
        <v>19</v>
      </c>
      <c r="E6" s="31" t="s">
        <v>121</v>
      </c>
      <c r="F6" s="86">
        <v>1303</v>
      </c>
      <c r="G6" s="86">
        <v>1317</v>
      </c>
      <c r="H6" s="86">
        <v>14</v>
      </c>
      <c r="I6" s="32">
        <v>800</v>
      </c>
      <c r="J6" s="33">
        <f>I6*H6</f>
        <v>11200</v>
      </c>
      <c r="K6" s="23"/>
      <c r="M6" s="117" t="s">
        <v>67</v>
      </c>
      <c r="N6" s="118"/>
      <c r="O6" s="119"/>
      <c r="P6" s="126">
        <f>R4</f>
        <v>0.8571428571428571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43510</v>
      </c>
      <c r="D7" s="36" t="s">
        <v>19</v>
      </c>
      <c r="E7" s="36" t="s">
        <v>16</v>
      </c>
      <c r="F7" s="80">
        <v>10770</v>
      </c>
      <c r="G7" s="80">
        <v>10819</v>
      </c>
      <c r="H7" s="80">
        <v>49</v>
      </c>
      <c r="I7" s="37">
        <v>150</v>
      </c>
      <c r="J7" s="38">
        <f>I7*H7</f>
        <v>7350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43514</v>
      </c>
      <c r="D8" s="36" t="s">
        <v>19</v>
      </c>
      <c r="E8" s="36" t="s">
        <v>120</v>
      </c>
      <c r="F8" s="80">
        <v>1333</v>
      </c>
      <c r="G8" s="80">
        <v>1360</v>
      </c>
      <c r="H8" s="80">
        <v>27</v>
      </c>
      <c r="I8" s="37">
        <v>500</v>
      </c>
      <c r="J8" s="38">
        <f t="shared" ref="J8:J14" si="3">I8*H8</f>
        <v>13500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43516</v>
      </c>
      <c r="D9" s="36" t="s">
        <v>19</v>
      </c>
      <c r="E9" s="36" t="s">
        <v>16</v>
      </c>
      <c r="F9" s="80">
        <v>10750</v>
      </c>
      <c r="G9" s="80">
        <v>10795</v>
      </c>
      <c r="H9" s="80">
        <v>45</v>
      </c>
      <c r="I9" s="80">
        <v>150</v>
      </c>
      <c r="J9" s="38">
        <f>I9*H9</f>
        <v>6750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43516</v>
      </c>
      <c r="D10" s="36" t="s">
        <v>19</v>
      </c>
      <c r="E10" s="36" t="s">
        <v>38</v>
      </c>
      <c r="F10" s="80">
        <v>700</v>
      </c>
      <c r="G10" s="80">
        <v>706</v>
      </c>
      <c r="H10" s="80">
        <v>6</v>
      </c>
      <c r="I10" s="80">
        <v>1200</v>
      </c>
      <c r="J10" s="38">
        <f t="shared" si="3"/>
        <v>7200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43521</v>
      </c>
      <c r="D11" s="36" t="s">
        <v>19</v>
      </c>
      <c r="E11" s="36" t="s">
        <v>38</v>
      </c>
      <c r="F11" s="80">
        <v>704</v>
      </c>
      <c r="G11" s="80">
        <v>700</v>
      </c>
      <c r="H11" s="80">
        <v>-4</v>
      </c>
      <c r="I11" s="80">
        <v>1200</v>
      </c>
      <c r="J11" s="38">
        <f t="shared" si="3"/>
        <v>-4800</v>
      </c>
      <c r="K11" s="23"/>
      <c r="L11" s="21" t="s">
        <v>88</v>
      </c>
      <c r="V11" s="21">
        <f t="shared" si="0"/>
        <v>0</v>
      </c>
      <c r="W11" s="21">
        <f t="shared" si="1"/>
        <v>1</v>
      </c>
    </row>
    <row r="12" spans="1:23" ht="15" thickTop="1" x14ac:dyDescent="0.3">
      <c r="A12" s="22"/>
      <c r="B12" s="91">
        <f t="shared" si="2"/>
        <v>7</v>
      </c>
      <c r="C12" s="93">
        <v>43521</v>
      </c>
      <c r="D12" s="36" t="s">
        <v>19</v>
      </c>
      <c r="E12" s="36" t="s">
        <v>122</v>
      </c>
      <c r="F12" s="80">
        <v>830</v>
      </c>
      <c r="G12" s="80">
        <v>837</v>
      </c>
      <c r="H12" s="80">
        <v>7</v>
      </c>
      <c r="I12" s="80">
        <v>1200</v>
      </c>
      <c r="J12" s="38">
        <f t="shared" si="3"/>
        <v>8400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49600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2500-000000000000}"/>
    <hyperlink ref="M1" location="'Home Page'!A1" display="Back" xr:uid="{00000000-0004-0000-2500-000001000000}"/>
  </hyperlinks>
  <pageMargins left="0" right="0" top="0" bottom="0" header="0" footer="0"/>
  <pageSetup paperSize="9" orientation="portrait" r:id="rId2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43525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6</v>
      </c>
      <c r="P4" s="147">
        <f>W20</f>
        <v>2</v>
      </c>
      <c r="Q4" s="149">
        <f>N4-O4-P4</f>
        <v>0</v>
      </c>
      <c r="R4" s="151">
        <f>O4/N4</f>
        <v>0.75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43529</v>
      </c>
      <c r="D6" s="31" t="s">
        <v>12</v>
      </c>
      <c r="E6" s="31" t="s">
        <v>16</v>
      </c>
      <c r="F6" s="86">
        <v>11040</v>
      </c>
      <c r="G6" s="86">
        <v>11070</v>
      </c>
      <c r="H6" s="86">
        <v>-30</v>
      </c>
      <c r="I6" s="32">
        <v>150</v>
      </c>
      <c r="J6" s="33">
        <f>I6*H6</f>
        <v>-4500</v>
      </c>
      <c r="K6" s="23"/>
      <c r="M6" s="117" t="s">
        <v>67</v>
      </c>
      <c r="N6" s="118"/>
      <c r="O6" s="119"/>
      <c r="P6" s="126">
        <f>R4</f>
        <v>0.75</v>
      </c>
      <c r="Q6" s="127"/>
      <c r="R6" s="128"/>
      <c r="V6" s="21">
        <f>IF($J6&gt;0,1,0)</f>
        <v>0</v>
      </c>
      <c r="W6" s="21">
        <f>IF($J6&lt;0,1,0)</f>
        <v>1</v>
      </c>
    </row>
    <row r="7" spans="1:23" x14ac:dyDescent="0.3">
      <c r="A7" s="22"/>
      <c r="B7" s="91">
        <f>B6+1</f>
        <v>2</v>
      </c>
      <c r="C7" s="93">
        <v>43529</v>
      </c>
      <c r="D7" s="36" t="s">
        <v>12</v>
      </c>
      <c r="E7" s="36" t="s">
        <v>56</v>
      </c>
      <c r="F7" s="80">
        <v>1247</v>
      </c>
      <c r="G7" s="80">
        <v>1242</v>
      </c>
      <c r="H7" s="80">
        <v>5</v>
      </c>
      <c r="I7" s="37">
        <v>1000</v>
      </c>
      <c r="J7" s="38">
        <f>I7*H7</f>
        <v>5000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43535</v>
      </c>
      <c r="D8" s="36" t="s">
        <v>19</v>
      </c>
      <c r="E8" s="36" t="s">
        <v>101</v>
      </c>
      <c r="F8" s="80">
        <v>442</v>
      </c>
      <c r="G8" s="80">
        <v>451</v>
      </c>
      <c r="H8" s="80">
        <v>9</v>
      </c>
      <c r="I8" s="37">
        <v>1800</v>
      </c>
      <c r="J8" s="38">
        <f t="shared" ref="J8:J14" si="3">I8*H8</f>
        <v>16200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43535</v>
      </c>
      <c r="D9" s="36" t="s">
        <v>19</v>
      </c>
      <c r="E9" s="36" t="s">
        <v>16</v>
      </c>
      <c r="F9" s="80">
        <v>11180</v>
      </c>
      <c r="G9" s="80">
        <v>11260</v>
      </c>
      <c r="H9" s="80">
        <v>80</v>
      </c>
      <c r="I9" s="80">
        <v>150</v>
      </c>
      <c r="J9" s="38">
        <f>I9*H9</f>
        <v>12000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43537</v>
      </c>
      <c r="D10" s="36" t="s">
        <v>12</v>
      </c>
      <c r="E10" s="36" t="s">
        <v>38</v>
      </c>
      <c r="F10" s="80">
        <v>742</v>
      </c>
      <c r="G10" s="80">
        <v>750</v>
      </c>
      <c r="H10" s="80">
        <v>-8</v>
      </c>
      <c r="I10" s="80">
        <v>2400</v>
      </c>
      <c r="J10" s="38">
        <f t="shared" si="3"/>
        <v>-19200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43543</v>
      </c>
      <c r="D11" s="36" t="s">
        <v>12</v>
      </c>
      <c r="E11" s="36" t="s">
        <v>123</v>
      </c>
      <c r="F11" s="80">
        <v>1976</v>
      </c>
      <c r="G11" s="80">
        <v>1971</v>
      </c>
      <c r="H11" s="80">
        <v>5</v>
      </c>
      <c r="I11" s="80">
        <v>1000</v>
      </c>
      <c r="J11" s="38">
        <f t="shared" si="3"/>
        <v>5000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43550</v>
      </c>
      <c r="D12" s="36" t="s">
        <v>19</v>
      </c>
      <c r="E12" s="36" t="s">
        <v>13</v>
      </c>
      <c r="F12" s="80">
        <v>301</v>
      </c>
      <c r="G12" s="80">
        <v>309</v>
      </c>
      <c r="H12" s="80">
        <v>8</v>
      </c>
      <c r="I12" s="80">
        <v>6000</v>
      </c>
      <c r="J12" s="38">
        <f t="shared" si="3"/>
        <v>48000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43550</v>
      </c>
      <c r="D13" s="36" t="s">
        <v>19</v>
      </c>
      <c r="E13" s="36" t="s">
        <v>16</v>
      </c>
      <c r="F13" s="80">
        <v>11490</v>
      </c>
      <c r="G13" s="80">
        <v>11570</v>
      </c>
      <c r="H13" s="80">
        <v>80</v>
      </c>
      <c r="I13" s="80">
        <v>150</v>
      </c>
      <c r="J13" s="38">
        <f t="shared" si="3"/>
        <v>12000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2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74500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2600-000000000000}"/>
    <hyperlink ref="M1" location="'Home Page'!A1" display="Back" xr:uid="{00000000-0004-0000-2600-000001000000}"/>
  </hyperlinks>
  <pageMargins left="0" right="0" top="0" bottom="0" header="0" footer="0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workbookViewId="0">
      <selection activeCell="K2" sqref="K2"/>
    </sheetView>
  </sheetViews>
  <sheetFormatPr defaultColWidth="9.109375" defaultRowHeight="14.4" x14ac:dyDescent="0.3"/>
  <cols>
    <col min="1" max="1" width="9.109375" style="7"/>
    <col min="2" max="2" width="21" customWidth="1"/>
    <col min="3" max="3" width="18.33203125" customWidth="1"/>
    <col min="4" max="4" width="24.332031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  <col min="11" max="11" width="11.109375" customWidth="1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25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8">
        <v>42462</v>
      </c>
      <c r="C5" s="4" t="s">
        <v>15</v>
      </c>
      <c r="D5" s="4" t="s">
        <v>16</v>
      </c>
      <c r="E5" s="4">
        <v>7740</v>
      </c>
      <c r="F5" s="4">
        <v>7800</v>
      </c>
      <c r="G5" s="4">
        <v>60</v>
      </c>
      <c r="H5" s="4">
        <v>150</v>
      </c>
      <c r="I5" s="4">
        <f>H5*G5</f>
        <v>9000</v>
      </c>
    </row>
    <row r="6" spans="1:11" ht="25.8" x14ac:dyDescent="0.5">
      <c r="B6" s="11">
        <v>42465</v>
      </c>
      <c r="C6" s="12" t="s">
        <v>12</v>
      </c>
      <c r="D6" s="12" t="s">
        <v>16</v>
      </c>
      <c r="E6" s="12">
        <v>7665</v>
      </c>
      <c r="F6" s="12">
        <v>7620</v>
      </c>
      <c r="G6" s="12">
        <v>45</v>
      </c>
      <c r="H6" s="12">
        <v>150</v>
      </c>
      <c r="I6" s="4">
        <f>H6*G6</f>
        <v>6750</v>
      </c>
    </row>
    <row r="7" spans="1:11" ht="25.8" x14ac:dyDescent="0.5">
      <c r="B7" s="13">
        <v>42466</v>
      </c>
      <c r="C7" s="12" t="s">
        <v>19</v>
      </c>
      <c r="D7" s="12" t="s">
        <v>16</v>
      </c>
      <c r="E7" s="12">
        <v>7620</v>
      </c>
      <c r="F7" s="12">
        <v>7580</v>
      </c>
      <c r="G7" s="12">
        <v>-40</v>
      </c>
      <c r="H7" s="12">
        <v>150</v>
      </c>
      <c r="I7" s="4">
        <f t="shared" ref="I7:I11" si="0">H7*G7</f>
        <v>-6000</v>
      </c>
    </row>
    <row r="8" spans="1:11" ht="25.8" x14ac:dyDescent="0.5">
      <c r="B8" s="9">
        <v>42473</v>
      </c>
      <c r="C8" s="4" t="s">
        <v>12</v>
      </c>
      <c r="D8" s="4" t="s">
        <v>26</v>
      </c>
      <c r="E8" s="4">
        <v>135.5</v>
      </c>
      <c r="F8" s="4">
        <v>133.80000000000001</v>
      </c>
      <c r="G8" s="4">
        <v>1.7</v>
      </c>
      <c r="H8" s="4">
        <v>6800</v>
      </c>
      <c r="I8" s="4">
        <f t="shared" si="0"/>
        <v>11560</v>
      </c>
    </row>
    <row r="9" spans="1:11" ht="25.8" x14ac:dyDescent="0.5">
      <c r="B9" s="9">
        <v>42478</v>
      </c>
      <c r="C9" s="4" t="s">
        <v>19</v>
      </c>
      <c r="D9" s="4" t="s">
        <v>27</v>
      </c>
      <c r="E9" s="4">
        <v>3725</v>
      </c>
      <c r="F9" s="4">
        <v>3690</v>
      </c>
      <c r="G9" s="4">
        <v>-35</v>
      </c>
      <c r="H9" s="4">
        <v>250</v>
      </c>
      <c r="I9" s="4">
        <f t="shared" si="0"/>
        <v>-8750</v>
      </c>
    </row>
    <row r="10" spans="1:11" ht="25.8" x14ac:dyDescent="0.5">
      <c r="B10" s="9">
        <v>42481</v>
      </c>
      <c r="C10" s="4" t="s">
        <v>12</v>
      </c>
      <c r="D10" s="4" t="s">
        <v>16</v>
      </c>
      <c r="E10" s="4">
        <v>7935</v>
      </c>
      <c r="F10" s="4">
        <v>7985</v>
      </c>
      <c r="G10" s="4">
        <v>50</v>
      </c>
      <c r="H10" s="4">
        <v>150</v>
      </c>
      <c r="I10" s="4">
        <f t="shared" si="0"/>
        <v>7500</v>
      </c>
    </row>
    <row r="11" spans="1:11" ht="25.8" x14ac:dyDescent="0.5">
      <c r="B11" s="9">
        <v>42482</v>
      </c>
      <c r="C11" s="4" t="s">
        <v>19</v>
      </c>
      <c r="D11" s="4" t="s">
        <v>20</v>
      </c>
      <c r="E11" s="4">
        <v>16700</v>
      </c>
      <c r="F11" s="4">
        <v>16740</v>
      </c>
      <c r="G11" s="4">
        <v>40</v>
      </c>
      <c r="H11" s="4">
        <v>60</v>
      </c>
      <c r="I11" s="4">
        <f t="shared" si="0"/>
        <v>2400</v>
      </c>
    </row>
    <row r="12" spans="1:11" ht="25.8" x14ac:dyDescent="0.5">
      <c r="B12" s="8">
        <v>42485</v>
      </c>
      <c r="C12" s="4" t="s">
        <v>19</v>
      </c>
      <c r="D12" s="4" t="s">
        <v>16</v>
      </c>
      <c r="E12" s="4">
        <v>7860</v>
      </c>
      <c r="F12" s="4">
        <v>7855</v>
      </c>
      <c r="G12" s="4">
        <v>-5</v>
      </c>
      <c r="H12" s="4">
        <v>150</v>
      </c>
      <c r="I12" s="4">
        <f>H12*G12</f>
        <v>-750</v>
      </c>
    </row>
    <row r="13" spans="1:11" ht="25.8" x14ac:dyDescent="0.5">
      <c r="B13" s="9">
        <v>42487</v>
      </c>
      <c r="C13" s="4" t="s">
        <v>12</v>
      </c>
      <c r="D13" s="4" t="s">
        <v>28</v>
      </c>
      <c r="E13" s="4">
        <v>246</v>
      </c>
      <c r="F13" s="4">
        <v>240</v>
      </c>
      <c r="G13" s="4">
        <v>6</v>
      </c>
      <c r="H13" s="4">
        <v>3400</v>
      </c>
      <c r="I13" s="4">
        <f t="shared" ref="I13:I14" si="1">H13*G13</f>
        <v>20400</v>
      </c>
    </row>
    <row r="14" spans="1:11" ht="25.8" x14ac:dyDescent="0.5">
      <c r="B14" s="9">
        <v>42488</v>
      </c>
      <c r="C14" s="4" t="s">
        <v>12</v>
      </c>
      <c r="D14" s="4" t="s">
        <v>16</v>
      </c>
      <c r="E14" s="4">
        <v>7950</v>
      </c>
      <c r="F14" s="4">
        <v>7880</v>
      </c>
      <c r="G14" s="4">
        <v>70</v>
      </c>
      <c r="H14" s="4">
        <v>150</v>
      </c>
      <c r="I14" s="4">
        <f t="shared" si="1"/>
        <v>10500</v>
      </c>
    </row>
    <row r="15" spans="1:11" ht="25.8" x14ac:dyDescent="0.5">
      <c r="B15" s="9"/>
      <c r="C15" s="4"/>
      <c r="D15" s="4"/>
      <c r="E15" s="4"/>
      <c r="F15" s="4"/>
      <c r="G15" s="4"/>
      <c r="H15" s="4"/>
      <c r="I15" s="10">
        <f>SUM(I5:I14)</f>
        <v>52610</v>
      </c>
    </row>
    <row r="16" spans="1:11" ht="25.8" x14ac:dyDescent="0.5">
      <c r="B16" s="9"/>
      <c r="C16" s="4"/>
      <c r="D16" s="4"/>
      <c r="E16" s="4"/>
      <c r="F16" s="4"/>
      <c r="G16" s="4"/>
      <c r="H16" s="4"/>
      <c r="I16" s="4"/>
    </row>
    <row r="17" spans="2:9" ht="25.8" x14ac:dyDescent="0.5">
      <c r="B17" s="8"/>
      <c r="C17" s="4"/>
      <c r="D17" s="4"/>
      <c r="E17" s="4"/>
      <c r="F17" s="4"/>
      <c r="G17" s="4"/>
      <c r="H17" s="4"/>
      <c r="I17" s="10"/>
    </row>
    <row r="18" spans="2:9" ht="25.8" x14ac:dyDescent="0.5">
      <c r="B18" s="8"/>
      <c r="C18" s="4"/>
      <c r="D18" s="4"/>
      <c r="E18" s="4"/>
      <c r="F18" s="4"/>
      <c r="G18" s="4"/>
      <c r="H18" s="4"/>
      <c r="I18" s="4"/>
    </row>
    <row r="19" spans="2:9" ht="25.8" x14ac:dyDescent="0.5">
      <c r="B19" s="8"/>
      <c r="C19" s="4"/>
      <c r="D19" s="4"/>
      <c r="E19" s="4"/>
      <c r="F19" s="4"/>
      <c r="G19" s="4"/>
      <c r="H19" s="4"/>
      <c r="I19" s="4"/>
    </row>
    <row r="20" spans="2:9" ht="25.8" x14ac:dyDescent="0.5">
      <c r="I20" s="10"/>
    </row>
  </sheetData>
  <mergeCells count="3">
    <mergeCell ref="B1:I1"/>
    <mergeCell ref="B2:I2"/>
    <mergeCell ref="B3:I3"/>
  </mergeCells>
  <hyperlinks>
    <hyperlink ref="K2" location="'Home Page'!A1" display="Back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22"/>
  <sheetViews>
    <sheetView zoomScale="97" zoomScaleNormal="97" workbookViewId="0">
      <selection activeCell="N11" sqref="N1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43556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4</v>
      </c>
      <c r="O4" s="147">
        <f>V20</f>
        <v>3</v>
      </c>
      <c r="P4" s="147">
        <f>W20</f>
        <v>1</v>
      </c>
      <c r="Q4" s="149">
        <f>N4-O4-P4</f>
        <v>0</v>
      </c>
      <c r="R4" s="151">
        <f>O4/N4</f>
        <v>0.75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43556</v>
      </c>
      <c r="D6" s="31" t="s">
        <v>12</v>
      </c>
      <c r="E6" s="31" t="s">
        <v>38</v>
      </c>
      <c r="F6" s="86">
        <v>772</v>
      </c>
      <c r="G6" s="86">
        <v>765.5</v>
      </c>
      <c r="H6" s="86">
        <v>6.5</v>
      </c>
      <c r="I6" s="32">
        <v>2400</v>
      </c>
      <c r="J6" s="33">
        <f>I6*H6</f>
        <v>15600</v>
      </c>
      <c r="K6" s="23"/>
      <c r="M6" s="117" t="s">
        <v>67</v>
      </c>
      <c r="N6" s="118"/>
      <c r="O6" s="119"/>
      <c r="P6" s="126">
        <f>R4</f>
        <v>0.75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43563</v>
      </c>
      <c r="D7" s="36" t="s">
        <v>12</v>
      </c>
      <c r="E7" s="36" t="s">
        <v>16</v>
      </c>
      <c r="F7" s="80">
        <v>11660</v>
      </c>
      <c r="G7" s="80">
        <v>11700</v>
      </c>
      <c r="H7" s="80">
        <v>-40</v>
      </c>
      <c r="I7" s="37">
        <v>150</v>
      </c>
      <c r="J7" s="38">
        <f>I7*H7</f>
        <v>-6000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43563</v>
      </c>
      <c r="D8" s="36" t="s">
        <v>12</v>
      </c>
      <c r="E8" s="36" t="s">
        <v>124</v>
      </c>
      <c r="F8" s="80">
        <v>154</v>
      </c>
      <c r="G8" s="80">
        <v>149.80000000000001</v>
      </c>
      <c r="H8" s="80">
        <v>4.2</v>
      </c>
      <c r="I8" s="37">
        <v>7000</v>
      </c>
      <c r="J8" s="38">
        <f t="shared" ref="J8:J14" si="3">I8*H8</f>
        <v>29400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43564</v>
      </c>
      <c r="D9" s="36" t="s">
        <v>19</v>
      </c>
      <c r="E9" s="36" t="s">
        <v>125</v>
      </c>
      <c r="F9" s="80">
        <v>1765</v>
      </c>
      <c r="G9" s="80">
        <v>1789</v>
      </c>
      <c r="H9" s="80">
        <v>24</v>
      </c>
      <c r="I9" s="80">
        <v>600</v>
      </c>
      <c r="J9" s="38">
        <f>I9*H9</f>
        <v>14400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3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53400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2700-000000000000}"/>
    <hyperlink ref="M1" location="'Home Page'!A1" display="Back" xr:uid="{00000000-0004-0000-2700-000001000000}"/>
  </hyperlinks>
  <pageMargins left="0" right="0" top="0" bottom="0" header="0" footer="0"/>
  <pageSetup paperSize="9" orientation="portrait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22"/>
  <sheetViews>
    <sheetView zoomScale="97" zoomScaleNormal="97" workbookViewId="0">
      <selection activeCell="M21" sqref="M2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43586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7</v>
      </c>
      <c r="P4" s="147">
        <f>W20</f>
        <v>1</v>
      </c>
      <c r="Q4" s="149">
        <f>N4-O4-P4</f>
        <v>0</v>
      </c>
      <c r="R4" s="151">
        <f>O4/N4</f>
        <v>0.875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43593</v>
      </c>
      <c r="D6" s="31" t="s">
        <v>12</v>
      </c>
      <c r="E6" s="31" t="s">
        <v>99</v>
      </c>
      <c r="F6" s="86">
        <v>11470</v>
      </c>
      <c r="G6" s="86">
        <v>11370</v>
      </c>
      <c r="H6" s="86">
        <v>100</v>
      </c>
      <c r="I6" s="32">
        <v>150</v>
      </c>
      <c r="J6" s="33">
        <f>I6*H6</f>
        <v>15000</v>
      </c>
      <c r="K6" s="23"/>
      <c r="M6" s="117" t="s">
        <v>67</v>
      </c>
      <c r="N6" s="118"/>
      <c r="O6" s="119"/>
      <c r="P6" s="126">
        <f>R4</f>
        <v>0.875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43600</v>
      </c>
      <c r="D7" s="36" t="s">
        <v>12</v>
      </c>
      <c r="E7" s="36" t="s">
        <v>99</v>
      </c>
      <c r="F7" s="80">
        <v>11200</v>
      </c>
      <c r="G7" s="80">
        <v>11160</v>
      </c>
      <c r="H7" s="80">
        <v>40</v>
      </c>
      <c r="I7" s="37">
        <v>150</v>
      </c>
      <c r="J7" s="38">
        <f>I7*H7</f>
        <v>6000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43600</v>
      </c>
      <c r="D8" s="36" t="s">
        <v>12</v>
      </c>
      <c r="E8" s="36" t="s">
        <v>38</v>
      </c>
      <c r="F8" s="80">
        <v>728</v>
      </c>
      <c r="G8" s="80">
        <v>716</v>
      </c>
      <c r="H8" s="80">
        <v>12</v>
      </c>
      <c r="I8" s="37">
        <v>2400</v>
      </c>
      <c r="J8" s="38">
        <f t="shared" ref="J8:J14" si="3">I8*H8</f>
        <v>28800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43605</v>
      </c>
      <c r="D9" s="36" t="s">
        <v>19</v>
      </c>
      <c r="E9" s="36" t="s">
        <v>56</v>
      </c>
      <c r="F9" s="80">
        <v>1329</v>
      </c>
      <c r="G9" s="80">
        <v>1360</v>
      </c>
      <c r="H9" s="80">
        <v>31</v>
      </c>
      <c r="I9" s="80">
        <v>1000</v>
      </c>
      <c r="J9" s="38">
        <f>I9*H9</f>
        <v>31000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43612</v>
      </c>
      <c r="D10" s="36" t="s">
        <v>19</v>
      </c>
      <c r="E10" s="36" t="s">
        <v>21</v>
      </c>
      <c r="F10" s="80">
        <v>281</v>
      </c>
      <c r="G10" s="80">
        <v>277</v>
      </c>
      <c r="H10" s="80">
        <v>-4</v>
      </c>
      <c r="I10" s="80">
        <v>2000</v>
      </c>
      <c r="J10" s="38">
        <f t="shared" si="3"/>
        <v>-8000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43612</v>
      </c>
      <c r="D11" s="36" t="s">
        <v>19</v>
      </c>
      <c r="E11" s="36" t="s">
        <v>99</v>
      </c>
      <c r="F11" s="80">
        <v>11920</v>
      </c>
      <c r="G11" s="80">
        <v>11955</v>
      </c>
      <c r="H11" s="80">
        <v>35</v>
      </c>
      <c r="I11" s="80">
        <v>150</v>
      </c>
      <c r="J11" s="38">
        <f t="shared" si="3"/>
        <v>5250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43615</v>
      </c>
      <c r="D12" s="36" t="s">
        <v>19</v>
      </c>
      <c r="E12" s="36" t="s">
        <v>127</v>
      </c>
      <c r="F12" s="80">
        <v>2190</v>
      </c>
      <c r="G12" s="80">
        <v>2205</v>
      </c>
      <c r="H12" s="80">
        <v>15</v>
      </c>
      <c r="I12" s="80">
        <v>500</v>
      </c>
      <c r="J12" s="38">
        <f t="shared" si="3"/>
        <v>7500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43616</v>
      </c>
      <c r="D13" s="36" t="s">
        <v>19</v>
      </c>
      <c r="E13" s="36" t="s">
        <v>126</v>
      </c>
      <c r="F13" s="80">
        <v>2180</v>
      </c>
      <c r="G13" s="80">
        <v>2210</v>
      </c>
      <c r="H13" s="80">
        <v>30</v>
      </c>
      <c r="I13" s="80">
        <v>250</v>
      </c>
      <c r="J13" s="38">
        <f t="shared" si="3"/>
        <v>7500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7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93050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2800-000000000000}"/>
    <hyperlink ref="M1" location="'Home Page'!A1" display="Back" xr:uid="{00000000-0004-0000-2800-000001000000}"/>
  </hyperlinks>
  <pageMargins left="0" right="0" top="0" bottom="0" header="0" footer="0"/>
  <pageSetup paperSize="9" orientation="portrait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43617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5</v>
      </c>
      <c r="O4" s="147">
        <f>V20</f>
        <v>4</v>
      </c>
      <c r="P4" s="147">
        <f>W20</f>
        <v>1</v>
      </c>
      <c r="Q4" s="149">
        <f>N4-O4-P4</f>
        <v>0</v>
      </c>
      <c r="R4" s="151">
        <f>O4/N4</f>
        <v>0.8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43626</v>
      </c>
      <c r="D6" s="31" t="s">
        <v>19</v>
      </c>
      <c r="E6" s="31" t="s">
        <v>16</v>
      </c>
      <c r="F6" s="86">
        <v>11910</v>
      </c>
      <c r="G6" s="86">
        <v>11990</v>
      </c>
      <c r="H6" s="86">
        <v>80</v>
      </c>
      <c r="I6" s="32">
        <v>150</v>
      </c>
      <c r="J6" s="33">
        <f>I6*H6</f>
        <v>12000</v>
      </c>
      <c r="K6" s="23"/>
      <c r="M6" s="117" t="s">
        <v>67</v>
      </c>
      <c r="N6" s="118"/>
      <c r="O6" s="119"/>
      <c r="P6" s="126">
        <f>R4</f>
        <v>0.8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43626</v>
      </c>
      <c r="D7" s="36" t="s">
        <v>19</v>
      </c>
      <c r="E7" s="36" t="s">
        <v>18</v>
      </c>
      <c r="F7" s="80">
        <v>1534</v>
      </c>
      <c r="G7" s="80">
        <v>1544</v>
      </c>
      <c r="H7" s="80">
        <v>10</v>
      </c>
      <c r="I7" s="37">
        <v>375</v>
      </c>
      <c r="J7" s="38">
        <f>I7*H7</f>
        <v>3750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43628</v>
      </c>
      <c r="D8" s="36" t="s">
        <v>19</v>
      </c>
      <c r="E8" s="36" t="s">
        <v>16</v>
      </c>
      <c r="F8" s="80">
        <v>11900</v>
      </c>
      <c r="G8" s="80">
        <v>11860</v>
      </c>
      <c r="H8" s="80">
        <v>-40</v>
      </c>
      <c r="I8" s="37">
        <v>150</v>
      </c>
      <c r="J8" s="38">
        <f t="shared" ref="J8:J14" si="3">I8*H8</f>
        <v>-6000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1</v>
      </c>
    </row>
    <row r="9" spans="1:23" x14ac:dyDescent="0.3">
      <c r="A9" s="22"/>
      <c r="B9" s="91">
        <f>B8+1</f>
        <v>4</v>
      </c>
      <c r="C9" s="93">
        <v>43628</v>
      </c>
      <c r="D9" s="36" t="s">
        <v>19</v>
      </c>
      <c r="E9" s="36" t="s">
        <v>36</v>
      </c>
      <c r="F9" s="80">
        <v>392</v>
      </c>
      <c r="G9" s="80">
        <v>394.7</v>
      </c>
      <c r="H9" s="80">
        <v>2.7</v>
      </c>
      <c r="I9" s="80">
        <v>1100</v>
      </c>
      <c r="J9" s="38">
        <f>I9*H9</f>
        <v>2970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43634</v>
      </c>
      <c r="D10" s="36" t="s">
        <v>12</v>
      </c>
      <c r="E10" s="36" t="s">
        <v>16</v>
      </c>
      <c r="F10" s="80">
        <v>11720</v>
      </c>
      <c r="G10" s="80">
        <v>11680</v>
      </c>
      <c r="H10" s="80">
        <v>40</v>
      </c>
      <c r="I10" s="80">
        <v>150</v>
      </c>
      <c r="J10" s="38">
        <f t="shared" si="3"/>
        <v>6000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4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18720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2900-000000000000}"/>
    <hyperlink ref="M1" location="'Home Page'!A1" display="Back" xr:uid="{00000000-0004-0000-2900-000001000000}"/>
  </hyperlinks>
  <pageMargins left="0" right="0" top="0" bottom="0" header="0" footer="0"/>
  <pageSetup paperSize="9" orientation="portrait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43647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7</v>
      </c>
      <c r="P4" s="147">
        <f>W20</f>
        <v>2</v>
      </c>
      <c r="Q4" s="149">
        <f>N4-O4-P4</f>
        <v>0</v>
      </c>
      <c r="R4" s="151">
        <f>O4/N4</f>
        <v>0.77777777777777779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43650</v>
      </c>
      <c r="D6" s="31" t="s">
        <v>19</v>
      </c>
      <c r="E6" s="31" t="s">
        <v>128</v>
      </c>
      <c r="F6" s="86">
        <v>645</v>
      </c>
      <c r="G6" s="86">
        <v>653</v>
      </c>
      <c r="H6" s="86">
        <v>8</v>
      </c>
      <c r="I6" s="32">
        <v>700</v>
      </c>
      <c r="J6" s="33">
        <f>I6*H6</f>
        <v>5600</v>
      </c>
      <c r="K6" s="23"/>
      <c r="M6" s="117" t="s">
        <v>67</v>
      </c>
      <c r="N6" s="118"/>
      <c r="O6" s="119"/>
      <c r="P6" s="126">
        <f>R4</f>
        <v>0.77777777777777779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43649</v>
      </c>
      <c r="D7" s="36" t="s">
        <v>19</v>
      </c>
      <c r="E7" s="36" t="s">
        <v>129</v>
      </c>
      <c r="F7" s="80">
        <v>432</v>
      </c>
      <c r="G7" s="80">
        <v>438</v>
      </c>
      <c r="H7" s="80">
        <v>6</v>
      </c>
      <c r="I7" s="37">
        <v>1100</v>
      </c>
      <c r="J7" s="38">
        <f>I7*H7</f>
        <v>6600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43649</v>
      </c>
      <c r="D8" s="36" t="s">
        <v>19</v>
      </c>
      <c r="E8" s="36" t="s">
        <v>16</v>
      </c>
      <c r="F8" s="80">
        <v>11960</v>
      </c>
      <c r="G8" s="80">
        <v>11990</v>
      </c>
      <c r="H8" s="80">
        <v>30</v>
      </c>
      <c r="I8" s="37">
        <v>150</v>
      </c>
      <c r="J8" s="38">
        <f t="shared" ref="J8:J14" si="3">I8*H8</f>
        <v>4500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43656</v>
      </c>
      <c r="D9" s="36" t="s">
        <v>19</v>
      </c>
      <c r="E9" s="36" t="s">
        <v>56</v>
      </c>
      <c r="F9" s="80">
        <v>1280</v>
      </c>
      <c r="G9" s="80">
        <v>1290</v>
      </c>
      <c r="H9" s="80">
        <v>10</v>
      </c>
      <c r="I9" s="80">
        <v>500</v>
      </c>
      <c r="J9" s="38">
        <f>I9*H9</f>
        <v>5000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43663</v>
      </c>
      <c r="D10" s="36" t="s">
        <v>19</v>
      </c>
      <c r="E10" s="36" t="s">
        <v>16</v>
      </c>
      <c r="F10" s="80">
        <v>11670</v>
      </c>
      <c r="G10" s="80">
        <v>11640</v>
      </c>
      <c r="H10" s="80">
        <v>-30</v>
      </c>
      <c r="I10" s="80">
        <v>150</v>
      </c>
      <c r="J10" s="38">
        <f t="shared" si="3"/>
        <v>-4500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43663</v>
      </c>
      <c r="D11" s="36" t="s">
        <v>19</v>
      </c>
      <c r="E11" s="36" t="s">
        <v>130</v>
      </c>
      <c r="F11" s="80">
        <v>1460</v>
      </c>
      <c r="G11" s="80">
        <v>1472</v>
      </c>
      <c r="H11" s="80">
        <v>12</v>
      </c>
      <c r="I11" s="80">
        <v>600</v>
      </c>
      <c r="J11" s="38">
        <f t="shared" si="3"/>
        <v>7200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43670</v>
      </c>
      <c r="D12" s="36" t="s">
        <v>12</v>
      </c>
      <c r="E12" s="36" t="s">
        <v>16</v>
      </c>
      <c r="F12" s="80">
        <v>11280</v>
      </c>
      <c r="G12" s="80">
        <v>11320</v>
      </c>
      <c r="H12" s="80">
        <v>-40</v>
      </c>
      <c r="I12" s="80">
        <v>150</v>
      </c>
      <c r="J12" s="38">
        <f t="shared" si="3"/>
        <v>-6000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1</v>
      </c>
    </row>
    <row r="13" spans="1:23" x14ac:dyDescent="0.3">
      <c r="A13" s="22"/>
      <c r="B13" s="91">
        <f t="shared" si="2"/>
        <v>8</v>
      </c>
      <c r="C13" s="93">
        <v>43670</v>
      </c>
      <c r="D13" s="36" t="s">
        <v>12</v>
      </c>
      <c r="E13" s="36" t="s">
        <v>56</v>
      </c>
      <c r="F13" s="80">
        <v>1262</v>
      </c>
      <c r="G13" s="80">
        <v>1242</v>
      </c>
      <c r="H13" s="80">
        <v>20</v>
      </c>
      <c r="I13" s="80">
        <v>500</v>
      </c>
      <c r="J13" s="38">
        <f t="shared" si="3"/>
        <v>10000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43675</v>
      </c>
      <c r="D14" s="36" t="s">
        <v>19</v>
      </c>
      <c r="E14" s="36" t="s">
        <v>38</v>
      </c>
      <c r="F14" s="80">
        <v>718</v>
      </c>
      <c r="G14" s="80">
        <v>730</v>
      </c>
      <c r="H14" s="80">
        <v>12</v>
      </c>
      <c r="I14" s="80">
        <v>1200</v>
      </c>
      <c r="J14" s="38">
        <f t="shared" si="3"/>
        <v>14400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7</v>
      </c>
      <c r="W20" s="21">
        <f>SUM(W6:W19)</f>
        <v>2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42800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2A00-000000000000}"/>
    <hyperlink ref="M1" location="'Home Page'!A1" display="Back" xr:uid="{00000000-0004-0000-2A00-000001000000}"/>
  </hyperlinks>
  <pageMargins left="0" right="0" top="0" bottom="0" header="0" footer="0"/>
  <pageSetup paperSize="9" orientation="portrait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22"/>
  <sheetViews>
    <sheetView zoomScale="97" zoomScaleNormal="97" workbookViewId="0">
      <selection activeCell="H11" sqref="H1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43678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5</v>
      </c>
      <c r="O4" s="147">
        <f>V20</f>
        <v>4</v>
      </c>
      <c r="P4" s="147">
        <f>W20</f>
        <v>1</v>
      </c>
      <c r="Q4" s="149">
        <f>N4-O4-P4</f>
        <v>0</v>
      </c>
      <c r="R4" s="151">
        <f>O4/N4</f>
        <v>0.8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43683</v>
      </c>
      <c r="D6" s="31" t="s">
        <v>12</v>
      </c>
      <c r="E6" s="31" t="s">
        <v>56</v>
      </c>
      <c r="F6" s="86">
        <v>1140</v>
      </c>
      <c r="G6" s="86">
        <v>1120</v>
      </c>
      <c r="H6" s="86">
        <v>20</v>
      </c>
      <c r="I6" s="32">
        <v>500</v>
      </c>
      <c r="J6" s="33">
        <f>I6*H6</f>
        <v>10000</v>
      </c>
      <c r="K6" s="23"/>
      <c r="M6" s="117" t="s">
        <v>67</v>
      </c>
      <c r="N6" s="118"/>
      <c r="O6" s="119"/>
      <c r="P6" s="126">
        <f>R4</f>
        <v>0.8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43696</v>
      </c>
      <c r="D7" s="36" t="s">
        <v>19</v>
      </c>
      <c r="E7" s="36" t="s">
        <v>56</v>
      </c>
      <c r="F7" s="80">
        <v>1292</v>
      </c>
      <c r="G7" s="80">
        <v>1282</v>
      </c>
      <c r="H7" s="80">
        <v>-10</v>
      </c>
      <c r="I7" s="37">
        <v>500</v>
      </c>
      <c r="J7" s="38">
        <f>I7*H7</f>
        <v>-5000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43697</v>
      </c>
      <c r="D8" s="36" t="s">
        <v>19</v>
      </c>
      <c r="E8" s="36" t="s">
        <v>13</v>
      </c>
      <c r="F8" s="80">
        <v>283</v>
      </c>
      <c r="G8" s="80">
        <v>285</v>
      </c>
      <c r="H8" s="80">
        <v>2</v>
      </c>
      <c r="I8" s="37">
        <v>3000</v>
      </c>
      <c r="J8" s="38">
        <f t="shared" ref="J8:J14" si="3">I8*H8</f>
        <v>6000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43704</v>
      </c>
      <c r="D9" s="36" t="s">
        <v>19</v>
      </c>
      <c r="E9" s="36" t="s">
        <v>131</v>
      </c>
      <c r="F9" s="80">
        <v>845</v>
      </c>
      <c r="G9" s="80">
        <v>854.7</v>
      </c>
      <c r="H9" s="80">
        <v>9.6999999999999993</v>
      </c>
      <c r="I9" s="80">
        <v>600</v>
      </c>
      <c r="J9" s="38">
        <f>I9*H9</f>
        <v>5820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43705</v>
      </c>
      <c r="D10" s="36" t="s">
        <v>19</v>
      </c>
      <c r="E10" s="36" t="s">
        <v>13</v>
      </c>
      <c r="F10" s="80">
        <v>284</v>
      </c>
      <c r="G10" s="80">
        <v>285.2</v>
      </c>
      <c r="H10" s="80">
        <v>1.2</v>
      </c>
      <c r="I10" s="80">
        <v>3000</v>
      </c>
      <c r="J10" s="38">
        <f t="shared" si="3"/>
        <v>3600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4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20420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2B00-000000000000}"/>
    <hyperlink ref="M1" location="'Home Page'!A1" display="Back" xr:uid="{00000000-0004-0000-2B00-000001000000}"/>
  </hyperlinks>
  <pageMargins left="0" right="0" top="0" bottom="0" header="0" footer="0"/>
  <pageSetup paperSize="9" orientation="portrait" r:id="rId2"/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43709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6</v>
      </c>
      <c r="O4" s="147">
        <f>V20</f>
        <v>5</v>
      </c>
      <c r="P4" s="147">
        <f>W20</f>
        <v>1</v>
      </c>
      <c r="Q4" s="149">
        <f>N4-O4-P4</f>
        <v>0</v>
      </c>
      <c r="R4" s="151">
        <f>O4/N4</f>
        <v>0.83333333333333337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43713</v>
      </c>
      <c r="D6" s="31" t="s">
        <v>19</v>
      </c>
      <c r="E6" s="31" t="s">
        <v>132</v>
      </c>
      <c r="F6" s="86">
        <v>2610</v>
      </c>
      <c r="G6" s="86">
        <v>2660</v>
      </c>
      <c r="H6" s="86">
        <v>50</v>
      </c>
      <c r="I6" s="32">
        <v>200</v>
      </c>
      <c r="J6" s="33">
        <f>I6*H6</f>
        <v>10000</v>
      </c>
      <c r="K6" s="23"/>
      <c r="M6" s="117" t="s">
        <v>67</v>
      </c>
      <c r="N6" s="118"/>
      <c r="O6" s="119"/>
      <c r="P6" s="126">
        <f>R4</f>
        <v>0.83333333333333337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43719</v>
      </c>
      <c r="D7" s="36" t="s">
        <v>12</v>
      </c>
      <c r="E7" s="36" t="s">
        <v>133</v>
      </c>
      <c r="F7" s="80">
        <v>1833</v>
      </c>
      <c r="G7" s="80">
        <v>1805</v>
      </c>
      <c r="H7" s="80">
        <v>28</v>
      </c>
      <c r="I7" s="37">
        <v>300</v>
      </c>
      <c r="J7" s="38">
        <f>I7*H7</f>
        <v>8400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43725</v>
      </c>
      <c r="D8" s="36" t="s">
        <v>19</v>
      </c>
      <c r="E8" s="36" t="s">
        <v>117</v>
      </c>
      <c r="F8" s="80">
        <v>1163</v>
      </c>
      <c r="G8" s="80">
        <v>1168</v>
      </c>
      <c r="H8" s="80">
        <v>5</v>
      </c>
      <c r="I8" s="37">
        <v>750</v>
      </c>
      <c r="J8" s="38">
        <f t="shared" ref="J8:J14" si="3">I8*H8</f>
        <v>3750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43732</v>
      </c>
      <c r="D9" s="36" t="s">
        <v>19</v>
      </c>
      <c r="E9" s="36" t="s">
        <v>56</v>
      </c>
      <c r="F9" s="80">
        <v>1280</v>
      </c>
      <c r="G9" s="80">
        <v>1292.5</v>
      </c>
      <c r="H9" s="80">
        <v>12.5</v>
      </c>
      <c r="I9" s="80">
        <v>500</v>
      </c>
      <c r="J9" s="38">
        <f>I9*H9</f>
        <v>6250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43732</v>
      </c>
      <c r="D10" s="36" t="s">
        <v>19</v>
      </c>
      <c r="E10" s="36" t="s">
        <v>16</v>
      </c>
      <c r="F10" s="80">
        <v>11600</v>
      </c>
      <c r="G10" s="80">
        <v>11560</v>
      </c>
      <c r="H10" s="80">
        <v>-40</v>
      </c>
      <c r="I10" s="80">
        <v>150</v>
      </c>
      <c r="J10" s="38">
        <f t="shared" si="3"/>
        <v>-6000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43733</v>
      </c>
      <c r="D11" s="36" t="s">
        <v>19</v>
      </c>
      <c r="E11" s="36" t="s">
        <v>133</v>
      </c>
      <c r="F11" s="80">
        <v>2055</v>
      </c>
      <c r="G11" s="80">
        <v>2075</v>
      </c>
      <c r="H11" s="80">
        <v>20</v>
      </c>
      <c r="I11" s="80">
        <v>300</v>
      </c>
      <c r="J11" s="38">
        <f t="shared" si="3"/>
        <v>6000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5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28400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2C00-000000000000}"/>
    <hyperlink ref="M1" location="'Home Page'!A1" display="Back" xr:uid="{00000000-0004-0000-2C00-000001000000}"/>
  </hyperlinks>
  <pageMargins left="0" right="0" top="0" bottom="0" header="0" footer="0"/>
  <pageSetup paperSize="9" orientation="portrait" r:id="rId2"/>
  <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43739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6</v>
      </c>
      <c r="P4" s="147">
        <f>W20</f>
        <v>1</v>
      </c>
      <c r="Q4" s="149">
        <f>N4-O4-P4</f>
        <v>0</v>
      </c>
      <c r="R4" s="151">
        <f>O4/N4</f>
        <v>0.8571428571428571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43747</v>
      </c>
      <c r="D6" s="31" t="s">
        <v>19</v>
      </c>
      <c r="E6" s="31" t="s">
        <v>56</v>
      </c>
      <c r="F6" s="86">
        <v>1330</v>
      </c>
      <c r="G6" s="86">
        <v>1349</v>
      </c>
      <c r="H6" s="86">
        <v>19</v>
      </c>
      <c r="I6" s="32">
        <v>500</v>
      </c>
      <c r="J6" s="33">
        <f>I6*H6</f>
        <v>9500</v>
      </c>
      <c r="K6" s="23"/>
      <c r="M6" s="117" t="s">
        <v>67</v>
      </c>
      <c r="N6" s="118"/>
      <c r="O6" s="119"/>
      <c r="P6" s="126">
        <f>R4</f>
        <v>0.8571428571428571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43748</v>
      </c>
      <c r="D7" s="36" t="s">
        <v>19</v>
      </c>
      <c r="E7" s="36" t="s">
        <v>127</v>
      </c>
      <c r="F7" s="80">
        <v>1988</v>
      </c>
      <c r="G7" s="80">
        <v>2015</v>
      </c>
      <c r="H7" s="80">
        <v>27</v>
      </c>
      <c r="I7" s="37">
        <v>500</v>
      </c>
      <c r="J7" s="38">
        <f>I7*H7</f>
        <v>13500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43748</v>
      </c>
      <c r="D8" s="36" t="s">
        <v>19</v>
      </c>
      <c r="E8" s="36" t="s">
        <v>16</v>
      </c>
      <c r="F8" s="80">
        <v>11240</v>
      </c>
      <c r="G8" s="80">
        <v>11300</v>
      </c>
      <c r="H8" s="80">
        <v>60</v>
      </c>
      <c r="I8" s="37">
        <v>150</v>
      </c>
      <c r="J8" s="38">
        <f t="shared" ref="J8:J14" si="3">I8*H8</f>
        <v>9000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43754</v>
      </c>
      <c r="D9" s="36" t="s">
        <v>19</v>
      </c>
      <c r="E9" s="36" t="s">
        <v>16</v>
      </c>
      <c r="F9" s="80">
        <v>11440</v>
      </c>
      <c r="G9" s="80">
        <v>11495</v>
      </c>
      <c r="H9" s="80">
        <v>55</v>
      </c>
      <c r="I9" s="80">
        <v>150</v>
      </c>
      <c r="J9" s="38">
        <f>I9*H9</f>
        <v>8250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43754</v>
      </c>
      <c r="D10" s="36" t="s">
        <v>19</v>
      </c>
      <c r="E10" s="36" t="s">
        <v>28</v>
      </c>
      <c r="F10" s="80">
        <v>434</v>
      </c>
      <c r="G10" s="80">
        <v>440</v>
      </c>
      <c r="H10" s="80">
        <v>6</v>
      </c>
      <c r="I10" s="80">
        <v>1375</v>
      </c>
      <c r="J10" s="38">
        <f t="shared" si="3"/>
        <v>8250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43761</v>
      </c>
      <c r="D11" s="36" t="s">
        <v>12</v>
      </c>
      <c r="E11" s="36" t="s">
        <v>56</v>
      </c>
      <c r="F11" s="80">
        <v>1390</v>
      </c>
      <c r="G11" s="80">
        <v>1405</v>
      </c>
      <c r="H11" s="80">
        <v>-15</v>
      </c>
      <c r="I11" s="80">
        <v>500</v>
      </c>
      <c r="J11" s="38">
        <f t="shared" si="3"/>
        <v>-7500</v>
      </c>
      <c r="K11" s="23"/>
      <c r="L11" s="21" t="s">
        <v>88</v>
      </c>
      <c r="V11" s="21">
        <f t="shared" si="0"/>
        <v>0</v>
      </c>
      <c r="W11" s="21">
        <f t="shared" si="1"/>
        <v>1</v>
      </c>
    </row>
    <row r="12" spans="1:23" ht="15" thickTop="1" x14ac:dyDescent="0.3">
      <c r="A12" s="22"/>
      <c r="B12" s="91">
        <f t="shared" si="2"/>
        <v>7</v>
      </c>
      <c r="C12" s="93">
        <v>43761</v>
      </c>
      <c r="D12" s="36" t="s">
        <v>19</v>
      </c>
      <c r="E12" s="36" t="s">
        <v>28</v>
      </c>
      <c r="F12" s="80">
        <v>454</v>
      </c>
      <c r="G12" s="80">
        <v>458.4</v>
      </c>
      <c r="H12" s="80">
        <v>4.4000000000000004</v>
      </c>
      <c r="I12" s="80">
        <v>1375</v>
      </c>
      <c r="J12" s="38">
        <f t="shared" si="3"/>
        <v>6050.0000000000009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/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/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/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47050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2D00-000000000000}"/>
    <hyperlink ref="M1" location="'Home Page'!A1" display="Back" xr:uid="{00000000-0004-0000-2D00-000001000000}"/>
  </hyperlinks>
  <pageMargins left="0" right="0" top="0" bottom="0" header="0" footer="0"/>
  <pageSetup paperSize="9" orientation="portrait" r:id="rId2"/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22"/>
  <sheetViews>
    <sheetView zoomScale="97" zoomScaleNormal="97" workbookViewId="0">
      <selection activeCell="L21" sqref="L2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43770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12</v>
      </c>
      <c r="O4" s="147">
        <f>V20</f>
        <v>10</v>
      </c>
      <c r="P4" s="147">
        <f>W20</f>
        <v>2</v>
      </c>
      <c r="Q4" s="149">
        <f>N4-O4-P4</f>
        <v>0</v>
      </c>
      <c r="R4" s="151">
        <f>O4/N4</f>
        <v>0.83333333333333337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43773</v>
      </c>
      <c r="D6" s="31" t="s">
        <v>19</v>
      </c>
      <c r="E6" s="31" t="s">
        <v>28</v>
      </c>
      <c r="F6" s="86">
        <v>471</v>
      </c>
      <c r="G6" s="86">
        <v>474</v>
      </c>
      <c r="H6" s="86">
        <v>4</v>
      </c>
      <c r="I6" s="32">
        <v>1375</v>
      </c>
      <c r="J6" s="33">
        <f>I6*H6</f>
        <v>5500</v>
      </c>
      <c r="K6" s="23"/>
      <c r="M6" s="117" t="s">
        <v>67</v>
      </c>
      <c r="N6" s="118"/>
      <c r="O6" s="119"/>
      <c r="P6" s="126">
        <f>R4</f>
        <v>0.83333333333333337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43773</v>
      </c>
      <c r="D7" s="36" t="s">
        <v>19</v>
      </c>
      <c r="E7" s="36" t="s">
        <v>16</v>
      </c>
      <c r="F7" s="80">
        <v>11970</v>
      </c>
      <c r="G7" s="80">
        <v>11995</v>
      </c>
      <c r="H7" s="80">
        <v>25</v>
      </c>
      <c r="I7" s="37">
        <v>150</v>
      </c>
      <c r="J7" s="38">
        <f>I7*H7</f>
        <v>3750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43775</v>
      </c>
      <c r="D8" s="36" t="s">
        <v>12</v>
      </c>
      <c r="E8" s="36" t="s">
        <v>16</v>
      </c>
      <c r="F8" s="80">
        <v>12020</v>
      </c>
      <c r="G8" s="80">
        <v>11980</v>
      </c>
      <c r="H8" s="80">
        <v>40</v>
      </c>
      <c r="I8" s="37">
        <v>150</v>
      </c>
      <c r="J8" s="38">
        <f t="shared" ref="J8:J17" si="3">I8*H8</f>
        <v>6000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43775</v>
      </c>
      <c r="D9" s="36" t="s">
        <v>12</v>
      </c>
      <c r="E9" s="36" t="s">
        <v>56</v>
      </c>
      <c r="F9" s="80">
        <v>1445</v>
      </c>
      <c r="G9" s="80">
        <v>1437.5</v>
      </c>
      <c r="H9" s="80">
        <v>7.5</v>
      </c>
      <c r="I9" s="80">
        <v>500</v>
      </c>
      <c r="J9" s="38">
        <f>I9*H9</f>
        <v>3750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43783</v>
      </c>
      <c r="D10" s="36" t="s">
        <v>19</v>
      </c>
      <c r="E10" s="36" t="s">
        <v>16</v>
      </c>
      <c r="F10" s="80">
        <v>11890</v>
      </c>
      <c r="G10" s="80">
        <v>11970</v>
      </c>
      <c r="H10" s="80">
        <v>80</v>
      </c>
      <c r="I10" s="80">
        <v>150</v>
      </c>
      <c r="J10" s="38">
        <f t="shared" si="3"/>
        <v>12000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43783</v>
      </c>
      <c r="D11" s="36" t="s">
        <v>12</v>
      </c>
      <c r="E11" s="36" t="s">
        <v>18</v>
      </c>
      <c r="F11" s="80">
        <v>1387</v>
      </c>
      <c r="G11" s="80">
        <v>1380.8</v>
      </c>
      <c r="H11" s="80">
        <v>6.2</v>
      </c>
      <c r="I11" s="80">
        <v>375</v>
      </c>
      <c r="J11" s="38">
        <f t="shared" si="3"/>
        <v>2325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43787</v>
      </c>
      <c r="D12" s="36" t="s">
        <v>19</v>
      </c>
      <c r="E12" s="36" t="s">
        <v>38</v>
      </c>
      <c r="F12" s="80">
        <v>725</v>
      </c>
      <c r="G12" s="80">
        <v>740</v>
      </c>
      <c r="H12" s="80">
        <v>15</v>
      </c>
      <c r="I12" s="80">
        <v>1200</v>
      </c>
      <c r="J12" s="38">
        <f t="shared" si="3"/>
        <v>18000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43788</v>
      </c>
      <c r="D13" s="36" t="s">
        <v>12</v>
      </c>
      <c r="E13" s="36" t="s">
        <v>16</v>
      </c>
      <c r="F13" s="80">
        <v>11960</v>
      </c>
      <c r="G13" s="80">
        <v>11990</v>
      </c>
      <c r="H13" s="80">
        <v>-30</v>
      </c>
      <c r="I13" s="80">
        <v>150</v>
      </c>
      <c r="J13" s="38">
        <f t="shared" si="3"/>
        <v>-4500</v>
      </c>
      <c r="K13" s="23"/>
      <c r="M13" s="72"/>
      <c r="R13" s="73"/>
      <c r="V13" s="21">
        <f t="shared" si="0"/>
        <v>0</v>
      </c>
      <c r="W13" s="21">
        <f t="shared" si="1"/>
        <v>1</v>
      </c>
    </row>
    <row r="14" spans="1:23" x14ac:dyDescent="0.3">
      <c r="A14" s="22"/>
      <c r="B14" s="91">
        <f t="shared" si="2"/>
        <v>9</v>
      </c>
      <c r="C14" s="93">
        <v>43794</v>
      </c>
      <c r="D14" s="36" t="s">
        <v>19</v>
      </c>
      <c r="E14" s="36" t="s">
        <v>16</v>
      </c>
      <c r="F14" s="80">
        <v>12090</v>
      </c>
      <c r="G14" s="80">
        <v>12130</v>
      </c>
      <c r="H14" s="80">
        <v>40</v>
      </c>
      <c r="I14" s="80">
        <v>150</v>
      </c>
      <c r="J14" s="38">
        <f t="shared" si="3"/>
        <v>6000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43794</v>
      </c>
      <c r="D15" s="36" t="s">
        <v>19</v>
      </c>
      <c r="E15" s="36" t="s">
        <v>18</v>
      </c>
      <c r="F15" s="80">
        <v>1384</v>
      </c>
      <c r="G15" s="80">
        <v>1370</v>
      </c>
      <c r="H15" s="80">
        <v>-14</v>
      </c>
      <c r="I15" s="80">
        <v>375</v>
      </c>
      <c r="J15" s="38">
        <f t="shared" si="3"/>
        <v>-5250</v>
      </c>
      <c r="K15" s="23"/>
      <c r="M15" s="72"/>
      <c r="R15" s="73"/>
      <c r="V15" s="21">
        <f t="shared" si="0"/>
        <v>0</v>
      </c>
      <c r="W15" s="21">
        <f t="shared" si="1"/>
        <v>1</v>
      </c>
    </row>
    <row r="16" spans="1:23" x14ac:dyDescent="0.3">
      <c r="A16" s="22"/>
      <c r="B16" s="91">
        <f t="shared" si="2"/>
        <v>11</v>
      </c>
      <c r="C16" s="93">
        <v>43794</v>
      </c>
      <c r="D16" s="36" t="s">
        <v>19</v>
      </c>
      <c r="E16" s="36" t="s">
        <v>56</v>
      </c>
      <c r="F16" s="80">
        <v>1563</v>
      </c>
      <c r="G16" s="80">
        <v>1575</v>
      </c>
      <c r="H16" s="80">
        <v>12</v>
      </c>
      <c r="I16" s="80">
        <v>500</v>
      </c>
      <c r="J16" s="38">
        <f t="shared" si="3"/>
        <v>6000</v>
      </c>
      <c r="K16" s="23"/>
      <c r="M16" s="72"/>
      <c r="R16" s="73"/>
      <c r="V16" s="21">
        <f t="shared" si="0"/>
        <v>1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>
        <v>43796</v>
      </c>
      <c r="D17" s="36" t="s">
        <v>19</v>
      </c>
      <c r="E17" s="36" t="s">
        <v>16</v>
      </c>
      <c r="F17" s="80">
        <v>12090</v>
      </c>
      <c r="G17" s="80">
        <v>12150</v>
      </c>
      <c r="H17" s="80">
        <v>60</v>
      </c>
      <c r="I17" s="80">
        <v>150</v>
      </c>
      <c r="J17" s="38">
        <f t="shared" si="3"/>
        <v>9000</v>
      </c>
      <c r="K17" s="23"/>
      <c r="M17" s="72"/>
      <c r="R17" s="73"/>
      <c r="V17" s="21">
        <f t="shared" si="0"/>
        <v>1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10</v>
      </c>
      <c r="W20" s="21">
        <f>SUM(W6:W19)</f>
        <v>2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62575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2E00-000000000000}"/>
    <hyperlink ref="M1" location="'Home Page'!A1" display="Back" xr:uid="{00000000-0004-0000-2E00-000001000000}"/>
  </hyperlinks>
  <pageMargins left="0" right="0" top="0" bottom="0" header="0" footer="0"/>
  <pageSetup paperSize="9" orientation="portrait" r:id="rId2"/>
  <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22"/>
  <sheetViews>
    <sheetView zoomScale="97" zoomScaleNormal="97" workbookViewId="0">
      <selection activeCell="I15" sqref="I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43800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7</v>
      </c>
      <c r="P4" s="147">
        <f>W20</f>
        <v>2</v>
      </c>
      <c r="Q4" s="149">
        <f>N4-O4-P4</f>
        <v>0</v>
      </c>
      <c r="R4" s="151">
        <f>O4/N4</f>
        <v>0.77777777777777779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43801</v>
      </c>
      <c r="D6" s="31" t="s">
        <v>19</v>
      </c>
      <c r="E6" s="31" t="s">
        <v>56</v>
      </c>
      <c r="F6" s="86">
        <v>1592</v>
      </c>
      <c r="G6" s="86">
        <v>1599</v>
      </c>
      <c r="H6" s="86">
        <v>6</v>
      </c>
      <c r="I6" s="32">
        <v>500</v>
      </c>
      <c r="J6" s="33">
        <f>I6*H6</f>
        <v>3000</v>
      </c>
      <c r="K6" s="23"/>
      <c r="M6" s="117" t="s">
        <v>67</v>
      </c>
      <c r="N6" s="118"/>
      <c r="O6" s="119"/>
      <c r="P6" s="126">
        <f>R4</f>
        <v>0.77777777777777779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43801</v>
      </c>
      <c r="D7" s="36" t="s">
        <v>19</v>
      </c>
      <c r="E7" s="36" t="s">
        <v>16</v>
      </c>
      <c r="F7" s="80">
        <v>12090</v>
      </c>
      <c r="G7" s="80">
        <v>12040</v>
      </c>
      <c r="H7" s="80">
        <v>-50</v>
      </c>
      <c r="I7" s="37">
        <v>150</v>
      </c>
      <c r="J7" s="38">
        <f>I7*H7</f>
        <v>-7500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43802</v>
      </c>
      <c r="D8" s="36" t="s">
        <v>19</v>
      </c>
      <c r="E8" s="36" t="s">
        <v>28</v>
      </c>
      <c r="F8" s="80">
        <v>510</v>
      </c>
      <c r="G8" s="80">
        <v>518</v>
      </c>
      <c r="H8" s="80">
        <v>8</v>
      </c>
      <c r="I8" s="37">
        <v>1375</v>
      </c>
      <c r="J8" s="38">
        <f t="shared" ref="J8:J17" si="3">I8*H8</f>
        <v>11000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43802</v>
      </c>
      <c r="D9" s="36" t="s">
        <v>19</v>
      </c>
      <c r="E9" s="36" t="s">
        <v>127</v>
      </c>
      <c r="F9" s="80">
        <v>2317</v>
      </c>
      <c r="G9" s="80">
        <v>2331</v>
      </c>
      <c r="H9" s="80">
        <v>14</v>
      </c>
      <c r="I9" s="80">
        <v>250</v>
      </c>
      <c r="J9" s="38">
        <f>I9*H9</f>
        <v>3500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43804</v>
      </c>
      <c r="D10" s="36" t="s">
        <v>19</v>
      </c>
      <c r="E10" s="36" t="s">
        <v>38</v>
      </c>
      <c r="F10" s="80">
        <v>732</v>
      </c>
      <c r="G10" s="80">
        <v>735</v>
      </c>
      <c r="H10" s="80">
        <v>3</v>
      </c>
      <c r="I10" s="80">
        <v>1200</v>
      </c>
      <c r="J10" s="38">
        <f t="shared" si="3"/>
        <v>3600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43804</v>
      </c>
      <c r="D11" s="36" t="s">
        <v>19</v>
      </c>
      <c r="E11" s="36" t="s">
        <v>16</v>
      </c>
      <c r="F11" s="80">
        <v>12040</v>
      </c>
      <c r="G11" s="80">
        <v>12080</v>
      </c>
      <c r="H11" s="80">
        <v>40</v>
      </c>
      <c r="I11" s="80">
        <v>150</v>
      </c>
      <c r="J11" s="38">
        <f t="shared" si="3"/>
        <v>6000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43810</v>
      </c>
      <c r="D12" s="36" t="s">
        <v>19</v>
      </c>
      <c r="E12" s="36" t="s">
        <v>16</v>
      </c>
      <c r="F12" s="80">
        <v>11900</v>
      </c>
      <c r="G12" s="80">
        <v>11980</v>
      </c>
      <c r="H12" s="80">
        <v>80</v>
      </c>
      <c r="I12" s="80">
        <v>150</v>
      </c>
      <c r="J12" s="38">
        <f t="shared" si="3"/>
        <v>12000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43815</v>
      </c>
      <c r="D13" s="36" t="s">
        <v>12</v>
      </c>
      <c r="E13" s="36" t="s">
        <v>38</v>
      </c>
      <c r="F13" s="80">
        <v>750</v>
      </c>
      <c r="G13" s="80">
        <v>746.85</v>
      </c>
      <c r="H13" s="80">
        <v>3.15</v>
      </c>
      <c r="I13" s="80">
        <v>1200</v>
      </c>
      <c r="J13" s="38">
        <f t="shared" si="3"/>
        <v>3780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43815</v>
      </c>
      <c r="D14" s="36" t="s">
        <v>12</v>
      </c>
      <c r="E14" s="36" t="s">
        <v>16</v>
      </c>
      <c r="F14" s="80">
        <v>12090</v>
      </c>
      <c r="G14" s="80">
        <v>12120</v>
      </c>
      <c r="H14" s="80">
        <v>-30</v>
      </c>
      <c r="I14" s="80">
        <v>150</v>
      </c>
      <c r="J14" s="38">
        <f t="shared" si="3"/>
        <v>-4500</v>
      </c>
      <c r="K14" s="23"/>
      <c r="M14" s="72"/>
      <c r="R14" s="73"/>
      <c r="V14" s="21">
        <f t="shared" si="0"/>
        <v>0</v>
      </c>
      <c r="W14" s="21">
        <f t="shared" si="1"/>
        <v>1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7</v>
      </c>
      <c r="W20" s="21">
        <f>SUM(W6:W19)</f>
        <v>2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30880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2F00-000000000000}"/>
    <hyperlink ref="M1" location="'Home Page'!A1" display="Back" xr:uid="{00000000-0004-0000-2F00-000001000000}"/>
  </hyperlinks>
  <pageMargins left="0" right="0" top="0" bottom="0" header="0" footer="0"/>
  <pageSetup paperSize="9" orientation="portrait" r:id="rId2"/>
  <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22"/>
  <sheetViews>
    <sheetView zoomScale="97" zoomScaleNormal="97" workbookViewId="0">
      <selection activeCell="M1" sqref="M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43831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6</v>
      </c>
      <c r="P4" s="147">
        <f>W20</f>
        <v>1</v>
      </c>
      <c r="Q4" s="149">
        <f>N4-O4-P4</f>
        <v>1</v>
      </c>
      <c r="R4" s="151">
        <f>O4/N4</f>
        <v>0.75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43836</v>
      </c>
      <c r="D6" s="31" t="s">
        <v>19</v>
      </c>
      <c r="E6" s="31" t="s">
        <v>16</v>
      </c>
      <c r="F6" s="86">
        <v>12035</v>
      </c>
      <c r="G6" s="86">
        <v>12110</v>
      </c>
      <c r="H6" s="86">
        <v>75</v>
      </c>
      <c r="I6" s="32">
        <v>150</v>
      </c>
      <c r="J6" s="33">
        <f>I6*H6</f>
        <v>11250</v>
      </c>
      <c r="K6" s="23"/>
      <c r="M6" s="117" t="s">
        <v>67</v>
      </c>
      <c r="N6" s="118"/>
      <c r="O6" s="119"/>
      <c r="P6" s="126">
        <f>R4</f>
        <v>0.75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43836</v>
      </c>
      <c r="D7" s="36" t="s">
        <v>19</v>
      </c>
      <c r="E7" s="36" t="s">
        <v>134</v>
      </c>
      <c r="F7" s="80">
        <v>572</v>
      </c>
      <c r="G7" s="80">
        <v>583</v>
      </c>
      <c r="H7" s="80">
        <v>11</v>
      </c>
      <c r="I7" s="37">
        <v>900</v>
      </c>
      <c r="J7" s="38">
        <f>I7*H7</f>
        <v>9900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43838</v>
      </c>
      <c r="D8" s="36" t="s">
        <v>19</v>
      </c>
      <c r="E8" s="36" t="s">
        <v>38</v>
      </c>
      <c r="F8" s="80">
        <v>726</v>
      </c>
      <c r="G8" s="80">
        <v>740</v>
      </c>
      <c r="H8" s="80">
        <v>14</v>
      </c>
      <c r="I8" s="37">
        <v>1200</v>
      </c>
      <c r="J8" s="38">
        <f t="shared" ref="J8:J17" si="3">I8*H8</f>
        <v>16800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43838</v>
      </c>
      <c r="D9" s="36" t="s">
        <v>19</v>
      </c>
      <c r="E9" s="36" t="s">
        <v>13</v>
      </c>
      <c r="F9" s="80">
        <v>317</v>
      </c>
      <c r="G9" s="80">
        <v>325</v>
      </c>
      <c r="H9" s="80">
        <v>8</v>
      </c>
      <c r="I9" s="80">
        <v>3000</v>
      </c>
      <c r="J9" s="38">
        <f>I9*H9</f>
        <v>24000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43843</v>
      </c>
      <c r="D10" s="36" t="s">
        <v>19</v>
      </c>
      <c r="E10" s="36" t="s">
        <v>119</v>
      </c>
      <c r="F10" s="80">
        <v>1545</v>
      </c>
      <c r="G10" s="80">
        <v>1545</v>
      </c>
      <c r="H10" s="80">
        <v>0</v>
      </c>
      <c r="I10" s="80">
        <v>500</v>
      </c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43846</v>
      </c>
      <c r="D11" s="36" t="s">
        <v>19</v>
      </c>
      <c r="E11" s="36" t="s">
        <v>119</v>
      </c>
      <c r="F11" s="80">
        <v>1538</v>
      </c>
      <c r="G11" s="80">
        <v>1565</v>
      </c>
      <c r="H11" s="80">
        <v>27</v>
      </c>
      <c r="I11" s="80">
        <v>500</v>
      </c>
      <c r="J11" s="38">
        <f t="shared" si="3"/>
        <v>13500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43850</v>
      </c>
      <c r="D12" s="36" t="s">
        <v>19</v>
      </c>
      <c r="E12" s="36" t="s">
        <v>18</v>
      </c>
      <c r="F12" s="80">
        <v>1315</v>
      </c>
      <c r="G12" s="80">
        <v>1306</v>
      </c>
      <c r="H12" s="80">
        <v>-6</v>
      </c>
      <c r="I12" s="80">
        <v>375</v>
      </c>
      <c r="J12" s="38">
        <f t="shared" si="3"/>
        <v>-2250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1</v>
      </c>
    </row>
    <row r="13" spans="1:23" x14ac:dyDescent="0.3">
      <c r="A13" s="22"/>
      <c r="B13" s="91">
        <f t="shared" si="2"/>
        <v>8</v>
      </c>
      <c r="C13" s="93">
        <v>43858</v>
      </c>
      <c r="D13" s="36" t="s">
        <v>19</v>
      </c>
      <c r="E13" s="36" t="s">
        <v>16</v>
      </c>
      <c r="F13" s="80">
        <v>12040</v>
      </c>
      <c r="G13" s="80">
        <v>12120</v>
      </c>
      <c r="H13" s="80">
        <v>80</v>
      </c>
      <c r="I13" s="80">
        <v>150</v>
      </c>
      <c r="J13" s="38">
        <f t="shared" si="3"/>
        <v>12000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85200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3000-000000000000}"/>
    <hyperlink ref="M1" location="'Home Page'!A1" display="Back" xr:uid="{00000000-0004-0000-3000-000001000000}"/>
  </hyperlinks>
  <pageMargins left="0" right="0" top="0" bottom="0" header="0" footer="0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workbookViewId="0">
      <selection activeCell="K2" sqref="K2"/>
    </sheetView>
  </sheetViews>
  <sheetFormatPr defaultColWidth="9.109375" defaultRowHeight="14.4" x14ac:dyDescent="0.3"/>
  <cols>
    <col min="1" max="1" width="9.109375" style="7"/>
    <col min="2" max="2" width="21" customWidth="1"/>
    <col min="3" max="3" width="18.33203125" customWidth="1"/>
    <col min="4" max="4" width="24.332031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  <col min="11" max="11" width="12.44140625" customWidth="1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29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8">
        <v>42493</v>
      </c>
      <c r="C5" s="4" t="s">
        <v>12</v>
      </c>
      <c r="D5" s="4" t="s">
        <v>16</v>
      </c>
      <c r="E5" s="4">
        <v>7810</v>
      </c>
      <c r="F5" s="4">
        <v>7740</v>
      </c>
      <c r="G5" s="4">
        <v>60</v>
      </c>
      <c r="H5" s="4">
        <v>150</v>
      </c>
      <c r="I5" s="4">
        <f>H5*G5</f>
        <v>9000</v>
      </c>
    </row>
    <row r="6" spans="1:11" ht="25.8" x14ac:dyDescent="0.5">
      <c r="B6" s="11">
        <v>42500</v>
      </c>
      <c r="C6" s="12" t="s">
        <v>15</v>
      </c>
      <c r="D6" s="12" t="s">
        <v>16</v>
      </c>
      <c r="E6" s="12">
        <v>7920</v>
      </c>
      <c r="F6" s="12">
        <v>7870</v>
      </c>
      <c r="G6" s="12">
        <v>-50</v>
      </c>
      <c r="H6" s="12">
        <v>150</v>
      </c>
      <c r="I6" s="4">
        <f>H6*G6</f>
        <v>-7500</v>
      </c>
    </row>
    <row r="7" spans="1:11" ht="25.8" x14ac:dyDescent="0.5">
      <c r="B7" s="13">
        <v>42501</v>
      </c>
      <c r="C7" s="12" t="s">
        <v>19</v>
      </c>
      <c r="D7" s="12" t="s">
        <v>18</v>
      </c>
      <c r="E7" s="12">
        <v>1325</v>
      </c>
      <c r="F7" s="12">
        <v>1341</v>
      </c>
      <c r="G7" s="12">
        <v>16</v>
      </c>
      <c r="H7" s="12">
        <v>600</v>
      </c>
      <c r="I7" s="4">
        <f t="shared" ref="I7:I11" si="0">H7*G7</f>
        <v>9600</v>
      </c>
    </row>
    <row r="8" spans="1:11" ht="25.8" x14ac:dyDescent="0.5">
      <c r="B8" s="9">
        <v>42441</v>
      </c>
      <c r="C8" s="4" t="s">
        <v>19</v>
      </c>
      <c r="D8" s="4" t="s">
        <v>30</v>
      </c>
      <c r="E8" s="4">
        <v>232</v>
      </c>
      <c r="F8" s="4">
        <v>234</v>
      </c>
      <c r="G8" s="4">
        <v>2</v>
      </c>
      <c r="H8" s="4">
        <v>3400</v>
      </c>
      <c r="I8" s="4">
        <f t="shared" si="0"/>
        <v>6800</v>
      </c>
    </row>
    <row r="9" spans="1:11" ht="25.8" x14ac:dyDescent="0.5">
      <c r="B9" s="9">
        <v>42506</v>
      </c>
      <c r="C9" s="4" t="s">
        <v>19</v>
      </c>
      <c r="D9" s="4" t="s">
        <v>16</v>
      </c>
      <c r="E9" s="4">
        <v>7850</v>
      </c>
      <c r="F9" s="4">
        <v>7920</v>
      </c>
      <c r="G9" s="4">
        <v>70</v>
      </c>
      <c r="H9" s="4">
        <v>150</v>
      </c>
      <c r="I9" s="4">
        <f t="shared" si="0"/>
        <v>10500</v>
      </c>
    </row>
    <row r="10" spans="1:11" ht="25.8" x14ac:dyDescent="0.5">
      <c r="B10" s="9">
        <v>42507</v>
      </c>
      <c r="C10" s="4" t="s">
        <v>12</v>
      </c>
      <c r="D10" s="4" t="s">
        <v>21</v>
      </c>
      <c r="E10" s="4">
        <v>182</v>
      </c>
      <c r="F10" s="4">
        <v>179.5</v>
      </c>
      <c r="G10" s="4">
        <v>2.5</v>
      </c>
      <c r="H10" s="4">
        <v>4000</v>
      </c>
      <c r="I10" s="4">
        <f t="shared" si="0"/>
        <v>10000</v>
      </c>
    </row>
    <row r="11" spans="1:11" ht="25.8" x14ac:dyDescent="0.5">
      <c r="B11" s="9">
        <v>42507</v>
      </c>
      <c r="C11" s="4" t="s">
        <v>12</v>
      </c>
      <c r="D11" s="4" t="s">
        <v>20</v>
      </c>
      <c r="E11" s="4">
        <v>16830</v>
      </c>
      <c r="F11" s="4">
        <v>16630</v>
      </c>
      <c r="G11" s="4">
        <v>200</v>
      </c>
      <c r="H11" s="4">
        <v>60</v>
      </c>
      <c r="I11" s="4">
        <f t="shared" si="0"/>
        <v>12000</v>
      </c>
    </row>
    <row r="12" spans="1:11" ht="25.8" x14ac:dyDescent="0.5">
      <c r="B12" s="8">
        <v>42509</v>
      </c>
      <c r="C12" s="4" t="s">
        <v>19</v>
      </c>
      <c r="D12" s="4" t="s">
        <v>16</v>
      </c>
      <c r="E12" s="4">
        <v>7785</v>
      </c>
      <c r="F12" s="4">
        <v>7820</v>
      </c>
      <c r="G12" s="4">
        <v>35</v>
      </c>
      <c r="H12" s="4">
        <v>150</v>
      </c>
      <c r="I12" s="4">
        <f>H12*G12</f>
        <v>5250</v>
      </c>
    </row>
    <row r="13" spans="1:11" ht="25.8" x14ac:dyDescent="0.5">
      <c r="B13" s="9">
        <v>42510</v>
      </c>
      <c r="C13" s="4" t="s">
        <v>12</v>
      </c>
      <c r="D13" s="4" t="s">
        <v>18</v>
      </c>
      <c r="E13" s="4">
        <v>1260</v>
      </c>
      <c r="F13" s="4">
        <v>1245</v>
      </c>
      <c r="G13" s="4">
        <v>15</v>
      </c>
      <c r="H13" s="4">
        <v>600</v>
      </c>
      <c r="I13" s="4">
        <f t="shared" ref="I13:I15" si="1">H13*G13</f>
        <v>9000</v>
      </c>
    </row>
    <row r="14" spans="1:11" ht="25.8" x14ac:dyDescent="0.5">
      <c r="B14" s="9">
        <v>42513</v>
      </c>
      <c r="C14" s="4" t="s">
        <v>12</v>
      </c>
      <c r="D14" s="4" t="s">
        <v>16</v>
      </c>
      <c r="E14" s="4">
        <v>7780</v>
      </c>
      <c r="F14" s="4">
        <v>7730</v>
      </c>
      <c r="G14" s="4">
        <v>50</v>
      </c>
      <c r="H14" s="4">
        <v>150</v>
      </c>
      <c r="I14" s="4">
        <f t="shared" si="1"/>
        <v>7500</v>
      </c>
    </row>
    <row r="15" spans="1:11" ht="25.8" x14ac:dyDescent="0.5">
      <c r="B15" s="9">
        <v>42521</v>
      </c>
      <c r="C15" s="4" t="s">
        <v>19</v>
      </c>
      <c r="D15" s="4" t="s">
        <v>16</v>
      </c>
      <c r="E15" s="4">
        <v>8195</v>
      </c>
      <c r="F15" s="4">
        <v>8220</v>
      </c>
      <c r="G15" s="4">
        <v>25</v>
      </c>
      <c r="H15" s="4">
        <v>150</v>
      </c>
      <c r="I15" s="4">
        <f t="shared" si="1"/>
        <v>3750</v>
      </c>
    </row>
    <row r="16" spans="1:11" ht="25.8" x14ac:dyDescent="0.5">
      <c r="B16" s="9"/>
      <c r="C16" s="4"/>
      <c r="D16" s="4"/>
      <c r="E16" s="4"/>
      <c r="F16" s="4"/>
      <c r="G16" s="4"/>
      <c r="H16" s="4"/>
      <c r="I16" s="4"/>
    </row>
    <row r="17" spans="2:9" ht="25.8" x14ac:dyDescent="0.5">
      <c r="B17" s="9"/>
      <c r="C17" s="4"/>
      <c r="D17" s="4"/>
      <c r="E17" s="4"/>
      <c r="F17" s="4"/>
      <c r="G17" s="4"/>
      <c r="H17" s="4"/>
      <c r="I17" s="4"/>
    </row>
    <row r="18" spans="2:9" ht="25.8" x14ac:dyDescent="0.5">
      <c r="B18" s="9"/>
      <c r="C18" s="4"/>
      <c r="D18" s="4"/>
      <c r="E18" s="4"/>
      <c r="F18" s="4"/>
      <c r="G18" s="4"/>
      <c r="H18" s="4"/>
      <c r="I18" s="10">
        <f>SUM(I5:I15)</f>
        <v>75900</v>
      </c>
    </row>
    <row r="19" spans="2:9" ht="25.8" x14ac:dyDescent="0.5">
      <c r="B19" s="9"/>
      <c r="C19" s="4"/>
      <c r="D19" s="4"/>
      <c r="E19" s="4"/>
      <c r="F19" s="4"/>
      <c r="G19" s="4"/>
      <c r="H19" s="4"/>
      <c r="I19" s="4"/>
    </row>
    <row r="20" spans="2:9" ht="25.8" x14ac:dyDescent="0.5">
      <c r="B20" s="8"/>
      <c r="C20" s="4"/>
      <c r="D20" s="4"/>
      <c r="E20" s="4"/>
      <c r="F20" s="4"/>
      <c r="G20" s="4"/>
      <c r="H20" s="4"/>
      <c r="I20" s="10"/>
    </row>
    <row r="21" spans="2:9" ht="25.8" x14ac:dyDescent="0.5">
      <c r="B21" s="8"/>
      <c r="C21" s="4"/>
      <c r="D21" s="4"/>
      <c r="E21" s="4"/>
      <c r="F21" s="4"/>
      <c r="G21" s="4"/>
      <c r="H21" s="4"/>
      <c r="I21" s="4"/>
    </row>
    <row r="22" spans="2:9" ht="25.8" x14ac:dyDescent="0.5">
      <c r="B22" s="8"/>
      <c r="C22" s="4"/>
      <c r="D22" s="4"/>
      <c r="E22" s="4"/>
      <c r="F22" s="4"/>
      <c r="G22" s="4"/>
      <c r="H22" s="4"/>
      <c r="I22" s="4"/>
    </row>
    <row r="23" spans="2:9" ht="25.8" x14ac:dyDescent="0.5">
      <c r="I23" s="10"/>
    </row>
  </sheetData>
  <mergeCells count="3">
    <mergeCell ref="B1:I1"/>
    <mergeCell ref="B2:I2"/>
    <mergeCell ref="B3:I3"/>
  </mergeCells>
  <hyperlinks>
    <hyperlink ref="K2" location="'Home Page'!A1" display="Back" xr:uid="{00000000-0004-0000-04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22"/>
  <sheetViews>
    <sheetView zoomScale="97" zoomScaleNormal="97" workbookViewId="0">
      <selection activeCell="I13" sqref="I13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43862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6</v>
      </c>
      <c r="P4" s="147">
        <f>W20</f>
        <v>1</v>
      </c>
      <c r="Q4" s="149">
        <f>N4-O4-P4</f>
        <v>0</v>
      </c>
      <c r="R4" s="151">
        <f>O4/N4</f>
        <v>0.8571428571428571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43867</v>
      </c>
      <c r="D6" s="31" t="s">
        <v>12</v>
      </c>
      <c r="E6" s="31" t="s">
        <v>135</v>
      </c>
      <c r="F6" s="86">
        <v>1245</v>
      </c>
      <c r="G6" s="86">
        <v>1232</v>
      </c>
      <c r="H6" s="86">
        <v>13</v>
      </c>
      <c r="I6" s="32">
        <v>500</v>
      </c>
      <c r="J6" s="33">
        <f>I6*H6</f>
        <v>6500</v>
      </c>
      <c r="K6" s="23"/>
      <c r="M6" s="117" t="s">
        <v>67</v>
      </c>
      <c r="N6" s="118"/>
      <c r="O6" s="119"/>
      <c r="P6" s="126">
        <f>R4</f>
        <v>0.8571428571428571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43871</v>
      </c>
      <c r="D7" s="36" t="s">
        <v>19</v>
      </c>
      <c r="E7" s="36" t="s">
        <v>16</v>
      </c>
      <c r="F7" s="80">
        <v>12030</v>
      </c>
      <c r="G7" s="80">
        <v>12110</v>
      </c>
      <c r="H7" s="80">
        <v>80</v>
      </c>
      <c r="I7" s="37">
        <v>150</v>
      </c>
      <c r="J7" s="38">
        <f>I7*H7</f>
        <v>12000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43871</v>
      </c>
      <c r="D8" s="36" t="s">
        <v>19</v>
      </c>
      <c r="E8" s="36" t="s">
        <v>28</v>
      </c>
      <c r="F8" s="80">
        <v>534</v>
      </c>
      <c r="G8" s="80">
        <v>546</v>
      </c>
      <c r="H8" s="80">
        <v>12</v>
      </c>
      <c r="I8" s="37">
        <v>1375</v>
      </c>
      <c r="J8" s="38">
        <f t="shared" ref="J8:J17" si="3">I8*H8</f>
        <v>16500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43873</v>
      </c>
      <c r="D9" s="36" t="s">
        <v>19</v>
      </c>
      <c r="E9" s="36" t="s">
        <v>28</v>
      </c>
      <c r="F9" s="80">
        <v>551</v>
      </c>
      <c r="G9" s="80">
        <v>546</v>
      </c>
      <c r="H9" s="80">
        <v>-5</v>
      </c>
      <c r="I9" s="80">
        <v>1375</v>
      </c>
      <c r="J9" s="38">
        <f>I9*H9</f>
        <v>-6875</v>
      </c>
      <c r="K9" s="23"/>
      <c r="V9" s="21">
        <f t="shared" si="0"/>
        <v>0</v>
      </c>
      <c r="W9" s="21">
        <f t="shared" si="1"/>
        <v>1</v>
      </c>
    </row>
    <row r="10" spans="1:23" x14ac:dyDescent="0.3">
      <c r="A10" s="22"/>
      <c r="B10" s="91">
        <f t="shared" si="2"/>
        <v>5</v>
      </c>
      <c r="C10" s="93">
        <v>43879</v>
      </c>
      <c r="D10" s="36" t="s">
        <v>19</v>
      </c>
      <c r="E10" s="36" t="s">
        <v>16</v>
      </c>
      <c r="F10" s="80">
        <v>11970</v>
      </c>
      <c r="G10" s="80">
        <v>12100</v>
      </c>
      <c r="H10" s="80">
        <v>130</v>
      </c>
      <c r="I10" s="80">
        <v>150</v>
      </c>
      <c r="J10" s="38">
        <f t="shared" si="3"/>
        <v>19500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43886</v>
      </c>
      <c r="D11" s="36" t="s">
        <v>12</v>
      </c>
      <c r="E11" s="36" t="s">
        <v>56</v>
      </c>
      <c r="F11" s="80">
        <v>1420</v>
      </c>
      <c r="G11" s="80">
        <v>1390</v>
      </c>
      <c r="H11" s="80">
        <v>30</v>
      </c>
      <c r="I11" s="80">
        <v>500</v>
      </c>
      <c r="J11" s="38">
        <f t="shared" si="3"/>
        <v>15000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43886</v>
      </c>
      <c r="D12" s="36" t="s">
        <v>12</v>
      </c>
      <c r="E12" s="36" t="s">
        <v>16</v>
      </c>
      <c r="F12" s="80">
        <v>11810</v>
      </c>
      <c r="G12" s="80">
        <v>11740</v>
      </c>
      <c r="H12" s="80">
        <v>70</v>
      </c>
      <c r="I12" s="80">
        <v>150</v>
      </c>
      <c r="J12" s="38">
        <f t="shared" si="3"/>
        <v>10500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73125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3100-000000000000}"/>
    <hyperlink ref="M1" location="'Home Page'!A1" display="Back" xr:uid="{00000000-0004-0000-3100-000001000000}"/>
  </hyperlinks>
  <pageMargins left="0" right="0" top="0" bottom="0" header="0" footer="0"/>
  <pageSetup paperSize="9" orientation="portrait" r:id="rId2"/>
  <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22"/>
  <sheetViews>
    <sheetView zoomScale="97" zoomScaleNormal="97" workbookViewId="0">
      <selection activeCell="F18" sqref="F18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43891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4</v>
      </c>
      <c r="O4" s="147">
        <f>V20</f>
        <v>4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43894</v>
      </c>
      <c r="D6" s="31" t="s">
        <v>19</v>
      </c>
      <c r="E6" s="31" t="s">
        <v>38</v>
      </c>
      <c r="F6" s="86">
        <v>686</v>
      </c>
      <c r="G6" s="86">
        <v>692</v>
      </c>
      <c r="H6" s="86">
        <v>6</v>
      </c>
      <c r="I6" s="32">
        <v>1200</v>
      </c>
      <c r="J6" s="33">
        <f>I6*H6</f>
        <v>7200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43901</v>
      </c>
      <c r="D7" s="36" t="s">
        <v>12</v>
      </c>
      <c r="E7" s="36" t="s">
        <v>16</v>
      </c>
      <c r="F7" s="80">
        <v>10460</v>
      </c>
      <c r="G7" s="80">
        <v>9940</v>
      </c>
      <c r="H7" s="80">
        <v>520</v>
      </c>
      <c r="I7" s="37">
        <v>150</v>
      </c>
      <c r="J7" s="38">
        <f>I7*H7</f>
        <v>78000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43901</v>
      </c>
      <c r="D8" s="36" t="s">
        <v>12</v>
      </c>
      <c r="E8" s="36" t="s">
        <v>21</v>
      </c>
      <c r="F8" s="80">
        <v>117</v>
      </c>
      <c r="G8" s="80">
        <v>106</v>
      </c>
      <c r="H8" s="80">
        <v>11</v>
      </c>
      <c r="I8" s="37">
        <v>2600</v>
      </c>
      <c r="J8" s="38">
        <f t="shared" ref="J8:J17" si="3">I8*H8</f>
        <v>28600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43920</v>
      </c>
      <c r="D9" s="36" t="s">
        <v>12</v>
      </c>
      <c r="E9" s="36" t="s">
        <v>16</v>
      </c>
      <c r="F9" s="80">
        <v>8370</v>
      </c>
      <c r="G9" s="80">
        <v>8250</v>
      </c>
      <c r="H9" s="80">
        <v>120</v>
      </c>
      <c r="I9" s="80">
        <v>150</v>
      </c>
      <c r="J9" s="38">
        <f>I9*H9</f>
        <v>18000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4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131800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3200-000000000000}"/>
    <hyperlink ref="M1" location="'Home Page'!A1" display="Back" xr:uid="{00000000-0004-0000-3200-000001000000}"/>
  </hyperlinks>
  <pageMargins left="0" right="0" top="0" bottom="0" header="0" footer="0"/>
  <pageSetup paperSize="9" orientation="portrait" r:id="rId2"/>
  <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22"/>
  <sheetViews>
    <sheetView zoomScale="97" zoomScaleNormal="97" workbookViewId="0">
      <selection activeCell="I15" sqref="I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43922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9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43929</v>
      </c>
      <c r="D6" s="31" t="s">
        <v>12</v>
      </c>
      <c r="E6" s="31" t="s">
        <v>16</v>
      </c>
      <c r="F6" s="86">
        <v>8770</v>
      </c>
      <c r="G6" s="86">
        <v>8725</v>
      </c>
      <c r="H6" s="86">
        <v>45</v>
      </c>
      <c r="I6" s="32">
        <v>150</v>
      </c>
      <c r="J6" s="33">
        <f>I6*H6</f>
        <v>6750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43929</v>
      </c>
      <c r="D7" s="36" t="s">
        <v>12</v>
      </c>
      <c r="E7" s="36" t="s">
        <v>38</v>
      </c>
      <c r="F7" s="80">
        <v>394</v>
      </c>
      <c r="G7" s="80">
        <v>405</v>
      </c>
      <c r="H7" s="80">
        <v>11</v>
      </c>
      <c r="I7" s="37">
        <v>1200</v>
      </c>
      <c r="J7" s="38">
        <f>I7*H7</f>
        <v>13200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43936</v>
      </c>
      <c r="D8" s="36" t="s">
        <v>12</v>
      </c>
      <c r="E8" s="36" t="s">
        <v>16</v>
      </c>
      <c r="F8" s="80">
        <v>8940</v>
      </c>
      <c r="G8" s="80">
        <v>8836</v>
      </c>
      <c r="H8" s="80">
        <v>104</v>
      </c>
      <c r="I8" s="37">
        <v>150</v>
      </c>
      <c r="J8" s="38">
        <f t="shared" ref="J8:J17" si="3">I8*H8</f>
        <v>15600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43937</v>
      </c>
      <c r="D9" s="36" t="s">
        <v>19</v>
      </c>
      <c r="E9" s="36" t="s">
        <v>117</v>
      </c>
      <c r="F9" s="80">
        <v>992</v>
      </c>
      <c r="G9" s="80">
        <v>1020</v>
      </c>
      <c r="H9" s="80">
        <v>28</v>
      </c>
      <c r="I9" s="80">
        <v>750</v>
      </c>
      <c r="J9" s="38">
        <f>I9*H9</f>
        <v>21000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43944</v>
      </c>
      <c r="D10" s="36" t="s">
        <v>12</v>
      </c>
      <c r="E10" s="36" t="s">
        <v>16</v>
      </c>
      <c r="F10" s="80">
        <v>9260</v>
      </c>
      <c r="G10" s="80">
        <v>9210</v>
      </c>
      <c r="H10" s="80">
        <v>50</v>
      </c>
      <c r="I10" s="80">
        <v>150</v>
      </c>
      <c r="J10" s="38">
        <f t="shared" si="3"/>
        <v>7500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43944</v>
      </c>
      <c r="D11" s="36" t="s">
        <v>12</v>
      </c>
      <c r="E11" s="36" t="s">
        <v>16</v>
      </c>
      <c r="F11" s="80">
        <v>9330</v>
      </c>
      <c r="G11" s="80">
        <v>9150</v>
      </c>
      <c r="H11" s="80">
        <v>180</v>
      </c>
      <c r="I11" s="80">
        <v>150</v>
      </c>
      <c r="J11" s="38">
        <f t="shared" si="3"/>
        <v>27000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43948</v>
      </c>
      <c r="D12" s="36" t="s">
        <v>12</v>
      </c>
      <c r="E12" s="36" t="s">
        <v>16</v>
      </c>
      <c r="F12" s="80">
        <v>9300</v>
      </c>
      <c r="G12" s="80">
        <v>9285</v>
      </c>
      <c r="H12" s="80">
        <v>15</v>
      </c>
      <c r="I12" s="80">
        <v>150</v>
      </c>
      <c r="J12" s="38">
        <f t="shared" si="3"/>
        <v>2250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43948</v>
      </c>
      <c r="D13" s="36" t="s">
        <v>12</v>
      </c>
      <c r="E13" s="36" t="s">
        <v>56</v>
      </c>
      <c r="F13" s="80">
        <v>1437</v>
      </c>
      <c r="G13" s="80">
        <v>1410.1</v>
      </c>
      <c r="H13" s="80">
        <v>26.9</v>
      </c>
      <c r="I13" s="80">
        <v>500</v>
      </c>
      <c r="J13" s="38">
        <f t="shared" si="3"/>
        <v>13450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43949</v>
      </c>
      <c r="D14" s="36" t="s">
        <v>19</v>
      </c>
      <c r="E14" s="36" t="s">
        <v>38</v>
      </c>
      <c r="F14" s="80">
        <v>455</v>
      </c>
      <c r="G14" s="80">
        <v>459</v>
      </c>
      <c r="H14" s="80">
        <v>4</v>
      </c>
      <c r="I14" s="80">
        <v>1200</v>
      </c>
      <c r="J14" s="38">
        <f t="shared" si="3"/>
        <v>4800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9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111550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3300-000000000000}"/>
    <hyperlink ref="M1" location="'Home Page'!A1" display="Back" xr:uid="{00000000-0004-0000-3300-000001000000}"/>
  </hyperlinks>
  <pageMargins left="0" right="0" top="0" bottom="0" header="0" footer="0"/>
  <pageSetup paperSize="9" orientation="portrait" r:id="rId2"/>
  <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43952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8</v>
      </c>
      <c r="P4" s="147">
        <f>W20</f>
        <v>1</v>
      </c>
      <c r="Q4" s="149">
        <f>N4-O4-P4</f>
        <v>0</v>
      </c>
      <c r="R4" s="151">
        <f>O4/N4</f>
        <v>0.88888888888888884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43957</v>
      </c>
      <c r="D6" s="31" t="s">
        <v>19</v>
      </c>
      <c r="E6" s="31" t="s">
        <v>125</v>
      </c>
      <c r="F6" s="86">
        <v>422</v>
      </c>
      <c r="G6" s="86">
        <v>442</v>
      </c>
      <c r="H6" s="86">
        <v>20</v>
      </c>
      <c r="I6" s="32">
        <v>400</v>
      </c>
      <c r="J6" s="33">
        <f>I6*H6</f>
        <v>8000</v>
      </c>
      <c r="K6" s="23"/>
      <c r="M6" s="117" t="s">
        <v>67</v>
      </c>
      <c r="N6" s="118"/>
      <c r="O6" s="119"/>
      <c r="P6" s="126">
        <f>R4</f>
        <v>0.88888888888888884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43962</v>
      </c>
      <c r="D7" s="36" t="s">
        <v>12</v>
      </c>
      <c r="E7" s="36" t="s">
        <v>16</v>
      </c>
      <c r="F7" s="80">
        <v>9250</v>
      </c>
      <c r="G7" s="80">
        <v>9150</v>
      </c>
      <c r="H7" s="80">
        <v>100</v>
      </c>
      <c r="I7" s="37">
        <v>150</v>
      </c>
      <c r="J7" s="38">
        <f>I7*H7</f>
        <v>15000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43965</v>
      </c>
      <c r="D8" s="36" t="s">
        <v>19</v>
      </c>
      <c r="E8" s="36" t="s">
        <v>136</v>
      </c>
      <c r="F8" s="80">
        <v>3660</v>
      </c>
      <c r="G8" s="80">
        <v>3680</v>
      </c>
      <c r="H8" s="80">
        <v>20</v>
      </c>
      <c r="I8" s="37">
        <v>250</v>
      </c>
      <c r="J8" s="38">
        <f t="shared" ref="J8:J17" si="3">I8*H8</f>
        <v>5000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43969</v>
      </c>
      <c r="D9" s="36" t="s">
        <v>12</v>
      </c>
      <c r="E9" s="36" t="s">
        <v>97</v>
      </c>
      <c r="F9" s="80">
        <v>1935</v>
      </c>
      <c r="G9" s="80">
        <v>1923</v>
      </c>
      <c r="H9" s="80">
        <v>12</v>
      </c>
      <c r="I9" s="80">
        <v>250</v>
      </c>
      <c r="J9" s="38">
        <f>I9*H9</f>
        <v>3000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43969</v>
      </c>
      <c r="D10" s="36" t="s">
        <v>12</v>
      </c>
      <c r="E10" s="36" t="s">
        <v>16</v>
      </c>
      <c r="F10" s="80">
        <v>8840</v>
      </c>
      <c r="G10" s="80">
        <v>8815</v>
      </c>
      <c r="H10" s="80">
        <v>25</v>
      </c>
      <c r="I10" s="80">
        <v>150</v>
      </c>
      <c r="J10" s="38">
        <f t="shared" si="3"/>
        <v>3750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43970</v>
      </c>
      <c r="D11" s="36" t="s">
        <v>12</v>
      </c>
      <c r="E11" s="36" t="s">
        <v>56</v>
      </c>
      <c r="F11" s="80">
        <v>1415</v>
      </c>
      <c r="G11" s="80">
        <v>1400</v>
      </c>
      <c r="H11" s="80">
        <v>15</v>
      </c>
      <c r="I11" s="80">
        <v>500</v>
      </c>
      <c r="J11" s="38">
        <f t="shared" si="3"/>
        <v>7500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43970</v>
      </c>
      <c r="D12" s="36" t="s">
        <v>12</v>
      </c>
      <c r="E12" s="36" t="s">
        <v>16</v>
      </c>
      <c r="F12" s="80">
        <v>9060</v>
      </c>
      <c r="G12" s="80">
        <v>9100</v>
      </c>
      <c r="H12" s="80">
        <v>-40</v>
      </c>
      <c r="I12" s="80">
        <v>150</v>
      </c>
      <c r="J12" s="38">
        <f t="shared" si="3"/>
        <v>-6000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1</v>
      </c>
    </row>
    <row r="13" spans="1:23" x14ac:dyDescent="0.3">
      <c r="A13" s="22"/>
      <c r="B13" s="91">
        <f t="shared" si="2"/>
        <v>8</v>
      </c>
      <c r="C13" s="93">
        <v>43975</v>
      </c>
      <c r="D13" s="36" t="s">
        <v>19</v>
      </c>
      <c r="E13" s="36" t="s">
        <v>137</v>
      </c>
      <c r="F13" s="80">
        <v>1270</v>
      </c>
      <c r="G13" s="80">
        <v>1280</v>
      </c>
      <c r="H13" s="80">
        <v>10</v>
      </c>
      <c r="I13" s="80">
        <v>400</v>
      </c>
      <c r="J13" s="38">
        <f t="shared" si="3"/>
        <v>4000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43975</v>
      </c>
      <c r="D14" s="36" t="s">
        <v>19</v>
      </c>
      <c r="E14" s="36" t="s">
        <v>16</v>
      </c>
      <c r="F14" s="80">
        <v>9030</v>
      </c>
      <c r="G14" s="80">
        <v>9078</v>
      </c>
      <c r="H14" s="80">
        <v>48</v>
      </c>
      <c r="I14" s="80">
        <v>150</v>
      </c>
      <c r="J14" s="38">
        <f t="shared" si="3"/>
        <v>7200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8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47450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3400-000000000000}"/>
    <hyperlink ref="M1" location="'Home Page'!A1" display="Back" xr:uid="{00000000-0004-0000-3400-000001000000}"/>
  </hyperlinks>
  <pageMargins left="0" right="0" top="0" bottom="0" header="0" footer="0"/>
  <pageSetup paperSize="9" orientation="portrait" r:id="rId2"/>
  <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22"/>
  <sheetViews>
    <sheetView zoomScale="97" zoomScaleNormal="97" workbookViewId="0">
      <selection activeCell="I13" sqref="I13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43983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6</v>
      </c>
      <c r="P4" s="147">
        <f>W20</f>
        <v>1</v>
      </c>
      <c r="Q4" s="149">
        <f>N4-O4-P4</f>
        <v>0</v>
      </c>
      <c r="R4" s="151">
        <f>O4/N4</f>
        <v>0.8571428571428571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43984</v>
      </c>
      <c r="D6" s="31" t="s">
        <v>12</v>
      </c>
      <c r="E6" s="31" t="s">
        <v>138</v>
      </c>
      <c r="F6" s="86">
        <v>500</v>
      </c>
      <c r="G6" s="86">
        <v>496.5</v>
      </c>
      <c r="H6" s="86">
        <v>3.5</v>
      </c>
      <c r="I6" s="32">
        <v>1100</v>
      </c>
      <c r="J6" s="33">
        <f>I6*H6</f>
        <v>3850</v>
      </c>
      <c r="K6" s="23"/>
      <c r="M6" s="117" t="s">
        <v>67</v>
      </c>
      <c r="N6" s="118"/>
      <c r="O6" s="119"/>
      <c r="P6" s="126">
        <f>R4</f>
        <v>0.8571428571428571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43992</v>
      </c>
      <c r="D7" s="36" t="s">
        <v>19</v>
      </c>
      <c r="E7" s="36" t="s">
        <v>16</v>
      </c>
      <c r="F7" s="80">
        <v>10070</v>
      </c>
      <c r="G7" s="80">
        <v>10120</v>
      </c>
      <c r="H7" s="80">
        <v>50</v>
      </c>
      <c r="I7" s="37">
        <v>150</v>
      </c>
      <c r="J7" s="38">
        <f>I7*H7</f>
        <v>7500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43992</v>
      </c>
      <c r="D8" s="36" t="s">
        <v>19</v>
      </c>
      <c r="E8" s="36" t="s">
        <v>56</v>
      </c>
      <c r="F8" s="80">
        <v>1560</v>
      </c>
      <c r="G8" s="80">
        <v>1575</v>
      </c>
      <c r="H8" s="80">
        <v>15</v>
      </c>
      <c r="I8" s="37">
        <v>500</v>
      </c>
      <c r="J8" s="38">
        <f t="shared" ref="J8:J17" si="3">I8*H8</f>
        <v>7500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43997</v>
      </c>
      <c r="D9" s="36" t="s">
        <v>12</v>
      </c>
      <c r="E9" s="36" t="s">
        <v>38</v>
      </c>
      <c r="F9" s="80">
        <v>392</v>
      </c>
      <c r="G9" s="80">
        <v>400</v>
      </c>
      <c r="H9" s="80">
        <v>8</v>
      </c>
      <c r="I9" s="80">
        <v>2400</v>
      </c>
      <c r="J9" s="38">
        <f>I9*H9</f>
        <v>19200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44004</v>
      </c>
      <c r="D10" s="36" t="s">
        <v>12</v>
      </c>
      <c r="E10" s="36" t="s">
        <v>56</v>
      </c>
      <c r="F10" s="80">
        <v>1750</v>
      </c>
      <c r="G10" s="80">
        <v>1730</v>
      </c>
      <c r="H10" s="80">
        <v>20</v>
      </c>
      <c r="I10" s="80">
        <v>1000</v>
      </c>
      <c r="J10" s="38">
        <f t="shared" si="3"/>
        <v>20000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44004</v>
      </c>
      <c r="D11" s="36" t="s">
        <v>12</v>
      </c>
      <c r="E11" s="36" t="s">
        <v>16</v>
      </c>
      <c r="F11" s="80">
        <v>10300</v>
      </c>
      <c r="G11" s="80">
        <v>10350</v>
      </c>
      <c r="H11" s="80">
        <v>-50</v>
      </c>
      <c r="I11" s="80">
        <v>150</v>
      </c>
      <c r="J11" s="38">
        <f t="shared" si="3"/>
        <v>-7500</v>
      </c>
      <c r="K11" s="23"/>
      <c r="L11" s="21" t="s">
        <v>88</v>
      </c>
      <c r="V11" s="21">
        <f t="shared" si="0"/>
        <v>0</v>
      </c>
      <c r="W11" s="21">
        <f t="shared" si="1"/>
        <v>1</v>
      </c>
    </row>
    <row r="12" spans="1:23" ht="15" thickTop="1" x14ac:dyDescent="0.3">
      <c r="A12" s="22"/>
      <c r="B12" s="91">
        <f t="shared" si="2"/>
        <v>7</v>
      </c>
      <c r="C12" s="93">
        <v>44005</v>
      </c>
      <c r="D12" s="36" t="s">
        <v>19</v>
      </c>
      <c r="E12" s="36" t="s">
        <v>135</v>
      </c>
      <c r="F12" s="80">
        <v>1043</v>
      </c>
      <c r="G12" s="80">
        <v>1056</v>
      </c>
      <c r="H12" s="80">
        <v>13</v>
      </c>
      <c r="I12" s="80">
        <v>1100</v>
      </c>
      <c r="J12" s="38">
        <f t="shared" si="3"/>
        <v>14300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/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/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64850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3500-000000000000}"/>
    <hyperlink ref="M1" location="'Home Page'!A1" display="Back" xr:uid="{00000000-0004-0000-3500-000001000000}"/>
  </hyperlinks>
  <pageMargins left="0" right="0" top="0" bottom="0" header="0" footer="0"/>
  <pageSetup paperSize="9" orientation="portrait" r:id="rId2"/>
  <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22"/>
  <sheetViews>
    <sheetView zoomScale="97" zoomScaleNormal="97" workbookViewId="0">
      <selection activeCell="M21" sqref="M2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44013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14</v>
      </c>
      <c r="O4" s="147">
        <f>V20</f>
        <v>11</v>
      </c>
      <c r="P4" s="147">
        <f>W20</f>
        <v>3</v>
      </c>
      <c r="Q4" s="149">
        <f>N4-O4-P4</f>
        <v>0</v>
      </c>
      <c r="R4" s="151">
        <f>O4/N4</f>
        <v>0.7857142857142857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44013</v>
      </c>
      <c r="D6" s="31" t="s">
        <v>19</v>
      </c>
      <c r="E6" s="31" t="s">
        <v>139</v>
      </c>
      <c r="F6" s="86">
        <v>540</v>
      </c>
      <c r="G6" s="86">
        <v>555</v>
      </c>
      <c r="H6" s="86">
        <v>15</v>
      </c>
      <c r="I6" s="32">
        <v>1200</v>
      </c>
      <c r="J6" s="33">
        <f>I6*H6</f>
        <v>18000</v>
      </c>
      <c r="K6" s="23"/>
      <c r="M6" s="117" t="s">
        <v>67</v>
      </c>
      <c r="N6" s="118"/>
      <c r="O6" s="119"/>
      <c r="P6" s="126">
        <f>R4</f>
        <v>0.7857142857142857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44013</v>
      </c>
      <c r="D7" s="36" t="s">
        <v>19</v>
      </c>
      <c r="E7" s="36" t="s">
        <v>28</v>
      </c>
      <c r="F7" s="80">
        <v>364</v>
      </c>
      <c r="G7" s="80">
        <v>369</v>
      </c>
      <c r="H7" s="80">
        <v>5</v>
      </c>
      <c r="I7" s="37">
        <v>1375</v>
      </c>
      <c r="J7" s="38">
        <f>I7*H7</f>
        <v>6875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44018</v>
      </c>
      <c r="D8" s="36" t="s">
        <v>12</v>
      </c>
      <c r="E8" s="36" t="s">
        <v>140</v>
      </c>
      <c r="F8" s="80">
        <v>878</v>
      </c>
      <c r="G8" s="80">
        <v>868</v>
      </c>
      <c r="H8" s="80">
        <v>10</v>
      </c>
      <c r="I8" s="37">
        <v>850</v>
      </c>
      <c r="J8" s="38">
        <f t="shared" ref="J8:J19" si="3">I8*H8</f>
        <v>8500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44021</v>
      </c>
      <c r="D9" s="36" t="s">
        <v>19</v>
      </c>
      <c r="E9" s="36" t="s">
        <v>141</v>
      </c>
      <c r="F9" s="80">
        <v>400</v>
      </c>
      <c r="G9" s="80">
        <v>403</v>
      </c>
      <c r="H9" s="80">
        <v>3</v>
      </c>
      <c r="I9" s="80">
        <v>1500</v>
      </c>
      <c r="J9" s="38">
        <f>I9*H9</f>
        <v>4500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44025</v>
      </c>
      <c r="D10" s="36" t="s">
        <v>19</v>
      </c>
      <c r="E10" s="36" t="s">
        <v>16</v>
      </c>
      <c r="F10" s="80">
        <v>10780</v>
      </c>
      <c r="G10" s="80">
        <v>10817</v>
      </c>
      <c r="H10" s="80">
        <v>37</v>
      </c>
      <c r="I10" s="80">
        <v>150</v>
      </c>
      <c r="J10" s="38">
        <f t="shared" si="3"/>
        <v>5550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44025</v>
      </c>
      <c r="D11" s="36" t="s">
        <v>19</v>
      </c>
      <c r="E11" s="36" t="s">
        <v>142</v>
      </c>
      <c r="F11" s="80">
        <v>663</v>
      </c>
      <c r="G11" s="80">
        <v>673</v>
      </c>
      <c r="H11" s="80">
        <v>10</v>
      </c>
      <c r="I11" s="80">
        <v>850</v>
      </c>
      <c r="J11" s="38">
        <f t="shared" si="3"/>
        <v>8500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44027</v>
      </c>
      <c r="D12" s="36" t="s">
        <v>12</v>
      </c>
      <c r="E12" s="36" t="s">
        <v>97</v>
      </c>
      <c r="F12" s="80">
        <v>3150</v>
      </c>
      <c r="G12" s="80">
        <v>3102</v>
      </c>
      <c r="H12" s="80">
        <v>48</v>
      </c>
      <c r="I12" s="80">
        <v>250</v>
      </c>
      <c r="J12" s="38">
        <f t="shared" si="3"/>
        <v>12000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44028</v>
      </c>
      <c r="D13" s="36" t="s">
        <v>19</v>
      </c>
      <c r="E13" s="36" t="s">
        <v>18</v>
      </c>
      <c r="F13" s="80">
        <v>915</v>
      </c>
      <c r="G13" s="80">
        <v>930</v>
      </c>
      <c r="H13" s="80">
        <v>15</v>
      </c>
      <c r="I13" s="80">
        <v>550</v>
      </c>
      <c r="J13" s="38">
        <f t="shared" si="3"/>
        <v>8250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44032</v>
      </c>
      <c r="D14" s="36" t="s">
        <v>19</v>
      </c>
      <c r="E14" s="36" t="s">
        <v>47</v>
      </c>
      <c r="F14" s="80">
        <v>208</v>
      </c>
      <c r="G14" s="80">
        <v>204</v>
      </c>
      <c r="H14" s="80">
        <v>-4</v>
      </c>
      <c r="I14" s="80">
        <v>2800</v>
      </c>
      <c r="J14" s="38">
        <f t="shared" si="3"/>
        <v>-11200</v>
      </c>
      <c r="K14" s="23"/>
      <c r="M14" s="72"/>
      <c r="R14" s="73"/>
      <c r="V14" s="21">
        <f t="shared" si="0"/>
        <v>0</v>
      </c>
      <c r="W14" s="21">
        <f t="shared" si="1"/>
        <v>1</v>
      </c>
    </row>
    <row r="15" spans="1:23" x14ac:dyDescent="0.3">
      <c r="A15" s="22"/>
      <c r="B15" s="91">
        <f t="shared" si="2"/>
        <v>10</v>
      </c>
      <c r="C15" s="93">
        <v>44032</v>
      </c>
      <c r="D15" s="36" t="s">
        <v>19</v>
      </c>
      <c r="E15" s="36" t="s">
        <v>16</v>
      </c>
      <c r="F15" s="80">
        <v>10990</v>
      </c>
      <c r="G15" s="80">
        <v>11110</v>
      </c>
      <c r="H15" s="80">
        <v>120</v>
      </c>
      <c r="I15" s="80">
        <v>150</v>
      </c>
      <c r="J15" s="38">
        <f t="shared" si="3"/>
        <v>18000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>
        <v>44035</v>
      </c>
      <c r="D16" s="36" t="s">
        <v>12</v>
      </c>
      <c r="E16" s="36" t="s">
        <v>143</v>
      </c>
      <c r="F16" s="80">
        <v>1380</v>
      </c>
      <c r="G16" s="80">
        <v>1373</v>
      </c>
      <c r="H16" s="80">
        <v>7</v>
      </c>
      <c r="I16" s="80">
        <v>500</v>
      </c>
      <c r="J16" s="38">
        <f t="shared" si="3"/>
        <v>3500</v>
      </c>
      <c r="K16" s="23"/>
      <c r="M16" s="72"/>
      <c r="R16" s="73"/>
      <c r="V16" s="21">
        <f t="shared" si="0"/>
        <v>1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>
        <v>44039</v>
      </c>
      <c r="D17" s="36" t="s">
        <v>12</v>
      </c>
      <c r="E17" s="36" t="s">
        <v>38</v>
      </c>
      <c r="F17" s="80">
        <v>433</v>
      </c>
      <c r="G17" s="80">
        <v>439</v>
      </c>
      <c r="H17" s="80">
        <v>-6</v>
      </c>
      <c r="I17" s="80">
        <v>1200</v>
      </c>
      <c r="J17" s="38">
        <f t="shared" si="3"/>
        <v>-7200</v>
      </c>
      <c r="K17" s="23"/>
      <c r="M17" s="72"/>
      <c r="R17" s="73"/>
      <c r="V17" s="21">
        <f t="shared" si="0"/>
        <v>0</v>
      </c>
      <c r="W17" s="21">
        <f t="shared" si="1"/>
        <v>1</v>
      </c>
    </row>
    <row r="18" spans="1:23" x14ac:dyDescent="0.3">
      <c r="A18" s="22"/>
      <c r="B18" s="91">
        <f t="shared" si="2"/>
        <v>13</v>
      </c>
      <c r="C18" s="93">
        <v>44039</v>
      </c>
      <c r="D18" s="36" t="s">
        <v>12</v>
      </c>
      <c r="E18" s="36" t="s">
        <v>24</v>
      </c>
      <c r="F18" s="80">
        <v>102</v>
      </c>
      <c r="G18" s="80">
        <v>104</v>
      </c>
      <c r="H18" s="80">
        <v>-2</v>
      </c>
      <c r="I18" s="80">
        <v>5700</v>
      </c>
      <c r="J18" s="38">
        <f t="shared" si="3"/>
        <v>-11400</v>
      </c>
      <c r="K18" s="23"/>
      <c r="M18" s="72"/>
      <c r="R18" s="73"/>
      <c r="V18" s="21">
        <f t="shared" si="0"/>
        <v>0</v>
      </c>
      <c r="W18" s="21">
        <f t="shared" si="1"/>
        <v>1</v>
      </c>
    </row>
    <row r="19" spans="1:23" x14ac:dyDescent="0.3">
      <c r="A19" s="22"/>
      <c r="B19" s="91">
        <f t="shared" si="2"/>
        <v>14</v>
      </c>
      <c r="C19" s="93">
        <v>44041</v>
      </c>
      <c r="D19" s="36" t="s">
        <v>19</v>
      </c>
      <c r="E19" s="36" t="s">
        <v>16</v>
      </c>
      <c r="F19" s="80">
        <v>11220</v>
      </c>
      <c r="G19" s="80">
        <v>11270</v>
      </c>
      <c r="H19" s="80">
        <v>50</v>
      </c>
      <c r="I19" s="80">
        <v>150</v>
      </c>
      <c r="J19" s="38">
        <f t="shared" si="3"/>
        <v>7500</v>
      </c>
      <c r="K19" s="23"/>
      <c r="M19" s="72"/>
      <c r="O19" s="39"/>
      <c r="P19" s="39"/>
      <c r="Q19" s="39"/>
      <c r="R19" s="74"/>
      <c r="V19" s="21">
        <f t="shared" si="0"/>
        <v>1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11</v>
      </c>
      <c r="W20" s="21">
        <f>SUM(W6:W19)</f>
        <v>3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71375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3600-000000000000}"/>
    <hyperlink ref="M1" location="'Home Page'!A1" display="Back" xr:uid="{00000000-0004-0000-3600-000001000000}"/>
  </hyperlinks>
  <pageMargins left="0" right="0" top="0" bottom="0" header="0" footer="0"/>
  <pageSetup paperSize="9" orientation="portrait" r:id="rId2"/>
  <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22"/>
  <sheetViews>
    <sheetView zoomScale="97" zoomScaleNormal="97" workbookViewId="0">
      <selection activeCell="C12" sqref="C12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44044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6</v>
      </c>
      <c r="P4" s="147">
        <f>W20</f>
        <v>1</v>
      </c>
      <c r="Q4" s="149">
        <f>N4-O4-P4</f>
        <v>0</v>
      </c>
      <c r="R4" s="151">
        <f>O4/N4</f>
        <v>0.8571428571428571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44048</v>
      </c>
      <c r="D6" s="31" t="s">
        <v>12</v>
      </c>
      <c r="E6" s="31" t="s">
        <v>144</v>
      </c>
      <c r="F6" s="86">
        <v>868</v>
      </c>
      <c r="G6" s="86">
        <v>862.85</v>
      </c>
      <c r="H6" s="86">
        <v>5.15</v>
      </c>
      <c r="I6" s="32">
        <v>750</v>
      </c>
      <c r="J6" s="33">
        <f>I6*H6</f>
        <v>3862.5000000000005</v>
      </c>
      <c r="K6" s="23"/>
      <c r="M6" s="117" t="s">
        <v>67</v>
      </c>
      <c r="N6" s="118"/>
      <c r="O6" s="119"/>
      <c r="P6" s="126">
        <f>R4</f>
        <v>0.8571428571428571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44048</v>
      </c>
      <c r="D7" s="36" t="s">
        <v>12</v>
      </c>
      <c r="E7" s="36" t="s">
        <v>38</v>
      </c>
      <c r="F7" s="80">
        <v>438</v>
      </c>
      <c r="G7" s="80">
        <v>432</v>
      </c>
      <c r="H7" s="80">
        <v>6</v>
      </c>
      <c r="I7" s="37">
        <v>1200</v>
      </c>
      <c r="J7" s="38">
        <f>I7*H7</f>
        <v>7200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44049</v>
      </c>
      <c r="D8" s="36" t="s">
        <v>19</v>
      </c>
      <c r="E8" s="36" t="s">
        <v>16</v>
      </c>
      <c r="F8" s="80">
        <v>11180</v>
      </c>
      <c r="G8" s="80">
        <v>11250</v>
      </c>
      <c r="H8" s="80">
        <v>70</v>
      </c>
      <c r="I8" s="37">
        <v>150</v>
      </c>
      <c r="J8" s="38">
        <f t="shared" ref="J8:J19" si="3">I8*H8</f>
        <v>10500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44056</v>
      </c>
      <c r="D9" s="36" t="s">
        <v>19</v>
      </c>
      <c r="E9" s="36" t="s">
        <v>97</v>
      </c>
      <c r="F9" s="80">
        <v>3390</v>
      </c>
      <c r="G9" s="80">
        <v>3430</v>
      </c>
      <c r="H9" s="80">
        <v>40</v>
      </c>
      <c r="I9" s="80">
        <v>250</v>
      </c>
      <c r="J9" s="38">
        <f>I9*H9</f>
        <v>10000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44062</v>
      </c>
      <c r="D10" s="36" t="s">
        <v>19</v>
      </c>
      <c r="E10" s="36" t="s">
        <v>16</v>
      </c>
      <c r="F10" s="80">
        <v>11430</v>
      </c>
      <c r="G10" s="80">
        <v>11390</v>
      </c>
      <c r="H10" s="80">
        <v>-40</v>
      </c>
      <c r="I10" s="80">
        <v>150</v>
      </c>
      <c r="J10" s="38">
        <f t="shared" si="3"/>
        <v>-6000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44068</v>
      </c>
      <c r="D11" s="36" t="s">
        <v>19</v>
      </c>
      <c r="E11" s="36" t="s">
        <v>145</v>
      </c>
      <c r="F11" s="80">
        <v>535</v>
      </c>
      <c r="G11" s="80">
        <v>540</v>
      </c>
      <c r="H11" s="80">
        <v>5</v>
      </c>
      <c r="I11" s="80">
        <v>1600</v>
      </c>
      <c r="J11" s="38">
        <f t="shared" si="3"/>
        <v>8000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44068</v>
      </c>
      <c r="D12" s="36" t="s">
        <v>19</v>
      </c>
      <c r="E12" s="36" t="s">
        <v>16</v>
      </c>
      <c r="F12" s="80">
        <v>11450</v>
      </c>
      <c r="G12" s="80">
        <v>11530</v>
      </c>
      <c r="H12" s="80">
        <v>80</v>
      </c>
      <c r="I12" s="80">
        <v>150</v>
      </c>
      <c r="J12" s="38">
        <f t="shared" si="3"/>
        <v>12000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45562.5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3700-000000000000}"/>
    <hyperlink ref="M1" location="'Home Page'!A1" display="Back" xr:uid="{00000000-0004-0000-3700-000001000000}"/>
  </hyperlinks>
  <pageMargins left="0" right="0" top="0" bottom="0" header="0" footer="0"/>
  <pageSetup paperSize="9" orientation="portrait" r:id="rId2"/>
  <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22"/>
  <sheetViews>
    <sheetView zoomScale="97" zoomScaleNormal="97" workbookViewId="0">
      <selection activeCell="I15" sqref="I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44075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8</v>
      </c>
      <c r="P4" s="147">
        <f>W20</f>
        <v>1</v>
      </c>
      <c r="Q4" s="149">
        <f>N4-O4-P4</f>
        <v>0</v>
      </c>
      <c r="R4" s="151">
        <f>O4/N4</f>
        <v>0.88888888888888884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44077</v>
      </c>
      <c r="D6" s="31" t="s">
        <v>19</v>
      </c>
      <c r="E6" s="31" t="s">
        <v>146</v>
      </c>
      <c r="F6" s="86">
        <v>295</v>
      </c>
      <c r="G6" s="86">
        <v>290</v>
      </c>
      <c r="H6" s="86">
        <v>-5</v>
      </c>
      <c r="I6" s="32">
        <v>2000</v>
      </c>
      <c r="J6" s="33">
        <f>I6*H6</f>
        <v>-10000</v>
      </c>
      <c r="K6" s="23"/>
      <c r="M6" s="117" t="s">
        <v>67</v>
      </c>
      <c r="N6" s="118"/>
      <c r="O6" s="119"/>
      <c r="P6" s="126">
        <f>R4</f>
        <v>0.88888888888888884</v>
      </c>
      <c r="Q6" s="127"/>
      <c r="R6" s="128"/>
      <c r="V6" s="21">
        <f>IF($J6&gt;0,1,0)</f>
        <v>0</v>
      </c>
      <c r="W6" s="21">
        <f>IF($J6&lt;0,1,0)</f>
        <v>1</v>
      </c>
    </row>
    <row r="7" spans="1:23" x14ac:dyDescent="0.3">
      <c r="A7" s="22"/>
      <c r="B7" s="91">
        <f>B6+1</f>
        <v>2</v>
      </c>
      <c r="C7" s="93">
        <v>44083</v>
      </c>
      <c r="D7" s="36" t="s">
        <v>19</v>
      </c>
      <c r="E7" s="36" t="s">
        <v>16</v>
      </c>
      <c r="F7" s="80">
        <v>11300</v>
      </c>
      <c r="G7" s="80">
        <v>11380</v>
      </c>
      <c r="H7" s="80">
        <v>80</v>
      </c>
      <c r="I7" s="37">
        <v>150</v>
      </c>
      <c r="J7" s="38">
        <f>I7*H7</f>
        <v>12000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44089</v>
      </c>
      <c r="D8" s="36" t="s">
        <v>19</v>
      </c>
      <c r="E8" s="36" t="s">
        <v>147</v>
      </c>
      <c r="F8" s="80">
        <v>303</v>
      </c>
      <c r="G8" s="80">
        <v>308</v>
      </c>
      <c r="H8" s="80">
        <v>6</v>
      </c>
      <c r="I8" s="37">
        <v>1800</v>
      </c>
      <c r="J8" s="38">
        <f t="shared" ref="J8:J19" si="3">I8*H8</f>
        <v>10800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44089</v>
      </c>
      <c r="D9" s="36" t="s">
        <v>19</v>
      </c>
      <c r="E9" s="36" t="s">
        <v>131</v>
      </c>
      <c r="F9" s="80">
        <v>912</v>
      </c>
      <c r="G9" s="80">
        <v>919</v>
      </c>
      <c r="H9" s="80">
        <v>7</v>
      </c>
      <c r="I9" s="80">
        <v>600</v>
      </c>
      <c r="J9" s="38">
        <f>I9*H9</f>
        <v>4200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44089</v>
      </c>
      <c r="D10" s="36" t="s">
        <v>19</v>
      </c>
      <c r="E10" s="36" t="s">
        <v>16</v>
      </c>
      <c r="F10" s="80">
        <v>11520</v>
      </c>
      <c r="G10" s="80">
        <v>11595</v>
      </c>
      <c r="H10" s="80">
        <v>75</v>
      </c>
      <c r="I10" s="80">
        <v>150</v>
      </c>
      <c r="J10" s="38">
        <f t="shared" si="3"/>
        <v>11250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44090</v>
      </c>
      <c r="D11" s="36" t="s">
        <v>12</v>
      </c>
      <c r="E11" s="36" t="s">
        <v>56</v>
      </c>
      <c r="F11" s="80">
        <v>2340</v>
      </c>
      <c r="G11" s="80">
        <v>2315</v>
      </c>
      <c r="H11" s="80">
        <v>25</v>
      </c>
      <c r="I11" s="80">
        <v>505</v>
      </c>
      <c r="J11" s="38">
        <f t="shared" si="3"/>
        <v>12625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44096</v>
      </c>
      <c r="D12" s="36" t="s">
        <v>19</v>
      </c>
      <c r="E12" s="36" t="s">
        <v>16</v>
      </c>
      <c r="F12" s="80">
        <v>11160</v>
      </c>
      <c r="G12" s="80">
        <v>11240</v>
      </c>
      <c r="H12" s="80">
        <v>80</v>
      </c>
      <c r="I12" s="80">
        <v>150</v>
      </c>
      <c r="J12" s="38">
        <f t="shared" si="3"/>
        <v>12000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44104</v>
      </c>
      <c r="D13" s="36" t="s">
        <v>19</v>
      </c>
      <c r="E13" s="36" t="s">
        <v>16</v>
      </c>
      <c r="F13" s="80">
        <v>11250</v>
      </c>
      <c r="G13" s="80">
        <v>11340</v>
      </c>
      <c r="H13" s="80">
        <v>90</v>
      </c>
      <c r="I13" s="80">
        <v>150</v>
      </c>
      <c r="J13" s="38">
        <f t="shared" si="3"/>
        <v>13500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44104</v>
      </c>
      <c r="D14" s="36" t="s">
        <v>19</v>
      </c>
      <c r="E14" s="36" t="s">
        <v>28</v>
      </c>
      <c r="F14" s="80">
        <v>355</v>
      </c>
      <c r="G14" s="80">
        <v>361</v>
      </c>
      <c r="H14" s="80">
        <v>6</v>
      </c>
      <c r="I14" s="80">
        <v>2750</v>
      </c>
      <c r="J14" s="38">
        <f t="shared" si="3"/>
        <v>16500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8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82875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3800-000000000000}"/>
    <hyperlink ref="M1" location="'Home Page'!A1" display="Back" xr:uid="{00000000-0004-0000-3800-000001000000}"/>
  </hyperlinks>
  <pageMargins left="0" right="0" top="0" bottom="0" header="0" footer="0"/>
  <pageSetup paperSize="9" orientation="portrait" r:id="rId2"/>
  <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44105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5</v>
      </c>
      <c r="O4" s="147">
        <f>V20</f>
        <v>4</v>
      </c>
      <c r="P4" s="147">
        <f>W20</f>
        <v>1</v>
      </c>
      <c r="Q4" s="149">
        <f>N4-O4-P4</f>
        <v>0</v>
      </c>
      <c r="R4" s="151">
        <f>O4/N4</f>
        <v>0.8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44109</v>
      </c>
      <c r="D6" s="31" t="s">
        <v>12</v>
      </c>
      <c r="E6" s="31" t="s">
        <v>148</v>
      </c>
      <c r="F6" s="86">
        <v>670</v>
      </c>
      <c r="G6" s="86">
        <v>680</v>
      </c>
      <c r="H6" s="86">
        <v>-10</v>
      </c>
      <c r="I6" s="32">
        <v>1000</v>
      </c>
      <c r="J6" s="33">
        <f>I6*H6</f>
        <v>-10000</v>
      </c>
      <c r="K6" s="23"/>
      <c r="M6" s="117" t="s">
        <v>67</v>
      </c>
      <c r="N6" s="118"/>
      <c r="O6" s="119"/>
      <c r="P6" s="126">
        <f>R4</f>
        <v>0.8</v>
      </c>
      <c r="Q6" s="127"/>
      <c r="R6" s="128"/>
      <c r="V6" s="21">
        <f>IF($J6&gt;0,1,0)</f>
        <v>0</v>
      </c>
      <c r="W6" s="21">
        <f>IF($J6&lt;0,1,0)</f>
        <v>1</v>
      </c>
    </row>
    <row r="7" spans="1:23" x14ac:dyDescent="0.3">
      <c r="A7" s="22"/>
      <c r="B7" s="91">
        <f>B6+1</f>
        <v>2</v>
      </c>
      <c r="C7" s="93">
        <v>44111</v>
      </c>
      <c r="D7" s="36" t="s">
        <v>12</v>
      </c>
      <c r="E7" s="36" t="s">
        <v>56</v>
      </c>
      <c r="F7" s="80">
        <v>2280</v>
      </c>
      <c r="G7" s="80">
        <v>2240</v>
      </c>
      <c r="H7" s="80">
        <v>40</v>
      </c>
      <c r="I7" s="37">
        <v>505</v>
      </c>
      <c r="J7" s="38">
        <f>I7*H7</f>
        <v>20200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44119</v>
      </c>
      <c r="D8" s="36" t="s">
        <v>12</v>
      </c>
      <c r="E8" s="36" t="s">
        <v>99</v>
      </c>
      <c r="F8" s="80">
        <v>11700</v>
      </c>
      <c r="G8" s="80">
        <v>11665</v>
      </c>
      <c r="H8" s="80">
        <v>35</v>
      </c>
      <c r="I8" s="37">
        <v>150</v>
      </c>
      <c r="J8" s="38">
        <f t="shared" ref="J8:J19" si="3">I8*H8</f>
        <v>5250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44126</v>
      </c>
      <c r="D9" s="36" t="s">
        <v>19</v>
      </c>
      <c r="E9" s="36" t="s">
        <v>97</v>
      </c>
      <c r="F9" s="80">
        <v>3315</v>
      </c>
      <c r="G9" s="80">
        <v>3355</v>
      </c>
      <c r="H9" s="80">
        <v>40</v>
      </c>
      <c r="I9" s="80">
        <v>250</v>
      </c>
      <c r="J9" s="38">
        <f>I9*H9</f>
        <v>10000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44126</v>
      </c>
      <c r="D10" s="36" t="s">
        <v>12</v>
      </c>
      <c r="E10" s="36" t="s">
        <v>149</v>
      </c>
      <c r="F10" s="80">
        <v>167</v>
      </c>
      <c r="G10" s="80">
        <v>164</v>
      </c>
      <c r="H10" s="80">
        <v>3</v>
      </c>
      <c r="I10" s="80">
        <v>6000</v>
      </c>
      <c r="J10" s="38">
        <f t="shared" si="3"/>
        <v>18000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4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43450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3900-000000000000}"/>
    <hyperlink ref="M1" location="'Home Page'!A1" display="Back" xr:uid="{00000000-0004-0000-3900-000001000000}"/>
  </hyperlinks>
  <pageMargins left="0" right="0" top="0" bottom="0" header="0" footer="0"/>
  <pageSetup paperSize="9" orientation="portrait" r:id="rId2"/>
  <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22"/>
  <sheetViews>
    <sheetView zoomScale="97" zoomScaleNormal="97" workbookViewId="0">
      <selection activeCell="L22" sqref="L22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44136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2</v>
      </c>
      <c r="O4" s="147">
        <f>V20</f>
        <v>2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44147</v>
      </c>
      <c r="D6" s="31" t="s">
        <v>19</v>
      </c>
      <c r="E6" s="31" t="s">
        <v>150</v>
      </c>
      <c r="F6" s="86">
        <v>480</v>
      </c>
      <c r="G6" s="86">
        <v>485</v>
      </c>
      <c r="H6" s="86">
        <v>5</v>
      </c>
      <c r="I6" s="32">
        <v>1400</v>
      </c>
      <c r="J6" s="33">
        <f>I6*H6</f>
        <v>7000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44160</v>
      </c>
      <c r="D7" s="36" t="s">
        <v>19</v>
      </c>
      <c r="E7" s="36" t="s">
        <v>151</v>
      </c>
      <c r="F7" s="80">
        <v>193.5</v>
      </c>
      <c r="G7" s="80">
        <v>195.5</v>
      </c>
      <c r="H7" s="80">
        <v>2</v>
      </c>
      <c r="I7" s="37">
        <v>3200</v>
      </c>
      <c r="J7" s="38">
        <f>I7*H7</f>
        <v>6400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/>
      <c r="D8" s="36"/>
      <c r="E8" s="36"/>
      <c r="F8" s="80"/>
      <c r="G8" s="80"/>
      <c r="H8" s="80"/>
      <c r="I8" s="37"/>
      <c r="J8" s="38">
        <f t="shared" ref="J8:J19" si="3">I8*H8</f>
        <v>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/>
      <c r="D9" s="36"/>
      <c r="E9" s="36"/>
      <c r="F9" s="80"/>
      <c r="G9" s="80"/>
      <c r="H9" s="80"/>
      <c r="I9" s="80"/>
      <c r="J9" s="38">
        <f>I9*H9</f>
        <v>0</v>
      </c>
      <c r="K9" s="23"/>
      <c r="V9" s="21">
        <f t="shared" si="0"/>
        <v>0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2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13400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3A00-000000000000}"/>
    <hyperlink ref="M1" location="'Home Page'!A1" display="Back" xr:uid="{00000000-0004-0000-3A00-000001000000}"/>
  </hyperlinks>
  <pageMargins left="0" right="0" top="0" bottom="0" header="0" footer="0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workbookViewId="0">
      <selection activeCell="K2" sqref="K2"/>
    </sheetView>
  </sheetViews>
  <sheetFormatPr defaultColWidth="9.109375" defaultRowHeight="14.4" x14ac:dyDescent="0.3"/>
  <cols>
    <col min="1" max="1" width="9.109375" style="7"/>
    <col min="2" max="2" width="21" customWidth="1"/>
    <col min="3" max="3" width="18.33203125" customWidth="1"/>
    <col min="4" max="4" width="24.332031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  <col min="11" max="11" width="10.6640625" customWidth="1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32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8">
        <v>42528</v>
      </c>
      <c r="C5" s="4" t="s">
        <v>12</v>
      </c>
      <c r="D5" s="4" t="s">
        <v>17</v>
      </c>
      <c r="E5" s="4">
        <v>1390</v>
      </c>
      <c r="F5" s="4">
        <v>1395</v>
      </c>
      <c r="G5" s="4">
        <v>-5</v>
      </c>
      <c r="H5" s="4">
        <v>800</v>
      </c>
      <c r="I5" s="4">
        <f>H5*G5</f>
        <v>-4000</v>
      </c>
    </row>
    <row r="6" spans="1:11" ht="25.8" x14ac:dyDescent="0.5">
      <c r="B6" s="11">
        <v>42529</v>
      </c>
      <c r="C6" s="12" t="s">
        <v>15</v>
      </c>
      <c r="D6" s="12" t="s">
        <v>31</v>
      </c>
      <c r="E6" s="12">
        <v>744</v>
      </c>
      <c r="F6" s="12">
        <v>755</v>
      </c>
      <c r="G6" s="12">
        <v>11</v>
      </c>
      <c r="H6" s="12">
        <v>1200</v>
      </c>
      <c r="I6" s="4">
        <f>H6*G6</f>
        <v>13200</v>
      </c>
    </row>
    <row r="7" spans="1:11" ht="25.8" x14ac:dyDescent="0.5">
      <c r="B7" s="13">
        <v>42531</v>
      </c>
      <c r="C7" s="12" t="s">
        <v>19</v>
      </c>
      <c r="D7" s="12" t="s">
        <v>16</v>
      </c>
      <c r="E7" s="12">
        <v>8190</v>
      </c>
      <c r="F7" s="12">
        <v>8150</v>
      </c>
      <c r="G7" s="12">
        <v>-40</v>
      </c>
      <c r="H7" s="12">
        <v>150</v>
      </c>
      <c r="I7" s="4">
        <f t="shared" ref="I7:I11" si="0">H7*G7</f>
        <v>-6000</v>
      </c>
    </row>
    <row r="8" spans="1:11" ht="25.8" x14ac:dyDescent="0.5">
      <c r="B8" s="9">
        <v>42534</v>
      </c>
      <c r="C8" s="4" t="s">
        <v>19</v>
      </c>
      <c r="D8" s="4" t="s">
        <v>33</v>
      </c>
      <c r="E8" s="4">
        <v>1060</v>
      </c>
      <c r="F8" s="4">
        <v>1070</v>
      </c>
      <c r="G8" s="4">
        <v>10</v>
      </c>
      <c r="H8" s="4">
        <v>1200</v>
      </c>
      <c r="I8" s="4">
        <f t="shared" si="0"/>
        <v>12000</v>
      </c>
    </row>
    <row r="9" spans="1:11" ht="25.8" x14ac:dyDescent="0.5">
      <c r="B9" s="9">
        <v>42537</v>
      </c>
      <c r="C9" s="4" t="s">
        <v>12</v>
      </c>
      <c r="D9" s="4" t="s">
        <v>16</v>
      </c>
      <c r="E9" s="4">
        <v>8135</v>
      </c>
      <c r="F9" s="4">
        <v>8165</v>
      </c>
      <c r="G9" s="4">
        <v>-30</v>
      </c>
      <c r="H9" s="4">
        <v>150</v>
      </c>
      <c r="I9" s="4">
        <f t="shared" si="0"/>
        <v>-4500</v>
      </c>
    </row>
    <row r="10" spans="1:11" ht="25.8" x14ac:dyDescent="0.5">
      <c r="B10" s="9">
        <v>42541</v>
      </c>
      <c r="C10" s="4" t="s">
        <v>12</v>
      </c>
      <c r="D10" s="4" t="s">
        <v>20</v>
      </c>
      <c r="E10" s="4">
        <v>17750</v>
      </c>
      <c r="F10" s="4">
        <v>17620</v>
      </c>
      <c r="G10" s="4">
        <v>130</v>
      </c>
      <c r="H10" s="4">
        <v>60</v>
      </c>
      <c r="I10" s="4">
        <f t="shared" si="0"/>
        <v>7800</v>
      </c>
    </row>
    <row r="11" spans="1:11" ht="25.8" x14ac:dyDescent="0.5">
      <c r="B11" s="9">
        <v>42542</v>
      </c>
      <c r="C11" s="4" t="s">
        <v>12</v>
      </c>
      <c r="D11" s="4" t="s">
        <v>20</v>
      </c>
      <c r="E11" s="4">
        <v>17650</v>
      </c>
      <c r="F11" s="4">
        <v>17500</v>
      </c>
      <c r="G11" s="4">
        <v>150</v>
      </c>
      <c r="H11" s="4">
        <v>60</v>
      </c>
      <c r="I11" s="4">
        <f t="shared" si="0"/>
        <v>9000</v>
      </c>
    </row>
    <row r="12" spans="1:11" ht="25.8" x14ac:dyDescent="0.5">
      <c r="B12" s="8">
        <v>42544</v>
      </c>
      <c r="C12" s="4" t="s">
        <v>19</v>
      </c>
      <c r="D12" s="4" t="s">
        <v>16</v>
      </c>
      <c r="E12" s="4">
        <v>8230</v>
      </c>
      <c r="F12" s="4">
        <v>8280</v>
      </c>
      <c r="G12" s="4">
        <v>50</v>
      </c>
      <c r="H12" s="4">
        <v>150</v>
      </c>
      <c r="I12" s="4">
        <f>H12*G12</f>
        <v>7500</v>
      </c>
    </row>
    <row r="13" spans="1:11" ht="25.8" x14ac:dyDescent="0.5">
      <c r="B13" s="9">
        <v>42545</v>
      </c>
      <c r="C13" s="4" t="s">
        <v>19</v>
      </c>
      <c r="D13" s="4" t="s">
        <v>34</v>
      </c>
      <c r="E13" s="4">
        <v>940</v>
      </c>
      <c r="F13" s="4">
        <v>970</v>
      </c>
      <c r="G13" s="4">
        <v>30</v>
      </c>
      <c r="H13" s="4">
        <v>1200</v>
      </c>
      <c r="I13" s="4">
        <f t="shared" ref="I13:I14" si="1">H13*G13</f>
        <v>36000</v>
      </c>
    </row>
    <row r="14" spans="1:11" ht="25.8" x14ac:dyDescent="0.5">
      <c r="B14" s="9">
        <v>42549</v>
      </c>
      <c r="C14" s="4" t="s">
        <v>19</v>
      </c>
      <c r="D14" s="4" t="s">
        <v>16</v>
      </c>
      <c r="E14" s="4">
        <v>8120</v>
      </c>
      <c r="F14" s="4">
        <v>8180</v>
      </c>
      <c r="G14" s="4">
        <v>60</v>
      </c>
      <c r="H14" s="4">
        <v>150</v>
      </c>
      <c r="I14" s="4">
        <f t="shared" si="1"/>
        <v>9000</v>
      </c>
    </row>
    <row r="15" spans="1:11" ht="25.8" x14ac:dyDescent="0.5">
      <c r="B15" s="9"/>
      <c r="C15" s="4"/>
      <c r="D15" s="4"/>
      <c r="E15" s="4"/>
      <c r="F15" s="4"/>
      <c r="G15" s="4"/>
      <c r="H15" s="4"/>
      <c r="I15" s="4"/>
    </row>
    <row r="16" spans="1:11" ht="25.8" x14ac:dyDescent="0.5">
      <c r="B16" s="9"/>
      <c r="C16" s="4"/>
      <c r="D16" s="4"/>
      <c r="E16" s="4"/>
      <c r="F16" s="4"/>
      <c r="G16" s="4"/>
      <c r="H16" s="4"/>
      <c r="I16" s="10">
        <f>SUM(I5:I14)</f>
        <v>80000</v>
      </c>
    </row>
    <row r="17" spans="2:9" ht="25.8" x14ac:dyDescent="0.5">
      <c r="B17" s="9"/>
      <c r="C17" s="4"/>
      <c r="D17" s="4"/>
      <c r="E17" s="4"/>
      <c r="F17" s="4"/>
      <c r="G17" s="4"/>
      <c r="H17" s="4"/>
      <c r="I17" s="4"/>
    </row>
    <row r="18" spans="2:9" ht="25.8" x14ac:dyDescent="0.5">
      <c r="B18" s="9"/>
      <c r="C18" s="4"/>
      <c r="D18" s="4"/>
      <c r="E18" s="4"/>
      <c r="F18" s="4"/>
      <c r="G18" s="4"/>
      <c r="H18" s="4"/>
      <c r="I18" s="10"/>
    </row>
    <row r="19" spans="2:9" ht="25.8" x14ac:dyDescent="0.5">
      <c r="B19" s="9"/>
      <c r="C19" s="4"/>
      <c r="D19" s="4"/>
      <c r="E19" s="4"/>
      <c r="F19" s="4"/>
      <c r="G19" s="4"/>
      <c r="H19" s="4"/>
      <c r="I19" s="4"/>
    </row>
    <row r="20" spans="2:9" ht="25.8" x14ac:dyDescent="0.5">
      <c r="B20" s="8"/>
      <c r="C20" s="4"/>
      <c r="D20" s="4"/>
      <c r="E20" s="4"/>
      <c r="F20" s="4"/>
      <c r="G20" s="4"/>
      <c r="H20" s="4"/>
      <c r="I20" s="10"/>
    </row>
    <row r="21" spans="2:9" ht="25.8" x14ac:dyDescent="0.5">
      <c r="B21" s="8"/>
      <c r="C21" s="4"/>
      <c r="D21" s="4"/>
      <c r="E21" s="4"/>
      <c r="F21" s="4"/>
      <c r="G21" s="4"/>
      <c r="H21" s="4"/>
      <c r="I21" s="4"/>
    </row>
    <row r="22" spans="2:9" ht="25.8" x14ac:dyDescent="0.5">
      <c r="B22" s="8"/>
      <c r="C22" s="4"/>
      <c r="D22" s="4"/>
      <c r="E22" s="4"/>
      <c r="F22" s="4"/>
      <c r="G22" s="4"/>
      <c r="H22" s="4"/>
      <c r="I22" s="4"/>
    </row>
    <row r="23" spans="2:9" ht="25.8" x14ac:dyDescent="0.5">
      <c r="I23" s="10"/>
    </row>
  </sheetData>
  <mergeCells count="3">
    <mergeCell ref="B1:I1"/>
    <mergeCell ref="B2:I2"/>
    <mergeCell ref="B3:I3"/>
  </mergeCells>
  <hyperlinks>
    <hyperlink ref="K2" location="'Home Page'!A1" display="Back" xr:uid="{00000000-0004-0000-0500-000000000000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44166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6</v>
      </c>
      <c r="O4" s="147">
        <f>V20</f>
        <v>6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44167</v>
      </c>
      <c r="D6" s="31" t="s">
        <v>19</v>
      </c>
      <c r="E6" s="31" t="s">
        <v>97</v>
      </c>
      <c r="F6" s="86">
        <v>4830</v>
      </c>
      <c r="G6" s="86">
        <v>4890</v>
      </c>
      <c r="H6" s="86">
        <v>60</v>
      </c>
      <c r="I6" s="32">
        <v>250</v>
      </c>
      <c r="J6" s="33">
        <f>I6*H6</f>
        <v>15000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44167</v>
      </c>
      <c r="D7" s="36" t="s">
        <v>19</v>
      </c>
      <c r="E7" s="36" t="s">
        <v>152</v>
      </c>
      <c r="F7" s="80">
        <v>1593</v>
      </c>
      <c r="G7" s="80">
        <v>1606.75</v>
      </c>
      <c r="H7" s="80">
        <v>13.75</v>
      </c>
      <c r="I7" s="37">
        <v>500</v>
      </c>
      <c r="J7" s="38">
        <f>I7*H7</f>
        <v>6875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44176</v>
      </c>
      <c r="D8" s="36" t="s">
        <v>19</v>
      </c>
      <c r="E8" s="36" t="s">
        <v>28</v>
      </c>
      <c r="F8" s="80">
        <v>515</v>
      </c>
      <c r="G8" s="80">
        <v>525</v>
      </c>
      <c r="H8" s="80">
        <v>10</v>
      </c>
      <c r="I8" s="37">
        <v>1375</v>
      </c>
      <c r="J8" s="38">
        <f t="shared" ref="J8:J19" si="3">I8*H8</f>
        <v>13750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44176</v>
      </c>
      <c r="D9" s="36" t="s">
        <v>19</v>
      </c>
      <c r="E9" s="36" t="s">
        <v>153</v>
      </c>
      <c r="F9" s="80">
        <v>416</v>
      </c>
      <c r="G9" s="80">
        <v>421</v>
      </c>
      <c r="H9" s="80">
        <v>5</v>
      </c>
      <c r="I9" s="80">
        <v>2000</v>
      </c>
      <c r="J9" s="38">
        <f>I9*H9</f>
        <v>10000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44179</v>
      </c>
      <c r="D10" s="36" t="s">
        <v>12</v>
      </c>
      <c r="E10" s="36" t="s">
        <v>14</v>
      </c>
      <c r="F10" s="80">
        <v>358.5</v>
      </c>
      <c r="G10" s="80">
        <v>356.5</v>
      </c>
      <c r="H10" s="80">
        <v>2</v>
      </c>
      <c r="I10" s="80">
        <v>2700</v>
      </c>
      <c r="J10" s="38">
        <f t="shared" si="3"/>
        <v>5400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44181</v>
      </c>
      <c r="D11" s="36" t="s">
        <v>19</v>
      </c>
      <c r="E11" s="36" t="s">
        <v>154</v>
      </c>
      <c r="F11" s="80">
        <v>582</v>
      </c>
      <c r="G11" s="80">
        <v>590</v>
      </c>
      <c r="H11" s="80">
        <v>7</v>
      </c>
      <c r="I11" s="80">
        <v>1350</v>
      </c>
      <c r="J11" s="38">
        <f t="shared" si="3"/>
        <v>9450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60475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3B00-000000000000}"/>
    <hyperlink ref="M1" location="'Home Page'!A1" display="Back" xr:uid="{00000000-0004-0000-3B00-000001000000}"/>
  </hyperlinks>
  <pageMargins left="0" right="0" top="0" bottom="0" header="0" footer="0"/>
  <pageSetup paperSize="9" orientation="portrait" r:id="rId2"/>
  <drawing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44197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6</v>
      </c>
      <c r="P4" s="147">
        <f>W20</f>
        <v>1</v>
      </c>
      <c r="Q4" s="149">
        <f>N4-O4-P4</f>
        <v>0</v>
      </c>
      <c r="R4" s="151">
        <f>O4/N4</f>
        <v>0.8571428571428571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44202</v>
      </c>
      <c r="D6" s="31" t="s">
        <v>19</v>
      </c>
      <c r="E6" s="31" t="s">
        <v>20</v>
      </c>
      <c r="F6" s="86">
        <v>31900</v>
      </c>
      <c r="G6" s="86">
        <v>32200</v>
      </c>
      <c r="H6" s="86">
        <v>300</v>
      </c>
      <c r="I6" s="32">
        <v>50</v>
      </c>
      <c r="J6" s="33">
        <f>I6*H6</f>
        <v>15000</v>
      </c>
      <c r="K6" s="23"/>
      <c r="M6" s="117" t="s">
        <v>67</v>
      </c>
      <c r="N6" s="118"/>
      <c r="O6" s="119"/>
      <c r="P6" s="126">
        <f>R4</f>
        <v>0.8571428571428571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44202</v>
      </c>
      <c r="D7" s="36" t="s">
        <v>12</v>
      </c>
      <c r="E7" s="36" t="s">
        <v>139</v>
      </c>
      <c r="F7" s="80">
        <v>996</v>
      </c>
      <c r="G7" s="80">
        <v>1008</v>
      </c>
      <c r="H7" s="80">
        <v>-10</v>
      </c>
      <c r="I7" s="37">
        <v>700</v>
      </c>
      <c r="J7" s="38">
        <f>I7*H7</f>
        <v>-7000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44203</v>
      </c>
      <c r="D8" s="36" t="s">
        <v>19</v>
      </c>
      <c r="E8" s="36" t="s">
        <v>155</v>
      </c>
      <c r="F8" s="80">
        <v>615</v>
      </c>
      <c r="G8" s="80">
        <v>635</v>
      </c>
      <c r="H8" s="80">
        <v>20</v>
      </c>
      <c r="I8" s="37">
        <v>1250</v>
      </c>
      <c r="J8" s="38">
        <f t="shared" ref="J8:J19" si="3">I8*H8</f>
        <v>25000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44203</v>
      </c>
      <c r="D9" s="36" t="s">
        <v>12</v>
      </c>
      <c r="E9" s="36" t="s">
        <v>28</v>
      </c>
      <c r="F9" s="80">
        <v>548</v>
      </c>
      <c r="G9" s="80">
        <v>542</v>
      </c>
      <c r="H9" s="80">
        <v>6</v>
      </c>
      <c r="I9" s="80">
        <v>1375</v>
      </c>
      <c r="J9" s="38">
        <f>I9*H9</f>
        <v>8250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44207</v>
      </c>
      <c r="D10" s="36" t="s">
        <v>19</v>
      </c>
      <c r="E10" s="36" t="s">
        <v>156</v>
      </c>
      <c r="F10" s="80">
        <v>3620</v>
      </c>
      <c r="G10" s="80">
        <v>3635</v>
      </c>
      <c r="H10" s="80">
        <v>15</v>
      </c>
      <c r="I10" s="80">
        <v>250</v>
      </c>
      <c r="J10" s="38">
        <f t="shared" si="3"/>
        <v>3750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44215</v>
      </c>
      <c r="D11" s="36" t="s">
        <v>19</v>
      </c>
      <c r="E11" s="36" t="s">
        <v>157</v>
      </c>
      <c r="F11" s="80">
        <v>1700</v>
      </c>
      <c r="G11" s="80">
        <v>1740</v>
      </c>
      <c r="H11" s="80">
        <v>40</v>
      </c>
      <c r="I11" s="80">
        <v>400</v>
      </c>
      <c r="J11" s="38">
        <f t="shared" si="3"/>
        <v>16000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44215</v>
      </c>
      <c r="D12" s="36" t="s">
        <v>19</v>
      </c>
      <c r="E12" s="36" t="s">
        <v>28</v>
      </c>
      <c r="F12" s="80">
        <v>552</v>
      </c>
      <c r="G12" s="80">
        <v>558</v>
      </c>
      <c r="H12" s="80">
        <v>6</v>
      </c>
      <c r="I12" s="80">
        <v>1375</v>
      </c>
      <c r="J12" s="38">
        <f t="shared" si="3"/>
        <v>8250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69250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3C00-000000000000}"/>
    <hyperlink ref="M1" location="'Home Page'!A1" display="Back" xr:uid="{00000000-0004-0000-3C00-000001000000}"/>
  </hyperlinks>
  <pageMargins left="0" right="0" top="0" bottom="0" header="0" footer="0"/>
  <pageSetup paperSize="9" orientation="portrait" r:id="rId2"/>
  <drawing r:id="rId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zoomScale="97" zoomScaleNormal="97" workbookViewId="0">
      <selection activeCell="M10" sqref="M10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44228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10</v>
      </c>
      <c r="O4" s="147">
        <f>V20</f>
        <v>9</v>
      </c>
      <c r="P4" s="147">
        <f>W20</f>
        <v>1</v>
      </c>
      <c r="Q4" s="149">
        <f>N4-O4-P4</f>
        <v>0</v>
      </c>
      <c r="R4" s="151">
        <f>O4/N4</f>
        <v>0.9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44229</v>
      </c>
      <c r="D6" s="31" t="s">
        <v>19</v>
      </c>
      <c r="E6" s="31" t="s">
        <v>56</v>
      </c>
      <c r="F6" s="86">
        <v>1935</v>
      </c>
      <c r="G6" s="86">
        <v>1975</v>
      </c>
      <c r="H6" s="86">
        <v>40</v>
      </c>
      <c r="I6" s="32">
        <v>250</v>
      </c>
      <c r="J6" s="33">
        <f>I6*H6</f>
        <v>10000</v>
      </c>
      <c r="K6" s="23"/>
      <c r="M6" s="117" t="s">
        <v>67</v>
      </c>
      <c r="N6" s="118"/>
      <c r="O6" s="119"/>
      <c r="P6" s="126">
        <f>R4</f>
        <v>0.9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44230</v>
      </c>
      <c r="D7" s="36" t="s">
        <v>19</v>
      </c>
      <c r="E7" s="36" t="s">
        <v>13</v>
      </c>
      <c r="F7" s="80">
        <v>337</v>
      </c>
      <c r="G7" s="80">
        <v>344</v>
      </c>
      <c r="H7" s="80">
        <v>7</v>
      </c>
      <c r="I7" s="37">
        <v>3000</v>
      </c>
      <c r="J7" s="38">
        <f>I7*H7</f>
        <v>21000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44230</v>
      </c>
      <c r="D8" s="36" t="s">
        <v>19</v>
      </c>
      <c r="E8" s="36" t="s">
        <v>20</v>
      </c>
      <c r="F8" s="80">
        <v>34800</v>
      </c>
      <c r="G8" s="80">
        <v>34600</v>
      </c>
      <c r="H8" s="80">
        <v>-200</v>
      </c>
      <c r="I8" s="37">
        <v>50</v>
      </c>
      <c r="J8" s="38">
        <f t="shared" ref="J8:J19" si="3">I8*H8</f>
        <v>-10000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1</v>
      </c>
    </row>
    <row r="9" spans="1:23" x14ac:dyDescent="0.3">
      <c r="A9" s="22"/>
      <c r="B9" s="91">
        <f>B8+1</f>
        <v>4</v>
      </c>
      <c r="C9" s="93">
        <v>44237</v>
      </c>
      <c r="D9" s="36" t="s">
        <v>19</v>
      </c>
      <c r="E9" s="36" t="s">
        <v>128</v>
      </c>
      <c r="F9" s="80">
        <v>980</v>
      </c>
      <c r="G9" s="80">
        <v>1000</v>
      </c>
      <c r="H9" s="80">
        <v>20</v>
      </c>
      <c r="I9" s="80">
        <v>1000</v>
      </c>
      <c r="J9" s="38">
        <f>I9*H9</f>
        <v>20000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44237</v>
      </c>
      <c r="D10" s="36" t="s">
        <v>19</v>
      </c>
      <c r="E10" s="36" t="s">
        <v>97</v>
      </c>
      <c r="F10" s="80">
        <v>5460</v>
      </c>
      <c r="G10" s="80">
        <v>5540</v>
      </c>
      <c r="H10" s="80">
        <v>80</v>
      </c>
      <c r="I10" s="80">
        <v>250</v>
      </c>
      <c r="J10" s="38">
        <f t="shared" si="3"/>
        <v>20000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44238</v>
      </c>
      <c r="D11" s="36" t="s">
        <v>19</v>
      </c>
      <c r="E11" s="36" t="s">
        <v>158</v>
      </c>
      <c r="F11" s="80">
        <v>490</v>
      </c>
      <c r="G11" s="80">
        <v>497.5</v>
      </c>
      <c r="H11" s="80">
        <v>7.5</v>
      </c>
      <c r="I11" s="80">
        <v>1500</v>
      </c>
      <c r="J11" s="38">
        <f t="shared" si="3"/>
        <v>11250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44243</v>
      </c>
      <c r="D12" s="36" t="s">
        <v>19</v>
      </c>
      <c r="E12" s="36" t="s">
        <v>31</v>
      </c>
      <c r="F12" s="80">
        <v>953</v>
      </c>
      <c r="G12" s="80">
        <v>958</v>
      </c>
      <c r="H12" s="80">
        <v>5</v>
      </c>
      <c r="I12" s="80">
        <v>700</v>
      </c>
      <c r="J12" s="38">
        <f t="shared" si="3"/>
        <v>3500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44244</v>
      </c>
      <c r="D13" s="36" t="s">
        <v>19</v>
      </c>
      <c r="E13" s="36" t="s">
        <v>56</v>
      </c>
      <c r="F13" s="80">
        <v>2080</v>
      </c>
      <c r="G13" s="80">
        <v>2110</v>
      </c>
      <c r="H13" s="80">
        <v>30</v>
      </c>
      <c r="I13" s="80">
        <v>250</v>
      </c>
      <c r="J13" s="38">
        <f t="shared" si="3"/>
        <v>7500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44249</v>
      </c>
      <c r="D14" s="36" t="s">
        <v>19</v>
      </c>
      <c r="E14" s="36" t="s">
        <v>159</v>
      </c>
      <c r="F14" s="80">
        <v>235</v>
      </c>
      <c r="G14" s="80">
        <v>239.2</v>
      </c>
      <c r="H14" s="80">
        <v>4.2</v>
      </c>
      <c r="I14" s="80">
        <v>2900</v>
      </c>
      <c r="J14" s="38">
        <f t="shared" si="3"/>
        <v>12180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44250</v>
      </c>
      <c r="D15" s="36" t="s">
        <v>19</v>
      </c>
      <c r="E15" s="36" t="s">
        <v>20</v>
      </c>
      <c r="F15" s="80">
        <v>35100</v>
      </c>
      <c r="G15" s="80">
        <v>35500</v>
      </c>
      <c r="H15" s="80">
        <v>400</v>
      </c>
      <c r="I15" s="80">
        <v>50</v>
      </c>
      <c r="J15" s="38">
        <f t="shared" si="3"/>
        <v>20000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9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115430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3D00-000000000000}"/>
    <hyperlink ref="M1" location="'Home Page'!A1" display="Back" xr:uid="{00000000-0004-0000-3D00-000001000000}"/>
  </hyperlinks>
  <pageMargins left="0" right="0" top="0" bottom="0" header="0" footer="0"/>
  <pageSetup paperSize="9" orientation="portrait" r:id="rId2"/>
  <drawing r:id="rId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22"/>
  <sheetViews>
    <sheetView zoomScale="97" zoomScaleNormal="97" workbookViewId="0">
      <selection activeCell="L17" sqref="L17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44256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4</v>
      </c>
      <c r="P4" s="147">
        <f>W20</f>
        <v>3</v>
      </c>
      <c r="Q4" s="149">
        <f>N4-O4-P4</f>
        <v>0</v>
      </c>
      <c r="R4" s="151">
        <f>O4/N4</f>
        <v>0.5714285714285714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44256</v>
      </c>
      <c r="D6" s="31" t="s">
        <v>19</v>
      </c>
      <c r="E6" s="31" t="s">
        <v>16</v>
      </c>
      <c r="F6" s="86">
        <v>14760</v>
      </c>
      <c r="G6" s="86">
        <v>14850</v>
      </c>
      <c r="H6" s="86">
        <v>90</v>
      </c>
      <c r="I6" s="32">
        <v>150</v>
      </c>
      <c r="J6" s="33">
        <f>I6*H6</f>
        <v>13500</v>
      </c>
      <c r="K6" s="23"/>
      <c r="M6" s="117" t="s">
        <v>67</v>
      </c>
      <c r="N6" s="118"/>
      <c r="O6" s="119"/>
      <c r="P6" s="126">
        <f>R4</f>
        <v>0.5714285714285714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44256</v>
      </c>
      <c r="D7" s="36" t="s">
        <v>19</v>
      </c>
      <c r="E7" s="36" t="s">
        <v>160</v>
      </c>
      <c r="F7" s="80">
        <v>1530</v>
      </c>
      <c r="G7" s="80">
        <v>1544.9</v>
      </c>
      <c r="H7" s="80">
        <v>14.9</v>
      </c>
      <c r="I7" s="37">
        <v>1000</v>
      </c>
      <c r="J7" s="38">
        <f>I7*H7</f>
        <v>14900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44258</v>
      </c>
      <c r="D8" s="36" t="s">
        <v>19</v>
      </c>
      <c r="E8" s="36" t="s">
        <v>161</v>
      </c>
      <c r="F8" s="80">
        <v>136</v>
      </c>
      <c r="G8" s="80">
        <v>134</v>
      </c>
      <c r="H8" s="80">
        <v>-2</v>
      </c>
      <c r="I8" s="37">
        <v>6700</v>
      </c>
      <c r="J8" s="38">
        <f t="shared" ref="J8:J19" si="3">I8*H8</f>
        <v>-13400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1</v>
      </c>
    </row>
    <row r="9" spans="1:23" x14ac:dyDescent="0.3">
      <c r="A9" s="22"/>
      <c r="B9" s="91">
        <f>B8+1</f>
        <v>4</v>
      </c>
      <c r="C9" s="93">
        <v>44271</v>
      </c>
      <c r="D9" s="36" t="s">
        <v>19</v>
      </c>
      <c r="E9" s="36" t="s">
        <v>97</v>
      </c>
      <c r="F9" s="80">
        <v>5470</v>
      </c>
      <c r="G9" s="80">
        <v>5420</v>
      </c>
      <c r="H9" s="80">
        <v>-50</v>
      </c>
      <c r="I9" s="80">
        <v>250</v>
      </c>
      <c r="J9" s="38">
        <f>I9*H9</f>
        <v>-12500</v>
      </c>
      <c r="K9" s="23"/>
      <c r="V9" s="21">
        <f t="shared" si="0"/>
        <v>0</v>
      </c>
      <c r="W9" s="21">
        <f t="shared" si="1"/>
        <v>1</v>
      </c>
    </row>
    <row r="10" spans="1:23" x14ac:dyDescent="0.3">
      <c r="A10" s="22"/>
      <c r="B10" s="91">
        <f t="shared" si="2"/>
        <v>5</v>
      </c>
      <c r="C10" s="93">
        <v>44271</v>
      </c>
      <c r="D10" s="36" t="s">
        <v>19</v>
      </c>
      <c r="E10" s="36" t="s">
        <v>16</v>
      </c>
      <c r="F10" s="80">
        <v>14980</v>
      </c>
      <c r="G10" s="80">
        <v>14920</v>
      </c>
      <c r="H10" s="80">
        <v>-60</v>
      </c>
      <c r="I10" s="80">
        <v>150</v>
      </c>
      <c r="J10" s="38">
        <f t="shared" si="3"/>
        <v>-9000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44272</v>
      </c>
      <c r="D11" s="36" t="s">
        <v>19</v>
      </c>
      <c r="E11" s="36" t="s">
        <v>56</v>
      </c>
      <c r="F11" s="80">
        <v>2060</v>
      </c>
      <c r="G11" s="80">
        <v>2091</v>
      </c>
      <c r="H11" s="80">
        <v>31</v>
      </c>
      <c r="I11" s="80">
        <v>250</v>
      </c>
      <c r="J11" s="38">
        <f t="shared" si="3"/>
        <v>7750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44277</v>
      </c>
      <c r="D12" s="36" t="s">
        <v>19</v>
      </c>
      <c r="E12" s="36" t="s">
        <v>162</v>
      </c>
      <c r="F12" s="80">
        <v>3550</v>
      </c>
      <c r="G12" s="80">
        <v>3570</v>
      </c>
      <c r="H12" s="80">
        <v>20</v>
      </c>
      <c r="I12" s="80">
        <v>200</v>
      </c>
      <c r="J12" s="38">
        <f t="shared" si="3"/>
        <v>4000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4</v>
      </c>
      <c r="W20" s="21">
        <f>SUM(W6:W19)</f>
        <v>3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5250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3E00-000000000000}"/>
    <hyperlink ref="M1" location="'Home Page'!A1" display="Back" xr:uid="{00000000-0004-0000-3E00-000001000000}"/>
  </hyperlinks>
  <pageMargins left="0" right="0" top="0" bottom="0" header="0" footer="0"/>
  <pageSetup paperSize="9" orientation="portrait" r:id="rId2"/>
  <drawing r:id="rId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22"/>
  <sheetViews>
    <sheetView zoomScale="97" zoomScaleNormal="97" workbookViewId="0">
      <selection activeCell="H19" sqref="H19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44287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6</v>
      </c>
      <c r="P4" s="147">
        <f>W20</f>
        <v>2</v>
      </c>
      <c r="Q4" s="149">
        <f>N4-O4-P4</f>
        <v>0</v>
      </c>
      <c r="R4" s="151">
        <f>O4/N4</f>
        <v>0.75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44291</v>
      </c>
      <c r="D6" s="31" t="s">
        <v>19</v>
      </c>
      <c r="E6" s="31" t="s">
        <v>120</v>
      </c>
      <c r="F6" s="86">
        <v>2840</v>
      </c>
      <c r="G6" s="86">
        <v>2870</v>
      </c>
      <c r="H6" s="86">
        <v>30</v>
      </c>
      <c r="I6" s="32">
        <v>250</v>
      </c>
      <c r="J6" s="33">
        <f>I6*H6</f>
        <v>7500</v>
      </c>
      <c r="K6" s="23"/>
      <c r="M6" s="117" t="s">
        <v>67</v>
      </c>
      <c r="N6" s="118"/>
      <c r="O6" s="119"/>
      <c r="P6" s="126">
        <f>R4</f>
        <v>0.75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44292</v>
      </c>
      <c r="D7" s="36" t="s">
        <v>19</v>
      </c>
      <c r="E7" s="36" t="s">
        <v>56</v>
      </c>
      <c r="F7" s="80">
        <v>1995</v>
      </c>
      <c r="G7" s="80">
        <v>2035</v>
      </c>
      <c r="H7" s="80">
        <v>40</v>
      </c>
      <c r="I7" s="37">
        <v>250</v>
      </c>
      <c r="J7" s="38">
        <f>I7*H7</f>
        <v>10000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44292</v>
      </c>
      <c r="D8" s="36" t="s">
        <v>19</v>
      </c>
      <c r="E8" s="36" t="s">
        <v>20</v>
      </c>
      <c r="F8" s="80">
        <v>32600</v>
      </c>
      <c r="G8" s="80">
        <v>33000</v>
      </c>
      <c r="H8" s="80">
        <v>400</v>
      </c>
      <c r="I8" s="37">
        <v>50</v>
      </c>
      <c r="J8" s="38">
        <f t="shared" ref="J8:J19" si="3">I8*H8</f>
        <v>20000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44298</v>
      </c>
      <c r="D9" s="36" t="s">
        <v>19</v>
      </c>
      <c r="E9" s="36" t="s">
        <v>28</v>
      </c>
      <c r="F9" s="80">
        <v>538</v>
      </c>
      <c r="G9" s="80">
        <v>550</v>
      </c>
      <c r="H9" s="80">
        <v>12</v>
      </c>
      <c r="I9" s="80">
        <v>1375</v>
      </c>
      <c r="J9" s="38">
        <f>I9*H9</f>
        <v>16500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44305</v>
      </c>
      <c r="D10" s="36" t="s">
        <v>19</v>
      </c>
      <c r="E10" s="36" t="s">
        <v>20</v>
      </c>
      <c r="F10" s="80">
        <v>31050</v>
      </c>
      <c r="G10" s="80">
        <v>31450</v>
      </c>
      <c r="H10" s="80">
        <f>31450-31050</f>
        <v>400</v>
      </c>
      <c r="I10" s="80">
        <v>50</v>
      </c>
      <c r="J10" s="38">
        <f t="shared" si="3"/>
        <v>20000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44314</v>
      </c>
      <c r="D11" s="36" t="s">
        <v>12</v>
      </c>
      <c r="E11" s="36" t="s">
        <v>16</v>
      </c>
      <c r="F11" s="80">
        <v>14860</v>
      </c>
      <c r="G11" s="80">
        <v>14930</v>
      </c>
      <c r="H11" s="80">
        <v>-70</v>
      </c>
      <c r="I11" s="80">
        <v>150</v>
      </c>
      <c r="J11" s="38">
        <f t="shared" si="3"/>
        <v>-10500</v>
      </c>
      <c r="K11" s="23"/>
      <c r="L11" s="21" t="s">
        <v>88</v>
      </c>
      <c r="V11" s="21">
        <f t="shared" si="0"/>
        <v>0</v>
      </c>
      <c r="W11" s="21">
        <f t="shared" si="1"/>
        <v>1</v>
      </c>
    </row>
    <row r="12" spans="1:23" ht="15" thickTop="1" x14ac:dyDescent="0.3">
      <c r="A12" s="22"/>
      <c r="B12" s="91">
        <f t="shared" si="2"/>
        <v>7</v>
      </c>
      <c r="C12" s="93">
        <v>44314</v>
      </c>
      <c r="D12" s="36" t="s">
        <v>12</v>
      </c>
      <c r="E12" s="36" t="s">
        <v>120</v>
      </c>
      <c r="F12" s="80">
        <v>2900</v>
      </c>
      <c r="G12" s="80">
        <v>2930</v>
      </c>
      <c r="H12" s="80">
        <v>-30</v>
      </c>
      <c r="I12" s="80">
        <v>250</v>
      </c>
      <c r="J12" s="38">
        <f t="shared" si="3"/>
        <v>-7500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1</v>
      </c>
    </row>
    <row r="13" spans="1:23" x14ac:dyDescent="0.3">
      <c r="A13" s="22"/>
      <c r="B13" s="91">
        <f t="shared" si="2"/>
        <v>8</v>
      </c>
      <c r="C13" s="93">
        <v>44314</v>
      </c>
      <c r="D13" s="36" t="s">
        <v>12</v>
      </c>
      <c r="E13" s="36" t="s">
        <v>162</v>
      </c>
      <c r="F13" s="80">
        <v>3490</v>
      </c>
      <c r="G13" s="80">
        <v>3450</v>
      </c>
      <c r="H13" s="80">
        <v>40</v>
      </c>
      <c r="I13" s="80">
        <v>200</v>
      </c>
      <c r="J13" s="38">
        <f t="shared" si="3"/>
        <v>8000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2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64000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3F00-000000000000}"/>
    <hyperlink ref="M1" location="'Home Page'!A1" display="Back" xr:uid="{00000000-0004-0000-3F00-000001000000}"/>
  </hyperlinks>
  <pageMargins left="0" right="0" top="0" bottom="0" header="0" footer="0"/>
  <pageSetup paperSize="9" orientation="portrait" r:id="rId2"/>
  <drawing r:id="rId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22"/>
  <sheetViews>
    <sheetView zoomScale="97" zoomScaleNormal="97" workbookViewId="0">
      <selection activeCell="I15" sqref="I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44317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9</v>
      </c>
      <c r="O4" s="147">
        <f>V20</f>
        <v>7</v>
      </c>
      <c r="P4" s="147">
        <f>W20</f>
        <v>2</v>
      </c>
      <c r="Q4" s="149">
        <f>N4-O4-P4</f>
        <v>0</v>
      </c>
      <c r="R4" s="151">
        <f>O4/N4</f>
        <v>0.77777777777777779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44319</v>
      </c>
      <c r="D6" s="31" t="s">
        <v>19</v>
      </c>
      <c r="E6" s="31" t="s">
        <v>16</v>
      </c>
      <c r="F6" s="86">
        <v>14690</v>
      </c>
      <c r="G6" s="86">
        <v>14740</v>
      </c>
      <c r="H6" s="86">
        <f>14740-14690</f>
        <v>50</v>
      </c>
      <c r="I6" s="32">
        <v>150</v>
      </c>
      <c r="J6" s="33">
        <f>I6*H6</f>
        <v>7500</v>
      </c>
      <c r="K6" s="23"/>
      <c r="M6" s="117" t="s">
        <v>67</v>
      </c>
      <c r="N6" s="118"/>
      <c r="O6" s="119"/>
      <c r="P6" s="126">
        <f>R4</f>
        <v>0.77777777777777779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44319</v>
      </c>
      <c r="D7" s="36" t="s">
        <v>19</v>
      </c>
      <c r="E7" s="36" t="s">
        <v>138</v>
      </c>
      <c r="F7" s="80">
        <v>677</v>
      </c>
      <c r="G7" s="80">
        <v>683.25</v>
      </c>
      <c r="H7" s="80">
        <f>683.25-677</f>
        <v>6.25</v>
      </c>
      <c r="I7" s="37">
        <v>1100</v>
      </c>
      <c r="J7" s="38">
        <f>I7*H7</f>
        <v>6875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44321</v>
      </c>
      <c r="D8" s="36" t="s">
        <v>19</v>
      </c>
      <c r="E8" s="36" t="s">
        <v>28</v>
      </c>
      <c r="F8" s="80">
        <v>603</v>
      </c>
      <c r="G8" s="80">
        <v>609</v>
      </c>
      <c r="H8" s="80">
        <v>6</v>
      </c>
      <c r="I8" s="37">
        <v>1375</v>
      </c>
      <c r="J8" s="38">
        <f t="shared" ref="J8:J19" si="3">I8*H8</f>
        <v>8250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44322</v>
      </c>
      <c r="D9" s="36" t="s">
        <v>19</v>
      </c>
      <c r="E9" s="36" t="s">
        <v>163</v>
      </c>
      <c r="F9" s="80">
        <v>222.5</v>
      </c>
      <c r="G9" s="80">
        <v>227</v>
      </c>
      <c r="H9" s="80">
        <f>227-222.2</f>
        <v>4.8000000000000114</v>
      </c>
      <c r="I9" s="80">
        <v>3500</v>
      </c>
      <c r="J9" s="38">
        <f>I9*H9</f>
        <v>16800.00000000004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44326</v>
      </c>
      <c r="D10" s="36" t="s">
        <v>19</v>
      </c>
      <c r="E10" s="36" t="s">
        <v>164</v>
      </c>
      <c r="F10" s="80">
        <v>188</v>
      </c>
      <c r="G10" s="80">
        <v>185</v>
      </c>
      <c r="H10" s="80">
        <v>-3</v>
      </c>
      <c r="I10" s="80">
        <v>3100</v>
      </c>
      <c r="J10" s="38">
        <f t="shared" si="3"/>
        <v>-9300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44333</v>
      </c>
      <c r="D11" s="36" t="s">
        <v>19</v>
      </c>
      <c r="E11" s="36" t="s">
        <v>28</v>
      </c>
      <c r="F11" s="80">
        <v>625</v>
      </c>
      <c r="G11" s="80">
        <v>632</v>
      </c>
      <c r="H11" s="80">
        <v>-7</v>
      </c>
      <c r="I11" s="80">
        <v>1375</v>
      </c>
      <c r="J11" s="38">
        <f t="shared" si="3"/>
        <v>-9625</v>
      </c>
      <c r="K11" s="23"/>
      <c r="L11" s="21" t="s">
        <v>88</v>
      </c>
      <c r="V11" s="21">
        <f t="shared" si="0"/>
        <v>0</v>
      </c>
      <c r="W11" s="21">
        <f t="shared" si="1"/>
        <v>1</v>
      </c>
    </row>
    <row r="12" spans="1:23" ht="15" thickTop="1" x14ac:dyDescent="0.3">
      <c r="A12" s="22"/>
      <c r="B12" s="91">
        <f t="shared" si="2"/>
        <v>7</v>
      </c>
      <c r="C12" s="93">
        <v>44334</v>
      </c>
      <c r="D12" s="36" t="s">
        <v>12</v>
      </c>
      <c r="E12" s="36" t="s">
        <v>38</v>
      </c>
      <c r="F12" s="80">
        <v>712</v>
      </c>
      <c r="G12" s="80">
        <v>701.1</v>
      </c>
      <c r="H12" s="80">
        <f>712-701.1</f>
        <v>10.899999999999977</v>
      </c>
      <c r="I12" s="80">
        <v>1200</v>
      </c>
      <c r="J12" s="38">
        <f t="shared" si="3"/>
        <v>13079.999999999973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44342</v>
      </c>
      <c r="D13" s="36" t="s">
        <v>19</v>
      </c>
      <c r="E13" s="36" t="s">
        <v>16</v>
      </c>
      <c r="F13" s="80">
        <v>15300</v>
      </c>
      <c r="G13" s="80">
        <v>15348</v>
      </c>
      <c r="H13" s="80">
        <v>48</v>
      </c>
      <c r="I13" s="80">
        <v>150</v>
      </c>
      <c r="J13" s="38">
        <f t="shared" si="3"/>
        <v>7200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44342</v>
      </c>
      <c r="D14" s="36" t="s">
        <v>19</v>
      </c>
      <c r="E14" s="36" t="s">
        <v>165</v>
      </c>
      <c r="F14" s="80">
        <v>963</v>
      </c>
      <c r="G14" s="80">
        <v>989.4</v>
      </c>
      <c r="H14" s="80">
        <f>989.4-963</f>
        <v>26.399999999999977</v>
      </c>
      <c r="I14" s="80">
        <v>500</v>
      </c>
      <c r="J14" s="38">
        <f t="shared" si="3"/>
        <v>13199.999999999989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7</v>
      </c>
      <c r="W20" s="21">
        <f>SUM(W6:W19)</f>
        <v>2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53980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4000-000000000000}"/>
    <hyperlink ref="M1" location="'Home Page'!A1" display="Back" xr:uid="{00000000-0004-0000-4000-000001000000}"/>
  </hyperlinks>
  <pageMargins left="0" right="0" top="0" bottom="0" header="0" footer="0"/>
  <pageSetup paperSize="9" orientation="portrait" r:id="rId2"/>
  <drawing r:id="rId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22"/>
  <sheetViews>
    <sheetView zoomScale="97" zoomScaleNormal="97" workbookViewId="0">
      <selection activeCell="I12" sqref="I12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44348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6</v>
      </c>
      <c r="O4" s="147">
        <f>V20</f>
        <v>5</v>
      </c>
      <c r="P4" s="147">
        <f>W20</f>
        <v>1</v>
      </c>
      <c r="Q4" s="149">
        <f>N4-O4-P4</f>
        <v>0</v>
      </c>
      <c r="R4" s="151">
        <f>O4/N4</f>
        <v>0.83333333333333337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44349</v>
      </c>
      <c r="D6" s="31" t="s">
        <v>19</v>
      </c>
      <c r="E6" s="31" t="s">
        <v>27</v>
      </c>
      <c r="F6" s="86">
        <v>7200</v>
      </c>
      <c r="G6" s="86">
        <v>7260</v>
      </c>
      <c r="H6" s="86">
        <v>60</v>
      </c>
      <c r="I6" s="32">
        <v>100</v>
      </c>
      <c r="J6" s="33">
        <f>I6*H6</f>
        <v>6000</v>
      </c>
      <c r="K6" s="23"/>
      <c r="M6" s="117" t="s">
        <v>67</v>
      </c>
      <c r="N6" s="118"/>
      <c r="O6" s="119"/>
      <c r="P6" s="126">
        <f>R4</f>
        <v>0.83333333333333337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44354</v>
      </c>
      <c r="D7" s="36" t="s">
        <v>19</v>
      </c>
      <c r="E7" s="36" t="s">
        <v>16</v>
      </c>
      <c r="F7" s="80">
        <v>15780</v>
      </c>
      <c r="G7" s="80">
        <v>15730</v>
      </c>
      <c r="H7" s="80">
        <v>-50</v>
      </c>
      <c r="I7" s="37">
        <v>100</v>
      </c>
      <c r="J7" s="38">
        <f>I7*H7</f>
        <v>-5000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44354</v>
      </c>
      <c r="D8" s="36" t="s">
        <v>19</v>
      </c>
      <c r="E8" s="36" t="s">
        <v>149</v>
      </c>
      <c r="F8" s="80">
        <v>165</v>
      </c>
      <c r="G8" s="80">
        <v>167</v>
      </c>
      <c r="H8" s="80">
        <v>2</v>
      </c>
      <c r="I8" s="37">
        <v>6000</v>
      </c>
      <c r="J8" s="38">
        <f t="shared" ref="J8:J19" si="3">I8*H8</f>
        <v>12000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44363</v>
      </c>
      <c r="D9" s="36" t="s">
        <v>12</v>
      </c>
      <c r="E9" s="36" t="s">
        <v>166</v>
      </c>
      <c r="F9" s="80">
        <v>272</v>
      </c>
      <c r="G9" s="80">
        <v>266</v>
      </c>
      <c r="H9" s="80">
        <f>272-266</f>
        <v>6</v>
      </c>
      <c r="I9" s="80">
        <v>3100</v>
      </c>
      <c r="J9" s="38">
        <f>I9*H9</f>
        <v>18600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44364</v>
      </c>
      <c r="D10" s="36" t="s">
        <v>19</v>
      </c>
      <c r="E10" s="36" t="s">
        <v>167</v>
      </c>
      <c r="F10" s="80">
        <v>1492</v>
      </c>
      <c r="G10" s="80">
        <v>1514</v>
      </c>
      <c r="H10" s="80">
        <f>1514-1492</f>
        <v>22</v>
      </c>
      <c r="I10" s="80">
        <v>600</v>
      </c>
      <c r="J10" s="38">
        <f t="shared" si="3"/>
        <v>13200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44375</v>
      </c>
      <c r="D11" s="36" t="s">
        <v>19</v>
      </c>
      <c r="E11" s="36" t="s">
        <v>140</v>
      </c>
      <c r="F11" s="80">
        <v>1165</v>
      </c>
      <c r="G11" s="80">
        <v>1174</v>
      </c>
      <c r="H11" s="80">
        <v>9</v>
      </c>
      <c r="I11" s="80">
        <v>850</v>
      </c>
      <c r="J11" s="38">
        <f t="shared" si="3"/>
        <v>7650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5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52450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4100-000000000000}"/>
    <hyperlink ref="M1" location="'Home Page'!A1" display="Back" xr:uid="{00000000-0004-0000-4100-000001000000}"/>
  </hyperlinks>
  <pageMargins left="0" right="0" top="0" bottom="0" header="0" footer="0"/>
  <pageSetup paperSize="9" orientation="portrait" r:id="rId2"/>
  <drawing r:id="rId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22"/>
  <sheetViews>
    <sheetView zoomScale="97" zoomScaleNormal="97" workbookViewId="0">
      <selection activeCell="L17" sqref="L17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44378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3</v>
      </c>
      <c r="O4" s="147">
        <f>V20</f>
        <v>2</v>
      </c>
      <c r="P4" s="147">
        <f>W20</f>
        <v>1</v>
      </c>
      <c r="Q4" s="149">
        <f>N4-O4-P4</f>
        <v>0</v>
      </c>
      <c r="R4" s="151">
        <f>O4/N4</f>
        <v>0.66666666666666663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44385</v>
      </c>
      <c r="D6" s="31" t="s">
        <v>19</v>
      </c>
      <c r="E6" s="31" t="s">
        <v>42</v>
      </c>
      <c r="F6" s="86">
        <v>264.5</v>
      </c>
      <c r="G6" s="86">
        <v>270</v>
      </c>
      <c r="H6" s="86">
        <f>270-264.5</f>
        <v>5.5</v>
      </c>
      <c r="I6" s="32">
        <v>3100</v>
      </c>
      <c r="J6" s="33">
        <f>I6*H6</f>
        <v>17050</v>
      </c>
      <c r="K6" s="23"/>
      <c r="M6" s="117" t="s">
        <v>67</v>
      </c>
      <c r="N6" s="118"/>
      <c r="O6" s="119"/>
      <c r="P6" s="126">
        <f>R4</f>
        <v>0.66666666666666663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44390</v>
      </c>
      <c r="D7" s="36" t="s">
        <v>19</v>
      </c>
      <c r="E7" s="36" t="s">
        <v>98</v>
      </c>
      <c r="F7" s="80">
        <v>214</v>
      </c>
      <c r="G7" s="80">
        <v>215.5</v>
      </c>
      <c r="H7" s="80">
        <v>1.5</v>
      </c>
      <c r="I7" s="37">
        <v>3000</v>
      </c>
      <c r="J7" s="38">
        <f>I7*H7</f>
        <v>4500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44396</v>
      </c>
      <c r="D8" s="36" t="s">
        <v>19</v>
      </c>
      <c r="E8" s="36" t="s">
        <v>28</v>
      </c>
      <c r="F8" s="80">
        <v>664</v>
      </c>
      <c r="G8" s="80">
        <v>648</v>
      </c>
      <c r="H8" s="80">
        <v>-16</v>
      </c>
      <c r="I8" s="37">
        <v>1375</v>
      </c>
      <c r="J8" s="38">
        <f t="shared" ref="J8:J19" si="3">I8*H8</f>
        <v>-22000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1</v>
      </c>
    </row>
    <row r="9" spans="1:23" x14ac:dyDescent="0.3">
      <c r="A9" s="22"/>
      <c r="B9" s="91">
        <f>B8+1</f>
        <v>4</v>
      </c>
      <c r="C9" s="93"/>
      <c r="D9" s="36"/>
      <c r="E9" s="36"/>
      <c r="F9" s="80"/>
      <c r="G9" s="80"/>
      <c r="H9" s="80"/>
      <c r="I9" s="80"/>
      <c r="J9" s="38">
        <f>I9*H9</f>
        <v>0</v>
      </c>
      <c r="K9" s="23"/>
      <c r="V9" s="21">
        <f t="shared" si="0"/>
        <v>0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2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-450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4200-000000000000}"/>
    <hyperlink ref="M1" location="'Home Page'!A1" display="Back" xr:uid="{00000000-0004-0000-4200-000001000000}"/>
  </hyperlinks>
  <pageMargins left="0" right="0" top="0" bottom="0" header="0" footer="0"/>
  <pageSetup paperSize="9" orientation="portrait" r:id="rId2"/>
  <drawing r:id="rId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22"/>
  <sheetViews>
    <sheetView zoomScale="97" zoomScaleNormal="97" workbookViewId="0">
      <selection activeCell="I10" sqref="I10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44409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4</v>
      </c>
      <c r="O4" s="147">
        <f>V20</f>
        <v>3</v>
      </c>
      <c r="P4" s="147">
        <f>W20</f>
        <v>1</v>
      </c>
      <c r="Q4" s="149">
        <f>N4-O4-P4</f>
        <v>0</v>
      </c>
      <c r="R4" s="151">
        <f>O4/N4</f>
        <v>0.75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44413</v>
      </c>
      <c r="D6" s="31" t="s">
        <v>12</v>
      </c>
      <c r="E6" s="31" t="s">
        <v>16</v>
      </c>
      <c r="F6" s="86">
        <v>16340</v>
      </c>
      <c r="G6" s="86">
        <v>16247</v>
      </c>
      <c r="H6" s="86">
        <f>16340-16247</f>
        <v>93</v>
      </c>
      <c r="I6" s="32">
        <v>50</v>
      </c>
      <c r="J6" s="33">
        <f>I6*H6</f>
        <v>4650</v>
      </c>
      <c r="K6" s="23"/>
      <c r="M6" s="117" t="s">
        <v>67</v>
      </c>
      <c r="N6" s="118"/>
      <c r="O6" s="119"/>
      <c r="P6" s="126">
        <f>R4</f>
        <v>0.75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44419</v>
      </c>
      <c r="D7" s="36" t="s">
        <v>12</v>
      </c>
      <c r="E7" s="36" t="s">
        <v>16</v>
      </c>
      <c r="F7" s="80">
        <v>16260</v>
      </c>
      <c r="G7" s="80">
        <v>16310</v>
      </c>
      <c r="H7" s="80">
        <v>-50</v>
      </c>
      <c r="I7" s="37">
        <v>50</v>
      </c>
      <c r="J7" s="38">
        <f>I7*H7</f>
        <v>-2500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44431</v>
      </c>
      <c r="D8" s="36" t="s">
        <v>12</v>
      </c>
      <c r="E8" s="36" t="s">
        <v>168</v>
      </c>
      <c r="F8" s="80">
        <v>720</v>
      </c>
      <c r="G8" s="80">
        <v>718</v>
      </c>
      <c r="H8" s="80">
        <v>2</v>
      </c>
      <c r="I8" s="37">
        <v>1500</v>
      </c>
      <c r="J8" s="38">
        <f t="shared" ref="J8:J19" si="3">I8*H8</f>
        <v>3000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44431</v>
      </c>
      <c r="D9" s="36" t="s">
        <v>19</v>
      </c>
      <c r="E9" s="36" t="s">
        <v>121</v>
      </c>
      <c r="F9" s="80">
        <v>1715</v>
      </c>
      <c r="G9" s="80">
        <v>1728</v>
      </c>
      <c r="H9" s="80">
        <f>1728-1715</f>
        <v>13</v>
      </c>
      <c r="I9" s="80">
        <v>400</v>
      </c>
      <c r="J9" s="38">
        <f>I9*H9</f>
        <v>5200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3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10350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4300-000000000000}"/>
    <hyperlink ref="M1" location="'Home Page'!A1" display="Back" xr:uid="{00000000-0004-0000-4300-000001000000}"/>
  </hyperlinks>
  <pageMargins left="0" right="0" top="0" bottom="0" header="0" footer="0"/>
  <pageSetup paperSize="9" orientation="portrait" r:id="rId2"/>
  <drawing r:id="rId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22"/>
  <sheetViews>
    <sheetView zoomScale="97" zoomScaleNormal="97" workbookViewId="0">
      <selection activeCell="O4" sqref="O4:O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44440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10</v>
      </c>
      <c r="O4" s="147">
        <f>V20</f>
        <v>10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44440</v>
      </c>
      <c r="D6" s="31" t="s">
        <v>19</v>
      </c>
      <c r="E6" s="31" t="s">
        <v>160</v>
      </c>
      <c r="F6" s="86">
        <v>1570</v>
      </c>
      <c r="G6" s="86">
        <v>1610</v>
      </c>
      <c r="H6" s="86">
        <f>1610-1570</f>
        <v>40</v>
      </c>
      <c r="I6" s="32">
        <v>1000</v>
      </c>
      <c r="J6" s="33">
        <f>I6*H6</f>
        <v>40000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44445</v>
      </c>
      <c r="D7" s="36" t="s">
        <v>19</v>
      </c>
      <c r="E7" s="36" t="s">
        <v>167</v>
      </c>
      <c r="F7" s="80">
        <v>1720</v>
      </c>
      <c r="G7" s="80">
        <v>1740</v>
      </c>
      <c r="H7" s="80">
        <v>20</v>
      </c>
      <c r="I7" s="37">
        <v>600</v>
      </c>
      <c r="J7" s="38">
        <f>I7*H7</f>
        <v>12000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44445</v>
      </c>
      <c r="D8" s="36" t="s">
        <v>19</v>
      </c>
      <c r="E8" s="36" t="s">
        <v>16</v>
      </c>
      <c r="F8" s="80">
        <v>17390</v>
      </c>
      <c r="G8" s="80">
        <v>17420</v>
      </c>
      <c r="H8" s="80">
        <v>30</v>
      </c>
      <c r="I8" s="37">
        <v>50</v>
      </c>
      <c r="J8" s="38">
        <f t="shared" ref="J8:J19" si="3">I8*H8</f>
        <v>1500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44446</v>
      </c>
      <c r="D9" s="36" t="s">
        <v>19</v>
      </c>
      <c r="E9" s="36" t="s">
        <v>137</v>
      </c>
      <c r="F9" s="80">
        <v>2475</v>
      </c>
      <c r="G9" s="80">
        <v>2490</v>
      </c>
      <c r="H9" s="80">
        <f>2490-2475</f>
        <v>15</v>
      </c>
      <c r="I9" s="80">
        <v>500</v>
      </c>
      <c r="J9" s="38">
        <f>I9*H9</f>
        <v>7500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44446</v>
      </c>
      <c r="D10" s="36" t="s">
        <v>19</v>
      </c>
      <c r="E10" s="36" t="s">
        <v>144</v>
      </c>
      <c r="F10" s="80">
        <v>1235</v>
      </c>
      <c r="G10" s="80">
        <v>1246</v>
      </c>
      <c r="H10" s="80">
        <f>1246-1235</f>
        <v>11</v>
      </c>
      <c r="I10" s="80">
        <v>750</v>
      </c>
      <c r="J10" s="38">
        <f t="shared" si="3"/>
        <v>8250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44453</v>
      </c>
      <c r="D11" s="36" t="s">
        <v>19</v>
      </c>
      <c r="E11" s="36" t="s">
        <v>125</v>
      </c>
      <c r="F11" s="80">
        <v>1037</v>
      </c>
      <c r="G11" s="80">
        <v>1060</v>
      </c>
      <c r="H11" s="80">
        <f>1060-1037</f>
        <v>23</v>
      </c>
      <c r="I11" s="80">
        <v>900</v>
      </c>
      <c r="J11" s="38">
        <f t="shared" si="3"/>
        <v>20700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44454</v>
      </c>
      <c r="D12" s="36" t="s">
        <v>19</v>
      </c>
      <c r="E12" s="36" t="s">
        <v>169</v>
      </c>
      <c r="F12" s="80">
        <v>936</v>
      </c>
      <c r="G12" s="80">
        <v>956</v>
      </c>
      <c r="H12" s="80">
        <v>20</v>
      </c>
      <c r="I12" s="80">
        <v>850</v>
      </c>
      <c r="J12" s="38">
        <f t="shared" si="3"/>
        <v>17000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44454</v>
      </c>
      <c r="D13" s="36" t="s">
        <v>19</v>
      </c>
      <c r="E13" s="36" t="s">
        <v>37</v>
      </c>
      <c r="F13" s="80">
        <v>1838</v>
      </c>
      <c r="G13" s="80">
        <v>1846</v>
      </c>
      <c r="H13" s="80">
        <f>1846-1838</f>
        <v>8</v>
      </c>
      <c r="I13" s="80">
        <v>550</v>
      </c>
      <c r="J13" s="38">
        <f t="shared" si="3"/>
        <v>4400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44460</v>
      </c>
      <c r="D14" s="36" t="s">
        <v>19</v>
      </c>
      <c r="E14" s="36" t="s">
        <v>170</v>
      </c>
      <c r="F14" s="80">
        <v>1595</v>
      </c>
      <c r="G14" s="80">
        <v>1634</v>
      </c>
      <c r="H14" s="80">
        <f>1634-1595</f>
        <v>39</v>
      </c>
      <c r="I14" s="80">
        <v>700</v>
      </c>
      <c r="J14" s="38">
        <f t="shared" si="3"/>
        <v>27300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44460</v>
      </c>
      <c r="D15" s="36" t="s">
        <v>19</v>
      </c>
      <c r="E15" s="36" t="s">
        <v>155</v>
      </c>
      <c r="F15" s="80">
        <v>745</v>
      </c>
      <c r="G15" s="80">
        <v>755</v>
      </c>
      <c r="H15" s="80">
        <v>10</v>
      </c>
      <c r="I15" s="80">
        <v>1250</v>
      </c>
      <c r="J15" s="38">
        <f t="shared" si="3"/>
        <v>12500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10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151150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4400-000000000000}"/>
    <hyperlink ref="M1" location="'Home Page'!A1" display="Back" xr:uid="{00000000-0004-0000-4400-000001000000}"/>
  </hyperlinks>
  <pageMargins left="0" right="0" top="0" bottom="0" header="0" footer="0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4"/>
  <sheetViews>
    <sheetView workbookViewId="0">
      <selection activeCell="K2" sqref="K2"/>
    </sheetView>
  </sheetViews>
  <sheetFormatPr defaultColWidth="9.109375" defaultRowHeight="14.4" x14ac:dyDescent="0.3"/>
  <cols>
    <col min="1" max="1" width="9.109375" style="7"/>
    <col min="2" max="2" width="21" customWidth="1"/>
    <col min="3" max="3" width="18.33203125" customWidth="1"/>
    <col min="4" max="4" width="24.332031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35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8">
        <v>42556</v>
      </c>
      <c r="C5" s="4" t="s">
        <v>15</v>
      </c>
      <c r="D5" s="4" t="s">
        <v>36</v>
      </c>
      <c r="E5" s="4">
        <v>775</v>
      </c>
      <c r="F5" s="4">
        <v>786</v>
      </c>
      <c r="G5" s="4">
        <v>11</v>
      </c>
      <c r="H5" s="4">
        <v>1200</v>
      </c>
      <c r="I5" s="4">
        <f>H5*G5</f>
        <v>13200</v>
      </c>
    </row>
    <row r="6" spans="1:11" ht="25.8" x14ac:dyDescent="0.5">
      <c r="B6" s="11">
        <v>42558</v>
      </c>
      <c r="C6" s="12" t="s">
        <v>19</v>
      </c>
      <c r="D6" s="12" t="s">
        <v>16</v>
      </c>
      <c r="E6" s="12">
        <v>8345</v>
      </c>
      <c r="F6" s="12">
        <v>8315</v>
      </c>
      <c r="G6" s="12">
        <v>-30</v>
      </c>
      <c r="H6" s="12">
        <v>150</v>
      </c>
      <c r="I6" s="4">
        <f t="shared" ref="I6:I16" si="0">H6*G6</f>
        <v>-4500</v>
      </c>
    </row>
    <row r="7" spans="1:11" ht="25.8" x14ac:dyDescent="0.5">
      <c r="B7" s="13">
        <v>42559</v>
      </c>
      <c r="C7" s="12" t="s">
        <v>19</v>
      </c>
      <c r="D7" s="12" t="s">
        <v>13</v>
      </c>
      <c r="E7" s="12">
        <v>218</v>
      </c>
      <c r="F7" s="12">
        <v>224</v>
      </c>
      <c r="G7" s="12">
        <v>6</v>
      </c>
      <c r="H7" s="12">
        <v>6000</v>
      </c>
      <c r="I7" s="4">
        <f t="shared" si="0"/>
        <v>36000</v>
      </c>
    </row>
    <row r="8" spans="1:11" ht="25.8" x14ac:dyDescent="0.5">
      <c r="B8" s="9">
        <v>42562</v>
      </c>
      <c r="C8" s="4" t="s">
        <v>12</v>
      </c>
      <c r="D8" s="4" t="s">
        <v>33</v>
      </c>
      <c r="E8" s="4">
        <v>1044</v>
      </c>
      <c r="F8" s="4">
        <v>1039</v>
      </c>
      <c r="G8" s="4">
        <v>5</v>
      </c>
      <c r="H8" s="4">
        <v>1400</v>
      </c>
      <c r="I8" s="4">
        <f t="shared" si="0"/>
        <v>7000</v>
      </c>
    </row>
    <row r="9" spans="1:11" ht="25.8" x14ac:dyDescent="0.5">
      <c r="B9" s="9">
        <v>42563</v>
      </c>
      <c r="C9" s="4" t="s">
        <v>19</v>
      </c>
      <c r="D9" s="4" t="s">
        <v>16</v>
      </c>
      <c r="E9" s="4">
        <v>8520</v>
      </c>
      <c r="F9" s="4">
        <v>8535</v>
      </c>
      <c r="G9" s="4">
        <v>15</v>
      </c>
      <c r="H9" s="4">
        <v>150</v>
      </c>
      <c r="I9" s="4">
        <f t="shared" si="0"/>
        <v>2250</v>
      </c>
    </row>
    <row r="10" spans="1:11" ht="25.8" x14ac:dyDescent="0.5">
      <c r="B10" s="9">
        <v>42564</v>
      </c>
      <c r="C10" s="4" t="s">
        <v>12</v>
      </c>
      <c r="D10" s="4" t="s">
        <v>37</v>
      </c>
      <c r="E10" s="4">
        <v>570</v>
      </c>
      <c r="F10" s="4">
        <v>561.5</v>
      </c>
      <c r="G10" s="4">
        <v>8.5</v>
      </c>
      <c r="H10" s="4">
        <v>2200</v>
      </c>
      <c r="I10" s="4">
        <f t="shared" si="0"/>
        <v>18700</v>
      </c>
    </row>
    <row r="11" spans="1:11" ht="25.8" x14ac:dyDescent="0.5">
      <c r="B11" s="9">
        <v>42566</v>
      </c>
      <c r="C11" s="4" t="s">
        <v>12</v>
      </c>
      <c r="D11" s="4" t="s">
        <v>28</v>
      </c>
      <c r="E11" s="4">
        <v>266</v>
      </c>
      <c r="F11" s="4">
        <v>267</v>
      </c>
      <c r="G11" s="4">
        <v>-1</v>
      </c>
      <c r="H11" s="4">
        <v>5000</v>
      </c>
      <c r="I11" s="4">
        <f t="shared" si="0"/>
        <v>-5000</v>
      </c>
    </row>
    <row r="12" spans="1:11" ht="25.8" x14ac:dyDescent="0.5">
      <c r="B12" s="9">
        <v>42570</v>
      </c>
      <c r="C12" s="4" t="s">
        <v>19</v>
      </c>
      <c r="D12" s="4" t="s">
        <v>16</v>
      </c>
      <c r="E12" s="4">
        <v>8510</v>
      </c>
      <c r="F12" s="4">
        <v>8570</v>
      </c>
      <c r="G12" s="4">
        <v>60</v>
      </c>
      <c r="H12" s="4">
        <v>150</v>
      </c>
      <c r="I12" s="4">
        <f>H12*G12</f>
        <v>9000</v>
      </c>
    </row>
    <row r="13" spans="1:11" ht="25.8" x14ac:dyDescent="0.5">
      <c r="B13" s="8">
        <v>42572</v>
      </c>
      <c r="C13" s="4" t="s">
        <v>12</v>
      </c>
      <c r="D13" s="4" t="s">
        <v>38</v>
      </c>
      <c r="E13" s="4">
        <v>542</v>
      </c>
      <c r="F13" s="4">
        <v>535</v>
      </c>
      <c r="G13" s="4">
        <v>7</v>
      </c>
      <c r="H13" s="4">
        <v>2400</v>
      </c>
      <c r="I13" s="4">
        <f t="shared" si="0"/>
        <v>16800</v>
      </c>
    </row>
    <row r="14" spans="1:11" ht="25.8" x14ac:dyDescent="0.5">
      <c r="B14" s="9">
        <v>42576</v>
      </c>
      <c r="C14" s="4" t="s">
        <v>12</v>
      </c>
      <c r="D14" s="4" t="s">
        <v>28</v>
      </c>
      <c r="E14" s="4">
        <v>270</v>
      </c>
      <c r="F14" s="4">
        <v>266</v>
      </c>
      <c r="G14" s="4">
        <v>4</v>
      </c>
      <c r="H14" s="4">
        <v>5000</v>
      </c>
      <c r="I14" s="4">
        <f t="shared" si="0"/>
        <v>20000</v>
      </c>
    </row>
    <row r="15" spans="1:11" ht="25.8" x14ac:dyDescent="0.5">
      <c r="B15" s="9"/>
      <c r="C15" s="4"/>
      <c r="D15" s="4"/>
      <c r="E15" s="4"/>
      <c r="F15" s="4"/>
      <c r="G15" s="4"/>
      <c r="H15" s="4"/>
      <c r="I15" s="4">
        <f t="shared" si="0"/>
        <v>0</v>
      </c>
    </row>
    <row r="16" spans="1:11" ht="25.8" x14ac:dyDescent="0.5">
      <c r="B16" s="9"/>
      <c r="C16" s="4"/>
      <c r="D16" s="4"/>
      <c r="E16" s="4"/>
      <c r="F16" s="4"/>
      <c r="G16" s="4"/>
      <c r="H16" s="4"/>
      <c r="I16" s="4">
        <f t="shared" si="0"/>
        <v>0</v>
      </c>
    </row>
    <row r="17" spans="2:9" ht="25.8" x14ac:dyDescent="0.5">
      <c r="B17" s="9"/>
      <c r="C17" s="4"/>
      <c r="D17" s="4"/>
      <c r="E17" s="4"/>
      <c r="F17" s="4"/>
      <c r="G17" s="4"/>
      <c r="H17" s="4"/>
      <c r="I17" s="10">
        <f>SUM(I5:I16)</f>
        <v>113450</v>
      </c>
    </row>
    <row r="18" spans="2:9" ht="25.8" x14ac:dyDescent="0.5">
      <c r="B18" s="9"/>
      <c r="C18" s="4"/>
      <c r="D18" s="4"/>
      <c r="E18" s="4"/>
      <c r="F18" s="4"/>
      <c r="G18" s="4"/>
      <c r="H18" s="4"/>
      <c r="I18" s="4"/>
    </row>
    <row r="19" spans="2:9" ht="25.8" x14ac:dyDescent="0.5">
      <c r="B19" s="9"/>
      <c r="C19" s="4"/>
      <c r="D19" s="4"/>
      <c r="E19" s="4"/>
      <c r="F19" s="4"/>
      <c r="G19" s="4"/>
      <c r="H19" s="4"/>
      <c r="I19" s="10"/>
    </row>
    <row r="20" spans="2:9" ht="25.8" x14ac:dyDescent="0.5">
      <c r="B20" s="9"/>
      <c r="C20" s="4"/>
      <c r="D20" s="4"/>
      <c r="E20" s="4"/>
      <c r="F20" s="4"/>
      <c r="G20" s="4"/>
      <c r="H20" s="4"/>
      <c r="I20" s="4"/>
    </row>
    <row r="21" spans="2:9" ht="25.8" x14ac:dyDescent="0.5">
      <c r="B21" s="8"/>
      <c r="C21" s="4"/>
      <c r="D21" s="4"/>
      <c r="E21" s="4"/>
      <c r="F21" s="4"/>
      <c r="G21" s="4"/>
      <c r="H21" s="4"/>
      <c r="I21" s="10"/>
    </row>
    <row r="22" spans="2:9" ht="25.8" x14ac:dyDescent="0.5">
      <c r="B22" s="8"/>
      <c r="C22" s="4"/>
      <c r="D22" s="4"/>
      <c r="E22" s="4"/>
      <c r="F22" s="4"/>
      <c r="G22" s="4"/>
      <c r="H22" s="4"/>
      <c r="I22" s="4"/>
    </row>
    <row r="23" spans="2:9" ht="25.8" x14ac:dyDescent="0.5">
      <c r="B23" s="8"/>
      <c r="C23" s="4"/>
      <c r="D23" s="4"/>
      <c r="E23" s="4"/>
      <c r="F23" s="4"/>
      <c r="G23" s="4"/>
      <c r="H23" s="4"/>
      <c r="I23" s="4"/>
    </row>
    <row r="24" spans="2:9" ht="25.8" x14ac:dyDescent="0.5">
      <c r="I24" s="10"/>
    </row>
  </sheetData>
  <mergeCells count="3">
    <mergeCell ref="B1:I1"/>
    <mergeCell ref="B2:I2"/>
    <mergeCell ref="B3:I3"/>
  </mergeCells>
  <hyperlinks>
    <hyperlink ref="K2" location="'Home Page'!A1" display="Back" xr:uid="{00000000-0004-0000-0600-000000000000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44470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10</v>
      </c>
      <c r="O4" s="147">
        <f>V20</f>
        <v>10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44474</v>
      </c>
      <c r="D6" s="31" t="s">
        <v>19</v>
      </c>
      <c r="E6" s="31" t="s">
        <v>169</v>
      </c>
      <c r="F6" s="86">
        <v>1070</v>
      </c>
      <c r="G6" s="86">
        <v>1085</v>
      </c>
      <c r="H6" s="86">
        <v>15</v>
      </c>
      <c r="I6" s="32">
        <v>850</v>
      </c>
      <c r="J6" s="33">
        <f>I6*H6</f>
        <v>12750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44474</v>
      </c>
      <c r="D7" s="36" t="s">
        <v>19</v>
      </c>
      <c r="E7" s="36" t="s">
        <v>153</v>
      </c>
      <c r="F7" s="80">
        <v>557</v>
      </c>
      <c r="G7" s="80">
        <v>567</v>
      </c>
      <c r="H7" s="80">
        <v>10</v>
      </c>
      <c r="I7" s="37">
        <v>2000</v>
      </c>
      <c r="J7" s="38">
        <f>I7*H7</f>
        <v>20000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44475</v>
      </c>
      <c r="D8" s="36" t="s">
        <v>19</v>
      </c>
      <c r="E8" s="36" t="s">
        <v>171</v>
      </c>
      <c r="F8" s="80">
        <v>2195</v>
      </c>
      <c r="G8" s="80">
        <v>2235</v>
      </c>
      <c r="H8" s="80">
        <f>2232-2195</f>
        <v>37</v>
      </c>
      <c r="I8" s="37">
        <v>275</v>
      </c>
      <c r="J8" s="38">
        <f t="shared" ref="J8:J19" si="3">I8*H8</f>
        <v>10175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44477</v>
      </c>
      <c r="D9" s="36" t="s">
        <v>19</v>
      </c>
      <c r="E9" s="36" t="s">
        <v>172</v>
      </c>
      <c r="F9" s="80">
        <v>5210</v>
      </c>
      <c r="G9" s="80">
        <v>5320</v>
      </c>
      <c r="H9" s="80">
        <v>20</v>
      </c>
      <c r="I9" s="80">
        <v>125</v>
      </c>
      <c r="J9" s="38">
        <f>I9*H9</f>
        <v>2500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44482</v>
      </c>
      <c r="D10" s="36" t="s">
        <v>19</v>
      </c>
      <c r="E10" s="36" t="s">
        <v>31</v>
      </c>
      <c r="F10" s="80">
        <v>1255</v>
      </c>
      <c r="G10" s="80">
        <v>1285</v>
      </c>
      <c r="H10" s="80">
        <v>30</v>
      </c>
      <c r="I10" s="80">
        <v>700</v>
      </c>
      <c r="J10" s="38">
        <f t="shared" si="3"/>
        <v>21000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44489</v>
      </c>
      <c r="D11" s="36" t="s">
        <v>12</v>
      </c>
      <c r="E11" s="36" t="s">
        <v>144</v>
      </c>
      <c r="F11" s="80">
        <v>1163</v>
      </c>
      <c r="G11" s="80">
        <v>1180</v>
      </c>
      <c r="H11" s="80">
        <f>1180-1163</f>
        <v>17</v>
      </c>
      <c r="I11" s="80">
        <v>750</v>
      </c>
      <c r="J11" s="38">
        <f t="shared" si="3"/>
        <v>12750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44489</v>
      </c>
      <c r="D12" s="36" t="s">
        <v>19</v>
      </c>
      <c r="E12" s="36" t="s">
        <v>20</v>
      </c>
      <c r="F12" s="80">
        <v>39500</v>
      </c>
      <c r="G12" s="80">
        <v>40010</v>
      </c>
      <c r="H12" s="80">
        <f>40010-39500</f>
        <v>510</v>
      </c>
      <c r="I12" s="80">
        <v>50</v>
      </c>
      <c r="J12" s="38">
        <f t="shared" si="3"/>
        <v>25500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44489</v>
      </c>
      <c r="D13" s="36" t="s">
        <v>19</v>
      </c>
      <c r="E13" s="36" t="s">
        <v>173</v>
      </c>
      <c r="F13" s="80">
        <v>1405</v>
      </c>
      <c r="G13" s="80">
        <v>1425</v>
      </c>
      <c r="H13" s="80">
        <v>20</v>
      </c>
      <c r="I13" s="80">
        <v>475</v>
      </c>
      <c r="J13" s="38">
        <f t="shared" si="3"/>
        <v>9500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44495</v>
      </c>
      <c r="D14" s="36" t="s">
        <v>19</v>
      </c>
      <c r="E14" s="36" t="s">
        <v>174</v>
      </c>
      <c r="F14" s="80">
        <v>259</v>
      </c>
      <c r="G14" s="80">
        <v>265</v>
      </c>
      <c r="H14" s="80">
        <f>265-259</f>
        <v>6</v>
      </c>
      <c r="I14" s="80">
        <v>2600</v>
      </c>
      <c r="J14" s="38">
        <f t="shared" si="3"/>
        <v>15600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44495</v>
      </c>
      <c r="D15" s="36" t="s">
        <v>19</v>
      </c>
      <c r="E15" s="36" t="s">
        <v>144</v>
      </c>
      <c r="F15" s="80">
        <v>1172</v>
      </c>
      <c r="G15" s="80">
        <v>1188</v>
      </c>
      <c r="H15" s="80">
        <f>1188-1172</f>
        <v>16</v>
      </c>
      <c r="I15" s="80">
        <v>750</v>
      </c>
      <c r="J15" s="38">
        <f t="shared" si="3"/>
        <v>12000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10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141775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4500-000000000000}"/>
    <hyperlink ref="M1" location="'Home Page'!A1" display="Back" xr:uid="{00000000-0004-0000-4500-000001000000}"/>
  </hyperlinks>
  <pageMargins left="0" right="0" top="0" bottom="0" header="0" footer="0"/>
  <pageSetup paperSize="9" orientation="portrait" r:id="rId2"/>
  <drawing r:id="rId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22"/>
  <sheetViews>
    <sheetView topLeftCell="A4"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44501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7</v>
      </c>
      <c r="O4" s="147">
        <f>V20</f>
        <v>6</v>
      </c>
      <c r="P4" s="147">
        <f>W20</f>
        <v>1</v>
      </c>
      <c r="Q4" s="149">
        <f>N4-O4-P4</f>
        <v>0</v>
      </c>
      <c r="R4" s="151">
        <f>O4/N4</f>
        <v>0.8571428571428571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44509</v>
      </c>
      <c r="D6" s="31" t="s">
        <v>19</v>
      </c>
      <c r="E6" s="31" t="s">
        <v>175</v>
      </c>
      <c r="F6" s="86">
        <v>775</v>
      </c>
      <c r="G6" s="86">
        <v>782</v>
      </c>
      <c r="H6" s="86">
        <f>782-775</f>
        <v>7</v>
      </c>
      <c r="I6" s="32">
        <v>1100</v>
      </c>
      <c r="J6" s="33">
        <f>I6*H6</f>
        <v>7700</v>
      </c>
      <c r="K6" s="23"/>
      <c r="M6" s="117" t="s">
        <v>67</v>
      </c>
      <c r="N6" s="118"/>
      <c r="O6" s="119"/>
      <c r="P6" s="126">
        <f>R4</f>
        <v>0.8571428571428571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44509</v>
      </c>
      <c r="D7" s="36" t="s">
        <v>19</v>
      </c>
      <c r="E7" s="36" t="s">
        <v>127</v>
      </c>
      <c r="F7" s="80">
        <v>2940</v>
      </c>
      <c r="G7" s="80">
        <v>2910</v>
      </c>
      <c r="H7" s="80">
        <v>-30</v>
      </c>
      <c r="I7" s="37">
        <v>300</v>
      </c>
      <c r="J7" s="38">
        <f>I7*H7</f>
        <v>-9000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0" si="2">B7+1</f>
        <v>3</v>
      </c>
      <c r="C8" s="93">
        <v>44509</v>
      </c>
      <c r="D8" s="36" t="s">
        <v>19</v>
      </c>
      <c r="E8" s="36" t="s">
        <v>20</v>
      </c>
      <c r="F8" s="80">
        <v>39400</v>
      </c>
      <c r="G8" s="80">
        <v>39600</v>
      </c>
      <c r="H8" s="80">
        <v>200</v>
      </c>
      <c r="I8" s="37">
        <v>50</v>
      </c>
      <c r="J8" s="38">
        <f t="shared" ref="J8:J19" si="3">I8*H8</f>
        <v>10000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44510</v>
      </c>
      <c r="D9" s="36" t="s">
        <v>19</v>
      </c>
      <c r="E9" s="36" t="s">
        <v>156</v>
      </c>
      <c r="F9" s="80">
        <v>3775</v>
      </c>
      <c r="G9" s="80">
        <v>3795</v>
      </c>
      <c r="H9" s="80">
        <v>20</v>
      </c>
      <c r="I9" s="80">
        <v>250</v>
      </c>
      <c r="J9" s="38">
        <f>I9*H9</f>
        <v>5000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44516</v>
      </c>
      <c r="D10" s="36" t="s">
        <v>19</v>
      </c>
      <c r="E10" s="36" t="s">
        <v>176</v>
      </c>
      <c r="F10" s="80">
        <v>2340</v>
      </c>
      <c r="G10" s="80">
        <v>2360</v>
      </c>
      <c r="H10" s="80">
        <v>20</v>
      </c>
      <c r="I10" s="80">
        <v>275</v>
      </c>
      <c r="J10" s="38">
        <f t="shared" si="3"/>
        <v>5500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44516</v>
      </c>
      <c r="D11" s="36" t="s">
        <v>19</v>
      </c>
      <c r="E11" s="36" t="s">
        <v>16</v>
      </c>
      <c r="F11" s="80">
        <v>18020</v>
      </c>
      <c r="G11" s="80">
        <v>18050</v>
      </c>
      <c r="H11" s="80">
        <v>30</v>
      </c>
      <c r="I11" s="80">
        <v>100</v>
      </c>
      <c r="J11" s="38">
        <f t="shared" si="3"/>
        <v>3000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44516</v>
      </c>
      <c r="D12" s="36" t="s">
        <v>19</v>
      </c>
      <c r="E12" s="36" t="s">
        <v>172</v>
      </c>
      <c r="F12" s="80">
        <v>5520</v>
      </c>
      <c r="G12" s="80">
        <v>5539</v>
      </c>
      <c r="H12" s="80">
        <f>5539-5520</f>
        <v>19</v>
      </c>
      <c r="I12" s="80">
        <v>125</v>
      </c>
      <c r="J12" s="38">
        <f t="shared" si="3"/>
        <v>2375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6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24575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4600-000000000000}"/>
    <hyperlink ref="M1" location="'Home Page'!A1" display="Back" xr:uid="{00000000-0004-0000-4600-000001000000}"/>
  </hyperlinks>
  <pageMargins left="0" right="0" top="0" bottom="0" header="0" footer="0"/>
  <pageSetup paperSize="9" orientation="portrait" r:id="rId2"/>
  <drawing r:id="rId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44531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8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44531</v>
      </c>
      <c r="D6" s="31" t="s">
        <v>19</v>
      </c>
      <c r="E6" s="31" t="s">
        <v>141</v>
      </c>
      <c r="F6" s="86">
        <v>526</v>
      </c>
      <c r="G6" s="86">
        <v>537</v>
      </c>
      <c r="H6" s="86">
        <f>537-526</f>
        <v>11</v>
      </c>
      <c r="I6" s="32">
        <v>1500</v>
      </c>
      <c r="J6" s="33">
        <f>I6*H6</f>
        <v>16500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44531</v>
      </c>
      <c r="D7" s="36" t="s">
        <v>19</v>
      </c>
      <c r="E7" s="36" t="s">
        <v>98</v>
      </c>
      <c r="F7" s="80">
        <v>334</v>
      </c>
      <c r="G7" s="80">
        <v>342</v>
      </c>
      <c r="H7" s="80">
        <f>342-334</f>
        <v>8</v>
      </c>
      <c r="I7" s="37">
        <v>3000</v>
      </c>
      <c r="J7" s="38">
        <f>I7*H7</f>
        <v>24000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44537</v>
      </c>
      <c r="D8" s="36" t="s">
        <v>19</v>
      </c>
      <c r="E8" s="36" t="s">
        <v>143</v>
      </c>
      <c r="F8" s="80">
        <v>2220</v>
      </c>
      <c r="G8" s="80">
        <v>2250</v>
      </c>
      <c r="H8" s="80">
        <v>30</v>
      </c>
      <c r="I8" s="37">
        <v>250</v>
      </c>
      <c r="J8" s="38">
        <f t="shared" ref="J8:J19" si="3">I8*H8</f>
        <v>7500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44537</v>
      </c>
      <c r="D9" s="36" t="s">
        <v>19</v>
      </c>
      <c r="E9" s="36" t="s">
        <v>172</v>
      </c>
      <c r="F9" s="80">
        <v>5190</v>
      </c>
      <c r="G9" s="80">
        <v>5300</v>
      </c>
      <c r="H9" s="80">
        <f>5300-5190</f>
        <v>110</v>
      </c>
      <c r="I9" s="80">
        <v>125</v>
      </c>
      <c r="J9" s="38">
        <f>I9*H9</f>
        <v>13750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44538</v>
      </c>
      <c r="D10" s="36" t="s">
        <v>19</v>
      </c>
      <c r="E10" s="36" t="s">
        <v>172</v>
      </c>
      <c r="F10" s="80">
        <v>5380</v>
      </c>
      <c r="G10" s="80">
        <v>5445</v>
      </c>
      <c r="H10" s="80">
        <f>5445-5380</f>
        <v>65</v>
      </c>
      <c r="I10" s="80">
        <v>125</v>
      </c>
      <c r="J10" s="38">
        <f t="shared" si="3"/>
        <v>8125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44543</v>
      </c>
      <c r="D11" s="36" t="s">
        <v>19</v>
      </c>
      <c r="E11" s="36" t="s">
        <v>20</v>
      </c>
      <c r="F11" s="80">
        <v>37100</v>
      </c>
      <c r="G11" s="80">
        <v>37215</v>
      </c>
      <c r="H11" s="80">
        <f>37215-37100</f>
        <v>115</v>
      </c>
      <c r="I11" s="80">
        <v>50</v>
      </c>
      <c r="J11" s="38">
        <f t="shared" si="3"/>
        <v>5750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44545</v>
      </c>
      <c r="D12" s="36" t="s">
        <v>12</v>
      </c>
      <c r="E12" s="36" t="s">
        <v>152</v>
      </c>
      <c r="F12" s="80">
        <v>1980</v>
      </c>
      <c r="G12" s="80">
        <v>1957</v>
      </c>
      <c r="H12" s="80">
        <f>1980-1957</f>
        <v>23</v>
      </c>
      <c r="I12" s="80">
        <v>250</v>
      </c>
      <c r="J12" s="38">
        <f t="shared" si="3"/>
        <v>5750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44550</v>
      </c>
      <c r="D13" s="36" t="s">
        <v>19</v>
      </c>
      <c r="E13" s="36" t="s">
        <v>38</v>
      </c>
      <c r="F13" s="80">
        <v>676</v>
      </c>
      <c r="G13" s="80">
        <v>684.7</v>
      </c>
      <c r="H13" s="80">
        <f>684.7-676</f>
        <v>8.7000000000000455</v>
      </c>
      <c r="I13" s="80">
        <v>1200</v>
      </c>
      <c r="J13" s="38">
        <f t="shared" si="3"/>
        <v>10440.000000000055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8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91815.000000000058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1" r:id="rId1" xr:uid="{00000000-0004-0000-4700-000000000000}"/>
    <hyperlink ref="M1" location="'Home Page'!A1" display="Back" xr:uid="{00000000-0004-0000-4700-000001000000}"/>
  </hyperlinks>
  <pageMargins left="0" right="0" top="0" bottom="0" header="0" footer="0"/>
  <pageSetup paperSize="9" orientation="portrait" r:id="rId2"/>
  <drawing r:id="rId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22"/>
  <sheetViews>
    <sheetView zoomScale="97" zoomScaleNormal="97" workbookViewId="0">
      <selection activeCell="M1" sqref="M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44562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11</v>
      </c>
      <c r="O4" s="147">
        <f>V20</f>
        <v>10</v>
      </c>
      <c r="P4" s="147">
        <f>W20</f>
        <v>1</v>
      </c>
      <c r="Q4" s="149">
        <f>N4-O4-P4</f>
        <v>0</v>
      </c>
      <c r="R4" s="151">
        <f>O4/N4</f>
        <v>0.90909090909090906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44565</v>
      </c>
      <c r="D6" s="31" t="s">
        <v>19</v>
      </c>
      <c r="E6" s="31" t="s">
        <v>177</v>
      </c>
      <c r="F6" s="86">
        <v>650</v>
      </c>
      <c r="G6" s="86">
        <v>652.5</v>
      </c>
      <c r="H6" s="86">
        <v>2.5</v>
      </c>
      <c r="I6" s="32">
        <v>1250</v>
      </c>
      <c r="J6" s="33">
        <f>I6*H6</f>
        <v>3125</v>
      </c>
      <c r="K6" s="23"/>
      <c r="M6" s="117" t="s">
        <v>67</v>
      </c>
      <c r="N6" s="118"/>
      <c r="O6" s="119"/>
      <c r="P6" s="126">
        <f>R4</f>
        <v>0.90909090909090906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44565</v>
      </c>
      <c r="D7" s="36" t="s">
        <v>19</v>
      </c>
      <c r="E7" s="36" t="s">
        <v>56</v>
      </c>
      <c r="F7" s="80">
        <v>2445</v>
      </c>
      <c r="G7" s="80">
        <v>2477</v>
      </c>
      <c r="H7" s="80">
        <f>2477-2445</f>
        <v>32</v>
      </c>
      <c r="I7" s="37">
        <v>250</v>
      </c>
      <c r="J7" s="38">
        <f>I7*H7</f>
        <v>8000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44565</v>
      </c>
      <c r="D8" s="36" t="s">
        <v>19</v>
      </c>
      <c r="E8" s="36" t="s">
        <v>16</v>
      </c>
      <c r="F8" s="80">
        <v>17800</v>
      </c>
      <c r="G8" s="80">
        <v>17900</v>
      </c>
      <c r="H8" s="80">
        <v>100</v>
      </c>
      <c r="I8" s="37">
        <v>100</v>
      </c>
      <c r="J8" s="38">
        <f t="shared" ref="J8:J19" si="3">I8*H8</f>
        <v>10000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44565</v>
      </c>
      <c r="D9" s="36" t="s">
        <v>19</v>
      </c>
      <c r="E9" s="36" t="s">
        <v>20</v>
      </c>
      <c r="F9" s="80">
        <v>36950</v>
      </c>
      <c r="G9" s="80">
        <v>37450</v>
      </c>
      <c r="H9" s="80">
        <f>37450-36950</f>
        <v>500</v>
      </c>
      <c r="I9" s="80">
        <v>50</v>
      </c>
      <c r="J9" s="38">
        <f>I9*H9</f>
        <v>25000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44566</v>
      </c>
      <c r="D10" s="36" t="s">
        <v>19</v>
      </c>
      <c r="E10" s="36" t="s">
        <v>16</v>
      </c>
      <c r="F10" s="80">
        <v>17960</v>
      </c>
      <c r="G10" s="80">
        <v>17900</v>
      </c>
      <c r="H10" s="80">
        <v>-60</v>
      </c>
      <c r="I10" s="80">
        <v>100</v>
      </c>
      <c r="J10" s="38">
        <f t="shared" si="3"/>
        <v>-6000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91">
        <f t="shared" si="2"/>
        <v>6</v>
      </c>
      <c r="C11" s="93">
        <v>44566</v>
      </c>
      <c r="D11" s="36" t="s">
        <v>19</v>
      </c>
      <c r="E11" s="36" t="s">
        <v>178</v>
      </c>
      <c r="F11" s="80">
        <v>400</v>
      </c>
      <c r="G11" s="80">
        <v>405</v>
      </c>
      <c r="H11" s="80">
        <v>5</v>
      </c>
      <c r="I11" s="80">
        <v>1650</v>
      </c>
      <c r="J11" s="38">
        <f t="shared" si="3"/>
        <v>8250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44566</v>
      </c>
      <c r="D12" s="36" t="s">
        <v>19</v>
      </c>
      <c r="E12" s="36" t="s">
        <v>179</v>
      </c>
      <c r="F12" s="80">
        <v>7705</v>
      </c>
      <c r="G12" s="80">
        <v>7725</v>
      </c>
      <c r="H12" s="80">
        <v>20</v>
      </c>
      <c r="I12" s="80">
        <v>100</v>
      </c>
      <c r="J12" s="38">
        <f t="shared" si="3"/>
        <v>2000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44572</v>
      </c>
      <c r="D13" s="36" t="s">
        <v>19</v>
      </c>
      <c r="E13" s="36" t="s">
        <v>55</v>
      </c>
      <c r="F13" s="80">
        <v>2580</v>
      </c>
      <c r="G13" s="80">
        <v>2610</v>
      </c>
      <c r="H13" s="80">
        <f>2610-2580</f>
        <v>30</v>
      </c>
      <c r="I13" s="80">
        <v>275</v>
      </c>
      <c r="J13" s="38">
        <f t="shared" si="3"/>
        <v>8250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44572</v>
      </c>
      <c r="D14" s="36" t="s">
        <v>19</v>
      </c>
      <c r="E14" s="36" t="s">
        <v>20</v>
      </c>
      <c r="F14" s="80">
        <v>38450</v>
      </c>
      <c r="G14" s="80">
        <v>38850</v>
      </c>
      <c r="H14" s="80">
        <v>400</v>
      </c>
      <c r="I14" s="80">
        <v>100</v>
      </c>
      <c r="J14" s="38">
        <f t="shared" si="3"/>
        <v>40000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44579</v>
      </c>
      <c r="D15" s="36" t="s">
        <v>12</v>
      </c>
      <c r="E15" s="36" t="s">
        <v>180</v>
      </c>
      <c r="F15" s="80">
        <v>570</v>
      </c>
      <c r="G15" s="80">
        <v>561</v>
      </c>
      <c r="H15" s="80">
        <f>570-560</f>
        <v>10</v>
      </c>
      <c r="I15" s="80">
        <v>1500</v>
      </c>
      <c r="J15" s="38">
        <f t="shared" si="3"/>
        <v>15000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>
        <v>44579</v>
      </c>
      <c r="D16" s="36" t="s">
        <v>12</v>
      </c>
      <c r="E16" s="36" t="s">
        <v>16</v>
      </c>
      <c r="F16" s="80">
        <v>18130</v>
      </c>
      <c r="G16" s="80">
        <v>18050</v>
      </c>
      <c r="H16" s="80">
        <f>18130-18050</f>
        <v>80</v>
      </c>
      <c r="I16" s="80">
        <v>100</v>
      </c>
      <c r="J16" s="38">
        <f t="shared" si="3"/>
        <v>8000</v>
      </c>
      <c r="K16" s="23"/>
      <c r="M16" s="72"/>
      <c r="R16" s="73"/>
      <c r="V16" s="21">
        <f t="shared" si="0"/>
        <v>1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10</v>
      </c>
      <c r="W20" s="21">
        <f>SUM(W6:W19)</f>
        <v>1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121625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00000000-0004-0000-4800-000000000000}"/>
    <hyperlink ref="M1" location="'Home Page'!A1" display="Back" xr:uid="{00000000-0004-0000-4800-000001000000}"/>
  </hyperlinks>
  <pageMargins left="0" right="0" top="0" bottom="0" header="0" footer="0"/>
  <pageSetup paperSize="9" orientation="portrait" r:id="rId2"/>
  <drawing r:id="rId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22"/>
  <sheetViews>
    <sheetView zoomScale="97" zoomScaleNormal="97" workbookViewId="0">
      <selection activeCell="O11" sqref="O10:O11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44593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10</v>
      </c>
      <c r="O4" s="147">
        <f>V20</f>
        <v>10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44593</v>
      </c>
      <c r="D6" s="31" t="s">
        <v>19</v>
      </c>
      <c r="E6" s="31" t="s">
        <v>181</v>
      </c>
      <c r="F6" s="86">
        <v>4250</v>
      </c>
      <c r="G6" s="86">
        <v>4300</v>
      </c>
      <c r="H6" s="86">
        <f>4300-4250</f>
        <v>50</v>
      </c>
      <c r="I6" s="32">
        <v>225</v>
      </c>
      <c r="J6" s="33">
        <f>I6*H6</f>
        <v>11250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44594</v>
      </c>
      <c r="D7" s="36" t="s">
        <v>19</v>
      </c>
      <c r="E7" s="36" t="s">
        <v>182</v>
      </c>
      <c r="F7" s="80">
        <v>49.3</v>
      </c>
      <c r="G7" s="80">
        <v>49.8</v>
      </c>
      <c r="H7" s="80">
        <v>0.5</v>
      </c>
      <c r="I7" s="37">
        <v>11100</v>
      </c>
      <c r="J7" s="38">
        <f>I7*H7</f>
        <v>5550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0" si="2">B7+1</f>
        <v>3</v>
      </c>
      <c r="C8" s="93">
        <v>44599</v>
      </c>
      <c r="D8" s="36" t="s">
        <v>12</v>
      </c>
      <c r="E8" s="36" t="s">
        <v>38</v>
      </c>
      <c r="F8" s="80">
        <v>790</v>
      </c>
      <c r="G8" s="80">
        <v>785</v>
      </c>
      <c r="H8" s="80">
        <v>5</v>
      </c>
      <c r="I8" s="37">
        <v>1200</v>
      </c>
      <c r="J8" s="38">
        <f t="shared" ref="J8:J19" si="3">I8*H8</f>
        <v>6000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44599</v>
      </c>
      <c r="D9" s="36" t="s">
        <v>12</v>
      </c>
      <c r="E9" s="36" t="s">
        <v>183</v>
      </c>
      <c r="F9" s="80">
        <v>38000</v>
      </c>
      <c r="G9" s="80">
        <v>37500</v>
      </c>
      <c r="H9" s="80">
        <v>300</v>
      </c>
      <c r="I9" s="80">
        <v>50</v>
      </c>
      <c r="J9" s="38">
        <f>I9*H9</f>
        <v>15000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44600</v>
      </c>
      <c r="D10" s="36" t="s">
        <v>19</v>
      </c>
      <c r="E10" s="36" t="s">
        <v>183</v>
      </c>
      <c r="F10" s="80">
        <v>38100</v>
      </c>
      <c r="G10" s="80">
        <v>38600</v>
      </c>
      <c r="H10" s="80">
        <v>500</v>
      </c>
      <c r="I10" s="80">
        <v>50</v>
      </c>
      <c r="J10" s="38">
        <f t="shared" si="3"/>
        <v>25000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44600</v>
      </c>
      <c r="D11" s="36" t="s">
        <v>19</v>
      </c>
      <c r="E11" s="36" t="s">
        <v>184</v>
      </c>
      <c r="F11" s="80">
        <v>117.5</v>
      </c>
      <c r="G11" s="80">
        <v>118.9</v>
      </c>
      <c r="H11" s="80">
        <f>118.9-117.5</f>
        <v>1.4000000000000057</v>
      </c>
      <c r="I11" s="80">
        <v>11700</v>
      </c>
      <c r="J11" s="38">
        <f t="shared" si="3"/>
        <v>16380.000000000067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44606</v>
      </c>
      <c r="D12" s="36" t="s">
        <v>12</v>
      </c>
      <c r="E12" s="36" t="s">
        <v>16</v>
      </c>
      <c r="F12" s="80">
        <v>16860</v>
      </c>
      <c r="G12" s="80">
        <v>16800</v>
      </c>
      <c r="H12" s="80">
        <v>60</v>
      </c>
      <c r="I12" s="80">
        <v>100</v>
      </c>
      <c r="J12" s="38">
        <f t="shared" si="3"/>
        <v>6000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44614</v>
      </c>
      <c r="D13" s="36" t="s">
        <v>12</v>
      </c>
      <c r="E13" s="36" t="s">
        <v>16</v>
      </c>
      <c r="F13" s="80">
        <v>17100</v>
      </c>
      <c r="G13" s="80">
        <v>17058</v>
      </c>
      <c r="H13" s="80">
        <f>17100-17058</f>
        <v>42</v>
      </c>
      <c r="I13" s="80">
        <v>100</v>
      </c>
      <c r="J13" s="38">
        <f t="shared" si="3"/>
        <v>4200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44614</v>
      </c>
      <c r="D14" s="36" t="s">
        <v>19</v>
      </c>
      <c r="E14" s="36" t="s">
        <v>156</v>
      </c>
      <c r="F14" s="80">
        <v>3590</v>
      </c>
      <c r="G14" s="80">
        <v>3630</v>
      </c>
      <c r="H14" s="80">
        <f>3630-3590</f>
        <v>40</v>
      </c>
      <c r="I14" s="80">
        <v>250</v>
      </c>
      <c r="J14" s="38">
        <f t="shared" si="3"/>
        <v>10000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44614</v>
      </c>
      <c r="D15" s="36" t="s">
        <v>19</v>
      </c>
      <c r="E15" s="36" t="s">
        <v>103</v>
      </c>
      <c r="F15" s="80">
        <v>1200</v>
      </c>
      <c r="G15" s="80">
        <v>1215</v>
      </c>
      <c r="H15" s="80">
        <v>15</v>
      </c>
      <c r="I15" s="80">
        <v>500</v>
      </c>
      <c r="J15" s="38">
        <f t="shared" si="3"/>
        <v>7500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91">
        <f t="shared" si="2"/>
        <v>15</v>
      </c>
      <c r="C20" s="94"/>
      <c r="D20" s="95"/>
      <c r="E20" s="95"/>
      <c r="F20" s="96"/>
      <c r="G20" s="96"/>
      <c r="H20" s="96"/>
      <c r="I20" s="96"/>
      <c r="J20" s="97"/>
      <c r="K20" s="23"/>
      <c r="M20" s="75"/>
      <c r="N20" s="76"/>
      <c r="O20" s="76"/>
      <c r="P20" s="76"/>
      <c r="Q20" s="76"/>
      <c r="R20" s="77"/>
      <c r="V20" s="21">
        <f>SUM(V6:V19)</f>
        <v>10</v>
      </c>
      <c r="W20" s="21">
        <f>SUM(W6:W19)</f>
        <v>0</v>
      </c>
    </row>
    <row r="21" spans="1:23" ht="30" customHeight="1" thickBot="1" x14ac:dyDescent="0.5">
      <c r="A21" s="22"/>
      <c r="B21" s="135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106880.00000000007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4900-000000000000}"/>
    <hyperlink ref="M1" location="'Home Page'!A1" display="Back" xr:uid="{00000000-0004-0000-4900-000001000000}"/>
  </hyperlinks>
  <pageMargins left="0" right="0" top="0" bottom="0" header="0" footer="0"/>
  <pageSetup paperSize="9" orientation="portrait" r:id="rId2"/>
  <drawing r:id="rId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25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44621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15</v>
      </c>
      <c r="O4" s="147">
        <v>15</v>
      </c>
      <c r="P4" s="147">
        <f>W23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44627</v>
      </c>
      <c r="D6" s="31" t="s">
        <v>19</v>
      </c>
      <c r="E6" s="31" t="s">
        <v>181</v>
      </c>
      <c r="F6" s="86">
        <v>3550</v>
      </c>
      <c r="G6" s="86">
        <v>3570</v>
      </c>
      <c r="H6" s="86">
        <v>20</v>
      </c>
      <c r="I6" s="32">
        <v>225</v>
      </c>
      <c r="J6" s="33">
        <f>I6*H6</f>
        <v>4500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44627</v>
      </c>
      <c r="D7" s="36" t="s">
        <v>19</v>
      </c>
      <c r="E7" s="36" t="s">
        <v>20</v>
      </c>
      <c r="F7" s="80">
        <v>32800</v>
      </c>
      <c r="G7" s="80">
        <v>33100</v>
      </c>
      <c r="H7" s="80">
        <f>33100-32800</f>
        <v>300</v>
      </c>
      <c r="I7" s="37">
        <v>50</v>
      </c>
      <c r="J7" s="38">
        <f>I7*H7</f>
        <v>15000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44627</v>
      </c>
      <c r="D8" s="36" t="s">
        <v>19</v>
      </c>
      <c r="E8" s="36" t="s">
        <v>38</v>
      </c>
      <c r="F8" s="80">
        <v>668</v>
      </c>
      <c r="G8" s="80">
        <v>672</v>
      </c>
      <c r="H8" s="80">
        <f>672-668</f>
        <v>4</v>
      </c>
      <c r="I8" s="37">
        <v>1200</v>
      </c>
      <c r="J8" s="38">
        <f t="shared" ref="J8:J23" si="3">I8*H8</f>
        <v>4800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44628</v>
      </c>
      <c r="D9" s="36" t="s">
        <v>19</v>
      </c>
      <c r="E9" s="36" t="s">
        <v>185</v>
      </c>
      <c r="F9" s="80">
        <v>763</v>
      </c>
      <c r="G9" s="80">
        <v>790</v>
      </c>
      <c r="H9" s="80">
        <f>790-763</f>
        <v>27</v>
      </c>
      <c r="I9" s="80">
        <v>500</v>
      </c>
      <c r="J9" s="38">
        <f>I9*H9</f>
        <v>13500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44635</v>
      </c>
      <c r="D10" s="36" t="s">
        <v>19</v>
      </c>
      <c r="E10" s="36" t="s">
        <v>157</v>
      </c>
      <c r="F10" s="80">
        <v>2008</v>
      </c>
      <c r="G10" s="80">
        <v>2070</v>
      </c>
      <c r="H10" s="80">
        <f>2070-2008</f>
        <v>62</v>
      </c>
      <c r="I10" s="80">
        <v>200</v>
      </c>
      <c r="J10" s="38">
        <f t="shared" si="3"/>
        <v>12400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44635</v>
      </c>
      <c r="D11" s="36" t="s">
        <v>19</v>
      </c>
      <c r="E11" s="36" t="s">
        <v>186</v>
      </c>
      <c r="F11" s="80">
        <v>2375</v>
      </c>
      <c r="G11" s="80">
        <v>2410</v>
      </c>
      <c r="H11" s="80">
        <f>2410-2375</f>
        <v>35</v>
      </c>
      <c r="I11" s="80">
        <v>300</v>
      </c>
      <c r="J11" s="38">
        <f t="shared" si="3"/>
        <v>10500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44641</v>
      </c>
      <c r="D12" s="36" t="s">
        <v>19</v>
      </c>
      <c r="E12" s="36" t="s">
        <v>187</v>
      </c>
      <c r="F12" s="80">
        <v>1312</v>
      </c>
      <c r="G12" s="80">
        <v>1332</v>
      </c>
      <c r="H12" s="80">
        <f>1332-1312</f>
        <v>20</v>
      </c>
      <c r="I12" s="80">
        <v>425</v>
      </c>
      <c r="J12" s="38">
        <f t="shared" si="3"/>
        <v>8500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44641</v>
      </c>
      <c r="D13" s="36" t="s">
        <v>19</v>
      </c>
      <c r="E13" s="36" t="s">
        <v>188</v>
      </c>
      <c r="F13" s="80">
        <v>1245</v>
      </c>
      <c r="G13" s="80">
        <v>1230.4000000000001</v>
      </c>
      <c r="H13" s="80">
        <f>1245-1230.4</f>
        <v>14.599999999999909</v>
      </c>
      <c r="I13" s="80">
        <v>425</v>
      </c>
      <c r="J13" s="38">
        <f t="shared" si="3"/>
        <v>6204.9999999999618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44642</v>
      </c>
      <c r="D14" s="36" t="s">
        <v>19</v>
      </c>
      <c r="E14" s="36" t="s">
        <v>16</v>
      </c>
      <c r="F14" s="80">
        <v>17360</v>
      </c>
      <c r="G14" s="80">
        <v>17450</v>
      </c>
      <c r="H14" s="80">
        <f>17450-17360</f>
        <v>90</v>
      </c>
      <c r="I14" s="80">
        <v>100</v>
      </c>
      <c r="J14" s="38">
        <f t="shared" si="3"/>
        <v>9000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44643</v>
      </c>
      <c r="D15" s="36" t="s">
        <v>19</v>
      </c>
      <c r="E15" s="36" t="s">
        <v>189</v>
      </c>
      <c r="F15" s="80">
        <v>1078</v>
      </c>
      <c r="G15" s="80">
        <v>1095</v>
      </c>
      <c r="H15" s="80">
        <f>1095-1078</f>
        <v>17</v>
      </c>
      <c r="I15" s="80">
        <v>600</v>
      </c>
      <c r="J15" s="38">
        <f t="shared" si="3"/>
        <v>10200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>
        <v>44643</v>
      </c>
      <c r="D16" s="36" t="s">
        <v>12</v>
      </c>
      <c r="E16" s="36" t="s">
        <v>16</v>
      </c>
      <c r="F16" s="80">
        <v>17280</v>
      </c>
      <c r="G16" s="80">
        <v>17180</v>
      </c>
      <c r="H16" s="80">
        <v>100</v>
      </c>
      <c r="I16" s="80">
        <v>100</v>
      </c>
      <c r="J16" s="38">
        <f t="shared" si="3"/>
        <v>10000</v>
      </c>
      <c r="K16" s="23"/>
      <c r="M16" s="72"/>
      <c r="R16" s="73"/>
      <c r="V16" s="21">
        <f t="shared" si="0"/>
        <v>1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>
        <v>44643</v>
      </c>
      <c r="D17" s="36" t="s">
        <v>12</v>
      </c>
      <c r="E17" s="36" t="s">
        <v>20</v>
      </c>
      <c r="F17" s="80">
        <v>36200</v>
      </c>
      <c r="G17" s="80">
        <v>35800</v>
      </c>
      <c r="H17" s="80">
        <f>36200-35800</f>
        <v>400</v>
      </c>
      <c r="I17" s="80">
        <v>50</v>
      </c>
      <c r="J17" s="38">
        <f t="shared" si="3"/>
        <v>20000</v>
      </c>
      <c r="K17" s="23"/>
      <c r="M17" s="72"/>
      <c r="R17" s="73"/>
      <c r="V17" s="21">
        <f t="shared" si="0"/>
        <v>1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>
        <v>44644</v>
      </c>
      <c r="D18" s="36" t="s">
        <v>19</v>
      </c>
      <c r="E18" s="36" t="s">
        <v>190</v>
      </c>
      <c r="F18" s="80">
        <v>6200</v>
      </c>
      <c r="G18" s="80">
        <v>6242</v>
      </c>
      <c r="H18" s="80">
        <f>6242-6200</f>
        <v>42</v>
      </c>
      <c r="I18" s="80">
        <v>150</v>
      </c>
      <c r="J18" s="38">
        <f t="shared" si="3"/>
        <v>6300</v>
      </c>
      <c r="K18" s="23"/>
      <c r="M18" s="72"/>
      <c r="R18" s="73"/>
      <c r="V18" s="21">
        <f t="shared" si="0"/>
        <v>1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>
        <v>44648</v>
      </c>
      <c r="D19" s="36" t="s">
        <v>19</v>
      </c>
      <c r="E19" s="36" t="s">
        <v>191</v>
      </c>
      <c r="F19" s="80">
        <v>808</v>
      </c>
      <c r="G19" s="80">
        <v>831</v>
      </c>
      <c r="H19" s="80">
        <f>831-808</f>
        <v>23</v>
      </c>
      <c r="I19" s="80">
        <v>1300</v>
      </c>
      <c r="J19" s="38">
        <f t="shared" si="3"/>
        <v>29900</v>
      </c>
      <c r="K19" s="23"/>
      <c r="M19" s="72"/>
      <c r="O19" s="39"/>
      <c r="P19" s="39"/>
      <c r="Q19" s="39"/>
      <c r="R19" s="74"/>
      <c r="V19" s="21">
        <f t="shared" si="0"/>
        <v>1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>
        <v>44649</v>
      </c>
      <c r="D20" s="104" t="s">
        <v>19</v>
      </c>
      <c r="E20" s="104" t="s">
        <v>16</v>
      </c>
      <c r="F20" s="105">
        <v>17340</v>
      </c>
      <c r="G20" s="105">
        <v>17460</v>
      </c>
      <c r="H20" s="105">
        <f>17460-17340</f>
        <v>120</v>
      </c>
      <c r="I20" s="105">
        <v>100</v>
      </c>
      <c r="J20" s="38">
        <f t="shared" si="3"/>
        <v>12000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14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172804.99999999994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4" r:id="rId1" xr:uid="{00000000-0004-0000-4A00-000000000000}"/>
    <hyperlink ref="M1" location="'Home Page'!A1" display="Back" xr:uid="{00000000-0004-0000-4A00-000001000000}"/>
  </hyperlinks>
  <pageMargins left="0" right="0" top="0" bottom="0" header="0" footer="0"/>
  <pageSetup paperSize="9" orientation="portrait" r:id="rId2"/>
  <drawing r:id="rId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W25"/>
  <sheetViews>
    <sheetView zoomScale="97" zoomScaleNormal="97" workbookViewId="0">
      <selection activeCell="G20" sqref="G20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44652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10</v>
      </c>
      <c r="O4" s="147">
        <v>10</v>
      </c>
      <c r="P4" s="147">
        <f>W23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44655</v>
      </c>
      <c r="D6" s="31" t="s">
        <v>19</v>
      </c>
      <c r="E6" s="31" t="s">
        <v>16</v>
      </c>
      <c r="F6" s="86">
        <v>18100</v>
      </c>
      <c r="G6" s="86">
        <v>18150</v>
      </c>
      <c r="H6" s="86">
        <v>150</v>
      </c>
      <c r="I6" s="32">
        <v>100</v>
      </c>
      <c r="J6" s="33">
        <f>I6*H6</f>
        <v>15000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44657</v>
      </c>
      <c r="D7" s="36" t="s">
        <v>12</v>
      </c>
      <c r="E7" s="36" t="s">
        <v>20</v>
      </c>
      <c r="F7" s="80">
        <v>37800</v>
      </c>
      <c r="G7" s="80">
        <v>37400</v>
      </c>
      <c r="H7" s="80">
        <f>37800-37400</f>
        <v>400</v>
      </c>
      <c r="I7" s="37">
        <v>50</v>
      </c>
      <c r="J7" s="38">
        <f>I7*H7</f>
        <v>20000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44663</v>
      </c>
      <c r="D8" s="36" t="s">
        <v>19</v>
      </c>
      <c r="E8" s="36" t="s">
        <v>43</v>
      </c>
      <c r="F8" s="80">
        <v>180</v>
      </c>
      <c r="G8" s="80">
        <v>182</v>
      </c>
      <c r="H8" s="80">
        <v>2</v>
      </c>
      <c r="I8" s="37">
        <v>4000</v>
      </c>
      <c r="J8" s="38">
        <f t="shared" ref="J8:J23" si="3">I8*H8</f>
        <v>8000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44663</v>
      </c>
      <c r="D9" s="36" t="s">
        <v>12</v>
      </c>
      <c r="E9" s="36" t="s">
        <v>56</v>
      </c>
      <c r="F9" s="80">
        <v>2575</v>
      </c>
      <c r="G9" s="80">
        <v>2568</v>
      </c>
      <c r="H9" s="80">
        <f>2575-2568</f>
        <v>7</v>
      </c>
      <c r="I9" s="80">
        <v>250</v>
      </c>
      <c r="J9" s="38">
        <f>I9*H9</f>
        <v>1750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44663</v>
      </c>
      <c r="D10" s="36" t="s">
        <v>19</v>
      </c>
      <c r="E10" s="36" t="s">
        <v>176</v>
      </c>
      <c r="F10" s="80">
        <v>2130</v>
      </c>
      <c r="G10" s="80">
        <v>2150</v>
      </c>
      <c r="H10" s="80">
        <v>20</v>
      </c>
      <c r="I10" s="80">
        <v>275</v>
      </c>
      <c r="J10" s="38">
        <f t="shared" si="3"/>
        <v>5500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44669</v>
      </c>
      <c r="D11" s="36" t="s">
        <v>19</v>
      </c>
      <c r="E11" s="36" t="s">
        <v>38</v>
      </c>
      <c r="F11" s="80">
        <v>800</v>
      </c>
      <c r="G11" s="80">
        <v>816</v>
      </c>
      <c r="H11" s="80">
        <v>16</v>
      </c>
      <c r="I11" s="80">
        <v>1200</v>
      </c>
      <c r="J11" s="38">
        <f t="shared" si="3"/>
        <v>19200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44669</v>
      </c>
      <c r="D12" s="36" t="s">
        <v>19</v>
      </c>
      <c r="E12" s="36" t="s">
        <v>20</v>
      </c>
      <c r="F12" s="80">
        <v>36900</v>
      </c>
      <c r="G12" s="80">
        <v>37200</v>
      </c>
      <c r="H12" s="80">
        <f>37200-36900</f>
        <v>300</v>
      </c>
      <c r="I12" s="80">
        <v>50</v>
      </c>
      <c r="J12" s="38">
        <f t="shared" si="3"/>
        <v>15000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44677</v>
      </c>
      <c r="D13" s="36" t="s">
        <v>12</v>
      </c>
      <c r="E13" s="36" t="s">
        <v>38</v>
      </c>
      <c r="F13" s="80">
        <v>772</v>
      </c>
      <c r="G13" s="80">
        <v>760</v>
      </c>
      <c r="H13" s="80">
        <v>12</v>
      </c>
      <c r="I13" s="80">
        <v>1200</v>
      </c>
      <c r="J13" s="38">
        <f t="shared" si="3"/>
        <v>14400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44677</v>
      </c>
      <c r="D14" s="36" t="s">
        <v>12</v>
      </c>
      <c r="E14" s="36" t="s">
        <v>20</v>
      </c>
      <c r="F14" s="80">
        <v>36450</v>
      </c>
      <c r="G14" s="80">
        <v>36050</v>
      </c>
      <c r="H14" s="80">
        <f>36450-36050</f>
        <v>400</v>
      </c>
      <c r="I14" s="80">
        <v>50</v>
      </c>
      <c r="J14" s="38">
        <f t="shared" si="3"/>
        <v>20000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44677</v>
      </c>
      <c r="D15" s="36" t="s">
        <v>12</v>
      </c>
      <c r="E15" s="36" t="s">
        <v>20</v>
      </c>
      <c r="F15" s="80">
        <v>36450</v>
      </c>
      <c r="G15" s="80">
        <v>36050</v>
      </c>
      <c r="H15" s="80">
        <f>36450-36050</f>
        <v>400</v>
      </c>
      <c r="I15" s="80">
        <v>50</v>
      </c>
      <c r="J15" s="38">
        <f t="shared" si="3"/>
        <v>20000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10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138850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4" r:id="rId1" xr:uid="{00000000-0004-0000-4B00-000000000000}"/>
    <hyperlink ref="M1" location="'Home Page'!A1" display="Back" xr:uid="{00000000-0004-0000-4B00-000001000000}"/>
  </hyperlinks>
  <pageMargins left="0" right="0" top="0" bottom="0" header="0" footer="0"/>
  <pageSetup paperSize="9" orientation="portrait" r:id="rId2"/>
  <drawing r:id="rId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W25"/>
  <sheetViews>
    <sheetView zoomScale="97" zoomScaleNormal="97" workbookViewId="0">
      <selection activeCell="P4" sqref="P4:P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44682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9</v>
      </c>
      <c r="O4" s="147">
        <v>9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44691</v>
      </c>
      <c r="D6" s="31" t="s">
        <v>12</v>
      </c>
      <c r="E6" s="31" t="s">
        <v>56</v>
      </c>
      <c r="F6" s="86">
        <v>2500</v>
      </c>
      <c r="G6" s="86">
        <v>2460</v>
      </c>
      <c r="H6" s="86">
        <f>2500-2460</f>
        <v>40</v>
      </c>
      <c r="I6" s="32">
        <v>125</v>
      </c>
      <c r="J6" s="33">
        <f>I6*H6</f>
        <v>5000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44691</v>
      </c>
      <c r="D7" s="36" t="s">
        <v>12</v>
      </c>
      <c r="E7" s="36" t="s">
        <v>20</v>
      </c>
      <c r="F7" s="80">
        <v>34700</v>
      </c>
      <c r="G7" s="80">
        <v>34450</v>
      </c>
      <c r="H7" s="80">
        <f>34700-34450</f>
        <v>250</v>
      </c>
      <c r="I7" s="37">
        <v>50</v>
      </c>
      <c r="J7" s="38">
        <f>I7*H7</f>
        <v>12500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44697</v>
      </c>
      <c r="D8" s="36" t="s">
        <v>19</v>
      </c>
      <c r="E8" s="36" t="s">
        <v>192</v>
      </c>
      <c r="F8" s="80">
        <v>1086</v>
      </c>
      <c r="G8" s="80">
        <v>1106</v>
      </c>
      <c r="H8" s="80">
        <f>1106-1086</f>
        <v>20</v>
      </c>
      <c r="I8" s="37">
        <v>400</v>
      </c>
      <c r="J8" s="38">
        <f t="shared" ref="J8:J23" si="3">I8*H8</f>
        <v>8000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44697</v>
      </c>
      <c r="D9" s="36" t="s">
        <v>12</v>
      </c>
      <c r="E9" s="36" t="s">
        <v>193</v>
      </c>
      <c r="F9" s="80">
        <v>3000</v>
      </c>
      <c r="G9" s="80">
        <v>2975</v>
      </c>
      <c r="H9" s="80">
        <f>3000-2975</f>
        <v>25</v>
      </c>
      <c r="I9" s="80">
        <v>150</v>
      </c>
      <c r="J9" s="38">
        <f>I9*H9</f>
        <v>3750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44697</v>
      </c>
      <c r="D10" s="36" t="s">
        <v>12</v>
      </c>
      <c r="E10" s="36" t="s">
        <v>194</v>
      </c>
      <c r="F10" s="80">
        <v>562</v>
      </c>
      <c r="G10" s="80">
        <v>552</v>
      </c>
      <c r="H10" s="80">
        <v>10</v>
      </c>
      <c r="I10" s="80">
        <v>1250</v>
      </c>
      <c r="J10" s="38">
        <f t="shared" si="3"/>
        <v>12500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44698</v>
      </c>
      <c r="D11" s="36" t="s">
        <v>19</v>
      </c>
      <c r="E11" s="36" t="s">
        <v>27</v>
      </c>
      <c r="F11" s="80">
        <v>7530</v>
      </c>
      <c r="G11" s="80">
        <v>7630</v>
      </c>
      <c r="H11" s="80">
        <v>100</v>
      </c>
      <c r="I11" s="80">
        <v>100</v>
      </c>
      <c r="J11" s="38">
        <f t="shared" si="3"/>
        <v>10000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44698</v>
      </c>
      <c r="D12" s="36" t="s">
        <v>19</v>
      </c>
      <c r="E12" s="36" t="s">
        <v>195</v>
      </c>
      <c r="F12" s="80">
        <v>2180</v>
      </c>
      <c r="G12" s="80">
        <v>2210</v>
      </c>
      <c r="H12" s="80">
        <f>2210-2180</f>
        <v>30</v>
      </c>
      <c r="I12" s="80">
        <v>500</v>
      </c>
      <c r="J12" s="38">
        <f t="shared" si="3"/>
        <v>15000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44705</v>
      </c>
      <c r="D13" s="36" t="s">
        <v>19</v>
      </c>
      <c r="E13" s="36" t="s">
        <v>127</v>
      </c>
      <c r="F13" s="80">
        <v>2205</v>
      </c>
      <c r="G13" s="80">
        <v>2225</v>
      </c>
      <c r="H13" s="80">
        <v>20</v>
      </c>
      <c r="I13" s="80">
        <v>300</v>
      </c>
      <c r="J13" s="38">
        <f t="shared" si="3"/>
        <v>6000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44711</v>
      </c>
      <c r="D14" s="36" t="s">
        <v>19</v>
      </c>
      <c r="E14" s="36" t="s">
        <v>56</v>
      </c>
      <c r="F14" s="80">
        <v>2260</v>
      </c>
      <c r="G14" s="80">
        <v>2280</v>
      </c>
      <c r="H14" s="80">
        <v>20</v>
      </c>
      <c r="I14" s="80">
        <v>250</v>
      </c>
      <c r="J14" s="38">
        <f t="shared" si="3"/>
        <v>5000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9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77750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4" r:id="rId1" xr:uid="{00000000-0004-0000-4C00-000000000000}"/>
    <hyperlink ref="M1" location="'Home Page'!A1" display="Back" xr:uid="{00000000-0004-0000-4C00-000001000000}"/>
  </hyperlinks>
  <pageMargins left="0" right="0" top="0" bottom="0" header="0" footer="0"/>
  <pageSetup paperSize="9" orientation="portrait" r:id="rId2"/>
  <drawing r:id="rId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W25"/>
  <sheetViews>
    <sheetView zoomScale="97" zoomScaleNormal="97" workbookViewId="0">
      <selection activeCell="M10" sqref="M10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44713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12</v>
      </c>
      <c r="O4" s="147">
        <v>12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44713</v>
      </c>
      <c r="D6" s="31" t="s">
        <v>19</v>
      </c>
      <c r="E6" s="31" t="s">
        <v>127</v>
      </c>
      <c r="F6" s="86">
        <v>2315</v>
      </c>
      <c r="G6" s="86">
        <v>2335</v>
      </c>
      <c r="H6" s="86">
        <v>20</v>
      </c>
      <c r="I6" s="32">
        <v>300</v>
      </c>
      <c r="J6" s="33">
        <f>I6*H6</f>
        <v>6000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44714</v>
      </c>
      <c r="D7" s="36" t="s">
        <v>19</v>
      </c>
      <c r="E7" s="36" t="s">
        <v>127</v>
      </c>
      <c r="F7" s="80">
        <v>2295</v>
      </c>
      <c r="G7" s="80">
        <v>2323</v>
      </c>
      <c r="H7" s="80">
        <f>2323-2295</f>
        <v>28</v>
      </c>
      <c r="I7" s="37">
        <v>300</v>
      </c>
      <c r="J7" s="38">
        <f>I7*H7</f>
        <v>8400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44718</v>
      </c>
      <c r="D8" s="36" t="s">
        <v>12</v>
      </c>
      <c r="E8" s="36" t="s">
        <v>16</v>
      </c>
      <c r="F8" s="80">
        <v>16600</v>
      </c>
      <c r="G8" s="80">
        <v>16500</v>
      </c>
      <c r="H8" s="80">
        <v>100</v>
      </c>
      <c r="I8" s="37">
        <v>100</v>
      </c>
      <c r="J8" s="38">
        <f t="shared" ref="J8:J23" si="3">I8*H8</f>
        <v>10000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44719</v>
      </c>
      <c r="D9" s="36" t="s">
        <v>19</v>
      </c>
      <c r="E9" s="36" t="s">
        <v>121</v>
      </c>
      <c r="F9" s="80">
        <v>1850</v>
      </c>
      <c r="G9" s="80">
        <v>1882</v>
      </c>
      <c r="H9" s="80">
        <v>32</v>
      </c>
      <c r="I9" s="80">
        <v>400</v>
      </c>
      <c r="J9" s="38">
        <f>I9*H9</f>
        <v>12800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44719</v>
      </c>
      <c r="D10" s="36" t="s">
        <v>19</v>
      </c>
      <c r="E10" s="36" t="s">
        <v>196</v>
      </c>
      <c r="F10" s="80">
        <v>161.5</v>
      </c>
      <c r="G10" s="80">
        <v>165</v>
      </c>
      <c r="H10" s="80">
        <f>165-161.5</f>
        <v>3.5</v>
      </c>
      <c r="I10" s="80">
        <v>3850</v>
      </c>
      <c r="J10" s="38">
        <f t="shared" si="3"/>
        <v>13475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44720</v>
      </c>
      <c r="D11" s="36" t="s">
        <v>19</v>
      </c>
      <c r="E11" s="36" t="s">
        <v>20</v>
      </c>
      <c r="F11" s="80">
        <v>34950</v>
      </c>
      <c r="G11" s="80">
        <v>35050</v>
      </c>
      <c r="H11" s="80">
        <f>35050-34950</f>
        <v>100</v>
      </c>
      <c r="I11" s="80">
        <v>50</v>
      </c>
      <c r="J11" s="38">
        <f t="shared" si="3"/>
        <v>5000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44733</v>
      </c>
      <c r="D12" s="36" t="s">
        <v>19</v>
      </c>
      <c r="E12" s="36" t="s">
        <v>197</v>
      </c>
      <c r="F12" s="80">
        <v>985</v>
      </c>
      <c r="G12" s="80">
        <v>970</v>
      </c>
      <c r="H12" s="80">
        <v>15</v>
      </c>
      <c r="I12" s="80">
        <v>700</v>
      </c>
      <c r="J12" s="38">
        <f t="shared" si="3"/>
        <v>10500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44733</v>
      </c>
      <c r="D13" s="36" t="s">
        <v>12</v>
      </c>
      <c r="E13" s="36" t="s">
        <v>20</v>
      </c>
      <c r="F13" s="80">
        <v>33300</v>
      </c>
      <c r="G13" s="80">
        <v>32750</v>
      </c>
      <c r="H13" s="80">
        <f>33300-32750</f>
        <v>550</v>
      </c>
      <c r="I13" s="80">
        <v>50</v>
      </c>
      <c r="J13" s="38">
        <f t="shared" si="3"/>
        <v>27500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44734</v>
      </c>
      <c r="D14" s="36" t="s">
        <v>19</v>
      </c>
      <c r="E14" s="36" t="s">
        <v>132</v>
      </c>
      <c r="F14" s="80">
        <v>2520</v>
      </c>
      <c r="G14" s="80">
        <v>2600</v>
      </c>
      <c r="H14" s="80">
        <f>2600-2520</f>
        <v>80</v>
      </c>
      <c r="I14" s="80">
        <v>300</v>
      </c>
      <c r="J14" s="38">
        <f t="shared" si="3"/>
        <v>24000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44739</v>
      </c>
      <c r="D15" s="36" t="s">
        <v>19</v>
      </c>
      <c r="E15" s="36" t="s">
        <v>195</v>
      </c>
      <c r="F15" s="80">
        <v>2200</v>
      </c>
      <c r="G15" s="80">
        <v>2220</v>
      </c>
      <c r="H15" s="80">
        <v>20</v>
      </c>
      <c r="I15" s="80">
        <v>500</v>
      </c>
      <c r="J15" s="38">
        <f t="shared" si="3"/>
        <v>10000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>
        <v>44739</v>
      </c>
      <c r="D16" s="36" t="s">
        <v>19</v>
      </c>
      <c r="E16" s="36" t="s">
        <v>198</v>
      </c>
      <c r="F16" s="80">
        <v>1255</v>
      </c>
      <c r="G16" s="80">
        <v>1263</v>
      </c>
      <c r="H16" s="80">
        <f>1263-1255</f>
        <v>8</v>
      </c>
      <c r="I16" s="80">
        <v>600</v>
      </c>
      <c r="J16" s="38">
        <f t="shared" si="3"/>
        <v>4800</v>
      </c>
      <c r="K16" s="23"/>
      <c r="M16" s="72"/>
      <c r="R16" s="73"/>
      <c r="V16" s="21">
        <f t="shared" si="0"/>
        <v>1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>
        <v>44740</v>
      </c>
      <c r="D17" s="36" t="s">
        <v>19</v>
      </c>
      <c r="E17" s="36" t="s">
        <v>58</v>
      </c>
      <c r="F17" s="80">
        <v>4360</v>
      </c>
      <c r="G17" s="80">
        <v>4400</v>
      </c>
      <c r="H17" s="80">
        <f>4400-4360</f>
        <v>40</v>
      </c>
      <c r="I17" s="80">
        <v>125</v>
      </c>
      <c r="J17" s="38">
        <f t="shared" si="3"/>
        <v>5000</v>
      </c>
      <c r="K17" s="23"/>
      <c r="M17" s="72"/>
      <c r="R17" s="73"/>
      <c r="V17" s="21">
        <f t="shared" si="0"/>
        <v>1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12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137475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N2:N3"/>
    <mergeCell ref="O2:O3"/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4" r:id="rId1" xr:uid="{00000000-0004-0000-4D00-000000000000}"/>
    <hyperlink ref="M1" location="'Home Page'!A1" display="Back" xr:uid="{00000000-0004-0000-4D00-000001000000}"/>
  </hyperlinks>
  <pageMargins left="0" right="0" top="0" bottom="0" header="0" footer="0"/>
  <pageSetup paperSize="9" orientation="portrait" r:id="rId2"/>
  <drawing r:id="rId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W25"/>
  <sheetViews>
    <sheetView zoomScale="97" zoomScaleNormal="97" workbookViewId="0">
      <selection activeCell="G6" sqref="G6:G17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44743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12</v>
      </c>
      <c r="O4" s="147">
        <v>10</v>
      </c>
      <c r="P4" s="147">
        <f>W23</f>
        <v>2</v>
      </c>
      <c r="Q4" s="149">
        <v>0</v>
      </c>
      <c r="R4" s="151">
        <f>O4/N4</f>
        <v>0.83333333333333337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44746</v>
      </c>
      <c r="D6" s="31" t="s">
        <v>19</v>
      </c>
      <c r="E6" s="31" t="s">
        <v>199</v>
      </c>
      <c r="F6" s="86">
        <v>800</v>
      </c>
      <c r="G6" s="86">
        <v>815</v>
      </c>
      <c r="H6" s="86">
        <v>15</v>
      </c>
      <c r="I6" s="32">
        <v>1000</v>
      </c>
      <c r="J6" s="33">
        <f>I6*H6</f>
        <v>15000</v>
      </c>
      <c r="K6" s="23"/>
      <c r="M6" s="117" t="s">
        <v>67</v>
      </c>
      <c r="N6" s="118"/>
      <c r="O6" s="119"/>
      <c r="P6" s="126">
        <f>R4</f>
        <v>0.83333333333333337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44747</v>
      </c>
      <c r="D7" s="36" t="s">
        <v>12</v>
      </c>
      <c r="E7" s="36" t="s">
        <v>136</v>
      </c>
      <c r="F7" s="80">
        <v>2065</v>
      </c>
      <c r="G7" s="80">
        <v>2008</v>
      </c>
      <c r="H7" s="80">
        <v>57</v>
      </c>
      <c r="I7" s="37">
        <v>375</v>
      </c>
      <c r="J7" s="38">
        <f>I7*H7</f>
        <v>21375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44748</v>
      </c>
      <c r="D8" s="36" t="s">
        <v>19</v>
      </c>
      <c r="E8" s="36" t="s">
        <v>200</v>
      </c>
      <c r="F8" s="80">
        <v>966</v>
      </c>
      <c r="G8" s="80">
        <v>984</v>
      </c>
      <c r="H8" s="80">
        <f>984-966</f>
        <v>18</v>
      </c>
      <c r="I8" s="37">
        <v>700</v>
      </c>
      <c r="J8" s="38">
        <f t="shared" ref="J8:J23" si="3">I8*H8</f>
        <v>12600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44748</v>
      </c>
      <c r="D9" s="36" t="s">
        <v>12</v>
      </c>
      <c r="E9" s="36" t="s">
        <v>20</v>
      </c>
      <c r="F9" s="80">
        <v>34200</v>
      </c>
      <c r="G9" s="80">
        <v>34400</v>
      </c>
      <c r="H9" s="80">
        <v>-200</v>
      </c>
      <c r="I9" s="80">
        <v>50</v>
      </c>
      <c r="J9" s="38">
        <f>I9*H9</f>
        <v>-10000</v>
      </c>
      <c r="K9" s="23"/>
      <c r="V9" s="21">
        <f t="shared" si="0"/>
        <v>0</v>
      </c>
      <c r="W9" s="21">
        <f t="shared" si="1"/>
        <v>1</v>
      </c>
    </row>
    <row r="10" spans="1:23" x14ac:dyDescent="0.3">
      <c r="A10" s="22"/>
      <c r="B10" s="91">
        <f t="shared" si="2"/>
        <v>5</v>
      </c>
      <c r="C10" s="93">
        <v>44753</v>
      </c>
      <c r="D10" s="36" t="s">
        <v>19</v>
      </c>
      <c r="E10" s="36" t="s">
        <v>42</v>
      </c>
      <c r="F10" s="80">
        <v>229</v>
      </c>
      <c r="G10" s="80">
        <v>238</v>
      </c>
      <c r="H10" s="80">
        <f>238-229</f>
        <v>9</v>
      </c>
      <c r="I10" s="80">
        <v>1550</v>
      </c>
      <c r="J10" s="38">
        <f t="shared" si="3"/>
        <v>13950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44754</v>
      </c>
      <c r="D11" s="36" t="s">
        <v>12</v>
      </c>
      <c r="E11" s="36" t="s">
        <v>197</v>
      </c>
      <c r="F11" s="80">
        <v>922</v>
      </c>
      <c r="G11" s="80">
        <v>904</v>
      </c>
      <c r="H11" s="80">
        <f>922-904</f>
        <v>18</v>
      </c>
      <c r="I11" s="80">
        <v>700</v>
      </c>
      <c r="J11" s="38">
        <f t="shared" si="3"/>
        <v>12600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44755</v>
      </c>
      <c r="D12" s="36" t="s">
        <v>12</v>
      </c>
      <c r="E12" s="36" t="s">
        <v>16</v>
      </c>
      <c r="F12" s="80">
        <v>15990</v>
      </c>
      <c r="G12" s="80">
        <v>16040</v>
      </c>
      <c r="H12" s="80">
        <v>-50</v>
      </c>
      <c r="I12" s="80">
        <v>100</v>
      </c>
      <c r="J12" s="38">
        <f t="shared" si="3"/>
        <v>-5000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1</v>
      </c>
    </row>
    <row r="13" spans="1:23" x14ac:dyDescent="0.3">
      <c r="A13" s="22"/>
      <c r="B13" s="91">
        <f t="shared" si="2"/>
        <v>8</v>
      </c>
      <c r="C13" s="93">
        <v>44757</v>
      </c>
      <c r="D13" s="36" t="s">
        <v>19</v>
      </c>
      <c r="E13" s="36" t="s">
        <v>199</v>
      </c>
      <c r="F13" s="80">
        <v>855</v>
      </c>
      <c r="G13" s="80">
        <v>864</v>
      </c>
      <c r="H13" s="80">
        <f>864-855</f>
        <v>9</v>
      </c>
      <c r="I13" s="80">
        <v>1000</v>
      </c>
      <c r="J13" s="38">
        <f t="shared" si="3"/>
        <v>9000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44760</v>
      </c>
      <c r="D14" s="36" t="s">
        <v>19</v>
      </c>
      <c r="E14" s="36" t="s">
        <v>97</v>
      </c>
      <c r="F14" s="80">
        <v>6070</v>
      </c>
      <c r="G14" s="80">
        <v>6103</v>
      </c>
      <c r="H14" s="80">
        <f>6103-6070</f>
        <v>33</v>
      </c>
      <c r="I14" s="80">
        <v>125</v>
      </c>
      <c r="J14" s="38">
        <f t="shared" si="3"/>
        <v>4125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44761</v>
      </c>
      <c r="D15" s="36" t="s">
        <v>19</v>
      </c>
      <c r="E15" s="36" t="s">
        <v>24</v>
      </c>
      <c r="F15" s="80">
        <v>448</v>
      </c>
      <c r="G15" s="80">
        <v>460</v>
      </c>
      <c r="H15" s="80">
        <f>460-448</f>
        <v>12</v>
      </c>
      <c r="I15" s="80">
        <v>1425</v>
      </c>
      <c r="J15" s="38">
        <f t="shared" si="3"/>
        <v>17100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>
        <v>44762</v>
      </c>
      <c r="D16" s="36" t="s">
        <v>19</v>
      </c>
      <c r="E16" s="36" t="s">
        <v>201</v>
      </c>
      <c r="F16" s="80">
        <v>1405</v>
      </c>
      <c r="G16" s="80">
        <v>1433</v>
      </c>
      <c r="H16" s="80">
        <f>1433-1405</f>
        <v>28</v>
      </c>
      <c r="I16" s="80">
        <v>400</v>
      </c>
      <c r="J16" s="38">
        <f t="shared" si="3"/>
        <v>11200</v>
      </c>
      <c r="K16" s="23"/>
      <c r="M16" s="72"/>
      <c r="R16" s="73"/>
      <c r="V16" s="21">
        <f t="shared" si="0"/>
        <v>1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>
        <v>44764</v>
      </c>
      <c r="D17" s="36" t="s">
        <v>19</v>
      </c>
      <c r="E17" s="36" t="s">
        <v>116</v>
      </c>
      <c r="F17" s="80">
        <v>1500</v>
      </c>
      <c r="G17" s="80">
        <v>1530</v>
      </c>
      <c r="H17" s="80">
        <v>30</v>
      </c>
      <c r="I17" s="80">
        <v>475</v>
      </c>
      <c r="J17" s="38">
        <f t="shared" si="3"/>
        <v>14250</v>
      </c>
      <c r="K17" s="23"/>
      <c r="M17" s="72"/>
      <c r="R17" s="73"/>
      <c r="V17" s="21">
        <f t="shared" si="0"/>
        <v>1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10</v>
      </c>
      <c r="W23" s="21">
        <f>SUM(W6:W19)</f>
        <v>2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116200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4" r:id="rId1" xr:uid="{00000000-0004-0000-4E00-000000000000}"/>
    <hyperlink ref="M1" location="'Home Page'!A1" display="Back" xr:uid="{00000000-0004-0000-4E00-000001000000}"/>
  </hyperlinks>
  <pageMargins left="0" right="0" top="0" bottom="0" header="0" footer="0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5"/>
  <sheetViews>
    <sheetView workbookViewId="0">
      <selection activeCell="K2" sqref="K2"/>
    </sheetView>
  </sheetViews>
  <sheetFormatPr defaultColWidth="9.109375" defaultRowHeight="14.4" x14ac:dyDescent="0.3"/>
  <cols>
    <col min="1" max="1" width="9.109375" style="7"/>
    <col min="2" max="2" width="21" customWidth="1"/>
    <col min="3" max="3" width="18.33203125" customWidth="1"/>
    <col min="4" max="4" width="24.33203125" customWidth="1"/>
    <col min="5" max="5" width="18.44140625" customWidth="1"/>
    <col min="6" max="6" width="17.44140625" customWidth="1"/>
    <col min="7" max="7" width="17.33203125" customWidth="1"/>
    <col min="8" max="8" width="16.109375" customWidth="1"/>
    <col min="9" max="9" width="21.109375" customWidth="1"/>
    <col min="10" max="10" width="9.109375" style="7"/>
    <col min="11" max="11" width="12.109375" customWidth="1"/>
  </cols>
  <sheetData>
    <row r="1" spans="1:11" ht="15" thickBot="1" x14ac:dyDescent="0.35">
      <c r="A1" s="5"/>
      <c r="B1" s="109"/>
      <c r="C1" s="109"/>
      <c r="D1" s="109"/>
      <c r="E1" s="109"/>
      <c r="F1" s="109"/>
      <c r="G1" s="109"/>
      <c r="H1" s="109"/>
      <c r="I1" s="109"/>
      <c r="J1" s="5"/>
    </row>
    <row r="2" spans="1:11" ht="34.200000000000003" thickBot="1" x14ac:dyDescent="0.35">
      <c r="A2" s="5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5"/>
      <c r="K2" s="68" t="s">
        <v>70</v>
      </c>
    </row>
    <row r="3" spans="1:11" ht="16.2" thickBot="1" x14ac:dyDescent="0.35">
      <c r="A3" s="6"/>
      <c r="B3" s="111" t="s">
        <v>39</v>
      </c>
      <c r="C3" s="111"/>
      <c r="D3" s="111"/>
      <c r="E3" s="111"/>
      <c r="F3" s="111"/>
      <c r="G3" s="111"/>
      <c r="H3" s="111"/>
      <c r="I3" s="111"/>
      <c r="J3" s="6"/>
    </row>
    <row r="4" spans="1:11" x14ac:dyDescent="0.3">
      <c r="B4" s="1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</row>
    <row r="5" spans="1:11" ht="25.8" x14ac:dyDescent="0.5">
      <c r="B5" s="8">
        <v>42583</v>
      </c>
      <c r="C5" s="4" t="s">
        <v>15</v>
      </c>
      <c r="D5" s="4" t="s">
        <v>33</v>
      </c>
      <c r="E5" s="4">
        <v>1220</v>
      </c>
      <c r="F5" s="4">
        <v>1245</v>
      </c>
      <c r="G5" s="4">
        <v>25</v>
      </c>
      <c r="H5" s="4">
        <v>1400</v>
      </c>
      <c r="I5" s="4">
        <f>H5*G5</f>
        <v>35000</v>
      </c>
    </row>
    <row r="6" spans="1:11" ht="25.8" x14ac:dyDescent="0.5">
      <c r="B6" s="11">
        <v>42584</v>
      </c>
      <c r="C6" s="12" t="s">
        <v>19</v>
      </c>
      <c r="D6" s="4" t="s">
        <v>33</v>
      </c>
      <c r="E6" s="12">
        <v>1233</v>
      </c>
      <c r="F6" s="12">
        <v>1242</v>
      </c>
      <c r="G6" s="12">
        <v>9</v>
      </c>
      <c r="H6" s="12">
        <v>1400</v>
      </c>
      <c r="I6" s="4">
        <f t="shared" ref="I6:I17" si="0">H6*G6</f>
        <v>12600</v>
      </c>
    </row>
    <row r="7" spans="1:11" ht="25.8" x14ac:dyDescent="0.5">
      <c r="B7" s="13">
        <v>42586</v>
      </c>
      <c r="C7" s="12" t="s">
        <v>19</v>
      </c>
      <c r="D7" s="12" t="s">
        <v>33</v>
      </c>
      <c r="E7" s="12">
        <v>1235</v>
      </c>
      <c r="F7" s="12">
        <v>1257</v>
      </c>
      <c r="G7" s="12">
        <v>22</v>
      </c>
      <c r="H7" s="12">
        <v>1400</v>
      </c>
      <c r="I7" s="4">
        <f t="shared" si="0"/>
        <v>30800</v>
      </c>
    </row>
    <row r="8" spans="1:11" ht="25.8" x14ac:dyDescent="0.5">
      <c r="B8" s="9">
        <v>42591</v>
      </c>
      <c r="C8" s="4" t="s">
        <v>19</v>
      </c>
      <c r="D8" s="4" t="s">
        <v>33</v>
      </c>
      <c r="E8" s="4">
        <v>1261</v>
      </c>
      <c r="F8" s="4">
        <v>1267</v>
      </c>
      <c r="G8" s="4">
        <v>6</v>
      </c>
      <c r="H8" s="4">
        <v>1400</v>
      </c>
      <c r="I8" s="4">
        <f t="shared" si="0"/>
        <v>8400</v>
      </c>
    </row>
    <row r="9" spans="1:11" ht="25.8" x14ac:dyDescent="0.5">
      <c r="B9" s="9">
        <v>42593</v>
      </c>
      <c r="C9" s="4" t="s">
        <v>12</v>
      </c>
      <c r="D9" s="4" t="s">
        <v>33</v>
      </c>
      <c r="E9" s="4">
        <v>1257</v>
      </c>
      <c r="F9" s="4">
        <v>1267</v>
      </c>
      <c r="G9" s="4">
        <v>-10</v>
      </c>
      <c r="H9" s="4">
        <v>1400</v>
      </c>
      <c r="I9" s="4">
        <f t="shared" si="0"/>
        <v>-14000</v>
      </c>
    </row>
    <row r="10" spans="1:11" ht="25.8" x14ac:dyDescent="0.5">
      <c r="B10" s="9">
        <v>42599</v>
      </c>
      <c r="C10" s="4" t="s">
        <v>12</v>
      </c>
      <c r="D10" s="4" t="s">
        <v>33</v>
      </c>
      <c r="E10" s="4">
        <v>1308</v>
      </c>
      <c r="F10" s="4">
        <v>1316</v>
      </c>
      <c r="G10" s="4">
        <v>-8</v>
      </c>
      <c r="H10" s="4">
        <v>1400</v>
      </c>
      <c r="I10" s="4">
        <f t="shared" si="0"/>
        <v>-11200</v>
      </c>
    </row>
    <row r="11" spans="1:11" ht="25.8" x14ac:dyDescent="0.5">
      <c r="B11" s="9">
        <v>42600</v>
      </c>
      <c r="C11" s="4" t="s">
        <v>19</v>
      </c>
      <c r="D11" s="4" t="s">
        <v>16</v>
      </c>
      <c r="E11" s="4">
        <v>8670</v>
      </c>
      <c r="F11" s="4">
        <v>8700</v>
      </c>
      <c r="G11" s="4">
        <v>30</v>
      </c>
      <c r="H11" s="4">
        <v>150</v>
      </c>
      <c r="I11" s="4">
        <f t="shared" si="0"/>
        <v>4500</v>
      </c>
    </row>
    <row r="12" spans="1:11" ht="25.8" x14ac:dyDescent="0.5">
      <c r="B12" s="9">
        <v>42604</v>
      </c>
      <c r="C12" s="4" t="s">
        <v>12</v>
      </c>
      <c r="D12" s="4" t="s">
        <v>16</v>
      </c>
      <c r="E12" s="4">
        <v>8640</v>
      </c>
      <c r="F12" s="4">
        <v>8600</v>
      </c>
      <c r="G12" s="4">
        <v>40</v>
      </c>
      <c r="H12" s="4">
        <v>150</v>
      </c>
      <c r="I12" s="4">
        <f>H12*G12</f>
        <v>6000</v>
      </c>
    </row>
    <row r="13" spans="1:11" ht="25.8" x14ac:dyDescent="0.5">
      <c r="B13" s="8">
        <v>42606</v>
      </c>
      <c r="C13" s="4" t="s">
        <v>12</v>
      </c>
      <c r="D13" s="4" t="s">
        <v>16</v>
      </c>
      <c r="E13" s="4">
        <v>8670</v>
      </c>
      <c r="F13" s="4">
        <v>8600</v>
      </c>
      <c r="G13" s="4">
        <v>70</v>
      </c>
      <c r="H13" s="4">
        <v>150</v>
      </c>
      <c r="I13" s="4">
        <f t="shared" si="0"/>
        <v>10500</v>
      </c>
    </row>
    <row r="14" spans="1:11" ht="25.8" x14ac:dyDescent="0.5">
      <c r="B14" s="8">
        <v>42611</v>
      </c>
      <c r="C14" s="4" t="s">
        <v>19</v>
      </c>
      <c r="D14" s="4" t="s">
        <v>16</v>
      </c>
      <c r="E14" s="4">
        <v>8650</v>
      </c>
      <c r="F14" s="4">
        <v>8720</v>
      </c>
      <c r="G14" s="4">
        <v>70</v>
      </c>
      <c r="H14" s="4">
        <v>150</v>
      </c>
      <c r="I14" s="4">
        <f t="shared" si="0"/>
        <v>10500</v>
      </c>
    </row>
    <row r="15" spans="1:11" ht="25.8" x14ac:dyDescent="0.5">
      <c r="B15" s="9">
        <v>42612</v>
      </c>
      <c r="C15" s="4" t="s">
        <v>19</v>
      </c>
      <c r="D15" s="4" t="s">
        <v>16</v>
      </c>
      <c r="E15" s="4">
        <v>8780</v>
      </c>
      <c r="F15" s="4">
        <v>8830</v>
      </c>
      <c r="G15" s="4">
        <v>50</v>
      </c>
      <c r="H15" s="4">
        <v>150</v>
      </c>
      <c r="I15" s="4">
        <f t="shared" si="0"/>
        <v>7500</v>
      </c>
    </row>
    <row r="16" spans="1:11" ht="25.8" x14ac:dyDescent="0.5">
      <c r="B16" s="9"/>
      <c r="C16" s="4"/>
      <c r="D16" s="4"/>
      <c r="E16" s="4"/>
      <c r="F16" s="4"/>
      <c r="G16" s="4"/>
      <c r="H16" s="4"/>
      <c r="I16" s="4">
        <f t="shared" si="0"/>
        <v>0</v>
      </c>
    </row>
    <row r="17" spans="2:9" ht="25.8" x14ac:dyDescent="0.5">
      <c r="B17" s="9"/>
      <c r="C17" s="4"/>
      <c r="D17" s="4"/>
      <c r="E17" s="4"/>
      <c r="F17" s="4"/>
      <c r="G17" s="4"/>
      <c r="H17" s="4"/>
      <c r="I17" s="4">
        <f t="shared" si="0"/>
        <v>0</v>
      </c>
    </row>
    <row r="18" spans="2:9" ht="25.8" x14ac:dyDescent="0.5">
      <c r="B18" s="9"/>
      <c r="C18" s="4"/>
      <c r="D18" s="4"/>
      <c r="E18" s="4"/>
      <c r="F18" s="4"/>
      <c r="G18" s="4"/>
      <c r="H18" s="4"/>
      <c r="I18" s="10">
        <f>SUM(I5:I17)</f>
        <v>100600</v>
      </c>
    </row>
    <row r="19" spans="2:9" ht="25.8" x14ac:dyDescent="0.5">
      <c r="B19" s="9"/>
      <c r="C19" s="4"/>
      <c r="D19" s="4"/>
      <c r="E19" s="4"/>
      <c r="F19" s="4"/>
      <c r="G19" s="4"/>
      <c r="H19" s="4"/>
      <c r="I19" s="4"/>
    </row>
    <row r="20" spans="2:9" ht="25.8" x14ac:dyDescent="0.5">
      <c r="B20" s="9"/>
      <c r="C20" s="4"/>
      <c r="D20" s="4"/>
      <c r="E20" s="4"/>
      <c r="F20" s="4"/>
      <c r="G20" s="4"/>
      <c r="H20" s="4"/>
      <c r="I20" s="10"/>
    </row>
    <row r="21" spans="2:9" ht="25.8" x14ac:dyDescent="0.5">
      <c r="B21" s="9"/>
      <c r="C21" s="4"/>
      <c r="D21" s="4"/>
      <c r="E21" s="4"/>
      <c r="F21" s="4"/>
      <c r="G21" s="4"/>
      <c r="H21" s="4"/>
      <c r="I21" s="4"/>
    </row>
    <row r="22" spans="2:9" ht="25.8" x14ac:dyDescent="0.5">
      <c r="B22" s="8"/>
      <c r="C22" s="4"/>
      <c r="D22" s="4"/>
      <c r="E22" s="4"/>
      <c r="F22" s="4"/>
      <c r="G22" s="4"/>
      <c r="H22" s="4"/>
      <c r="I22" s="10"/>
    </row>
    <row r="23" spans="2:9" ht="25.8" x14ac:dyDescent="0.5">
      <c r="B23" s="8"/>
      <c r="C23" s="4"/>
      <c r="D23" s="4"/>
      <c r="E23" s="4"/>
      <c r="F23" s="4"/>
      <c r="G23" s="4"/>
      <c r="H23" s="4"/>
      <c r="I23" s="4"/>
    </row>
    <row r="24" spans="2:9" ht="25.8" x14ac:dyDescent="0.5">
      <c r="B24" s="8"/>
      <c r="C24" s="4"/>
      <c r="D24" s="4"/>
      <c r="E24" s="4"/>
      <c r="F24" s="4"/>
      <c r="G24" s="4"/>
      <c r="H24" s="4"/>
      <c r="I24" s="4"/>
    </row>
    <row r="25" spans="2:9" ht="25.8" x14ac:dyDescent="0.5">
      <c r="I25" s="10"/>
    </row>
  </sheetData>
  <mergeCells count="3">
    <mergeCell ref="B1:I1"/>
    <mergeCell ref="B2:I2"/>
    <mergeCell ref="B3:I3"/>
  </mergeCells>
  <hyperlinks>
    <hyperlink ref="K2" location="'Home Page'!A1" display="Back" xr:uid="{00000000-0004-0000-0700-000000000000}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W25"/>
  <sheetViews>
    <sheetView zoomScale="97" zoomScaleNormal="97" workbookViewId="0">
      <selection activeCell="O4" sqref="O4:O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44774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8</v>
      </c>
      <c r="O4" s="147">
        <v>8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44774</v>
      </c>
      <c r="D6" s="31" t="s">
        <v>19</v>
      </c>
      <c r="E6" s="31" t="s">
        <v>143</v>
      </c>
      <c r="F6" s="86">
        <v>2505</v>
      </c>
      <c r="G6" s="86">
        <v>2548</v>
      </c>
      <c r="H6" s="86">
        <f>2548-2505</f>
        <v>43</v>
      </c>
      <c r="I6" s="32">
        <v>250</v>
      </c>
      <c r="J6" s="33">
        <f>I6*H6</f>
        <v>10750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44774</v>
      </c>
      <c r="D7" s="36" t="s">
        <v>19</v>
      </c>
      <c r="E7" s="36" t="s">
        <v>202</v>
      </c>
      <c r="F7" s="80">
        <v>696</v>
      </c>
      <c r="G7" s="80">
        <v>704</v>
      </c>
      <c r="H7" s="80">
        <f>704-696</f>
        <v>8</v>
      </c>
      <c r="I7" s="37">
        <v>950</v>
      </c>
      <c r="J7" s="38">
        <f>I7*H7</f>
        <v>7600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44775</v>
      </c>
      <c r="D8" s="36" t="s">
        <v>19</v>
      </c>
      <c r="E8" s="36" t="s">
        <v>152</v>
      </c>
      <c r="F8" s="80">
        <v>1950</v>
      </c>
      <c r="G8" s="80">
        <v>1997</v>
      </c>
      <c r="H8" s="80">
        <v>27</v>
      </c>
      <c r="I8" s="37">
        <v>300</v>
      </c>
      <c r="J8" s="38">
        <f t="shared" ref="J8:J23" si="3">I8*H8</f>
        <v>8100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44783</v>
      </c>
      <c r="D9" s="36" t="s">
        <v>19</v>
      </c>
      <c r="E9" s="36" t="s">
        <v>203</v>
      </c>
      <c r="F9" s="80">
        <v>8900</v>
      </c>
      <c r="G9" s="80">
        <v>9019</v>
      </c>
      <c r="H9" s="80">
        <f>9019-8900</f>
        <v>119</v>
      </c>
      <c r="I9" s="80">
        <f>9019-8900</f>
        <v>119</v>
      </c>
      <c r="J9" s="38">
        <f>I9*H9</f>
        <v>14161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44790</v>
      </c>
      <c r="D10" s="36" t="s">
        <v>19</v>
      </c>
      <c r="E10" s="36" t="s">
        <v>204</v>
      </c>
      <c r="F10" s="80">
        <v>982</v>
      </c>
      <c r="G10" s="80">
        <v>986</v>
      </c>
      <c r="H10" s="80">
        <v>4</v>
      </c>
      <c r="I10" s="80">
        <f>986-982</f>
        <v>4</v>
      </c>
      <c r="J10" s="38">
        <f t="shared" si="3"/>
        <v>16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44796</v>
      </c>
      <c r="D11" s="36" t="s">
        <v>19</v>
      </c>
      <c r="E11" s="36" t="s">
        <v>17</v>
      </c>
      <c r="F11" s="80">
        <v>1270</v>
      </c>
      <c r="G11" s="80">
        <v>1282</v>
      </c>
      <c r="H11" s="80">
        <v>12</v>
      </c>
      <c r="I11" s="80">
        <v>12</v>
      </c>
      <c r="J11" s="38">
        <f t="shared" si="3"/>
        <v>144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44796</v>
      </c>
      <c r="D12" s="36" t="s">
        <v>19</v>
      </c>
      <c r="E12" s="36" t="s">
        <v>187</v>
      </c>
      <c r="F12" s="80">
        <v>107.5</v>
      </c>
      <c r="G12" s="80">
        <v>108.15</v>
      </c>
      <c r="H12" s="80">
        <f>108.15-107.5</f>
        <v>0.65000000000000568</v>
      </c>
      <c r="I12" s="80">
        <v>4250</v>
      </c>
      <c r="J12" s="38">
        <f t="shared" si="3"/>
        <v>2762.5000000000241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44802</v>
      </c>
      <c r="D13" s="36" t="s">
        <v>19</v>
      </c>
      <c r="E13" s="36" t="s">
        <v>17</v>
      </c>
      <c r="F13" s="80">
        <v>1278</v>
      </c>
      <c r="G13" s="80">
        <v>1313</v>
      </c>
      <c r="H13" s="80">
        <f>1313-1278</f>
        <v>35</v>
      </c>
      <c r="I13" s="80">
        <f>1313-1278</f>
        <v>35</v>
      </c>
      <c r="J13" s="38">
        <f t="shared" si="3"/>
        <v>1225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8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44758.500000000022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4" r:id="rId1" xr:uid="{00000000-0004-0000-4F00-000000000000}"/>
    <hyperlink ref="M1" location="'Home Page'!A1" display="Back" xr:uid="{00000000-0004-0000-4F00-000001000000}"/>
  </hyperlinks>
  <pageMargins left="0" right="0" top="0" bottom="0" header="0" footer="0"/>
  <pageSetup paperSize="9" orientation="portrait" r:id="rId2"/>
  <drawing r:id="rId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W25"/>
  <sheetViews>
    <sheetView zoomScale="97" zoomScaleNormal="97" workbookViewId="0">
      <selection activeCell="O9" sqref="O9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44805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8</v>
      </c>
      <c r="O4" s="147">
        <v>8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44809</v>
      </c>
      <c r="D6" s="31" t="s">
        <v>19</v>
      </c>
      <c r="E6" s="31" t="s">
        <v>16</v>
      </c>
      <c r="F6" s="86">
        <v>17690</v>
      </c>
      <c r="G6" s="86">
        <v>17727</v>
      </c>
      <c r="H6" s="86">
        <f>17727-17690</f>
        <v>37</v>
      </c>
      <c r="I6" s="32">
        <v>100</v>
      </c>
      <c r="J6" s="33">
        <f>I6*H6</f>
        <v>3700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44809</v>
      </c>
      <c r="D7" s="36" t="s">
        <v>19</v>
      </c>
      <c r="E7" s="36" t="s">
        <v>36</v>
      </c>
      <c r="F7" s="80">
        <v>885</v>
      </c>
      <c r="G7" s="80">
        <v>893</v>
      </c>
      <c r="H7" s="80">
        <f>893-885</f>
        <v>8</v>
      </c>
      <c r="I7" s="37">
        <v>1400</v>
      </c>
      <c r="J7" s="38">
        <f>I7*H7</f>
        <v>11200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44810</v>
      </c>
      <c r="D8" s="36" t="s">
        <v>19</v>
      </c>
      <c r="E8" s="36" t="s">
        <v>96</v>
      </c>
      <c r="F8" s="80">
        <v>4420</v>
      </c>
      <c r="G8" s="80">
        <v>4433</v>
      </c>
      <c r="H8" s="80">
        <f>4433-4420</f>
        <v>13</v>
      </c>
      <c r="I8" s="37">
        <v>250</v>
      </c>
      <c r="J8" s="38">
        <f t="shared" ref="J8:J23" si="3">I8*H8</f>
        <v>3250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44813</v>
      </c>
      <c r="D9" s="36" t="s">
        <v>19</v>
      </c>
      <c r="E9" s="36" t="s">
        <v>167</v>
      </c>
      <c r="F9" s="80">
        <v>1515</v>
      </c>
      <c r="G9" s="80">
        <v>1546</v>
      </c>
      <c r="H9" s="80">
        <f>1546-1515</f>
        <v>31</v>
      </c>
      <c r="I9" s="80">
        <v>600</v>
      </c>
      <c r="J9" s="38">
        <f>I9*H9</f>
        <v>18600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44817</v>
      </c>
      <c r="D10" s="36" t="s">
        <v>19</v>
      </c>
      <c r="E10" s="36" t="s">
        <v>16</v>
      </c>
      <c r="F10" s="80">
        <v>18080</v>
      </c>
      <c r="G10" s="80">
        <v>18000</v>
      </c>
      <c r="H10" s="80">
        <v>80</v>
      </c>
      <c r="I10" s="80">
        <v>100</v>
      </c>
      <c r="J10" s="38">
        <f t="shared" si="3"/>
        <v>8000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44817</v>
      </c>
      <c r="D11" s="36" t="s">
        <v>19</v>
      </c>
      <c r="E11" s="36" t="s">
        <v>195</v>
      </c>
      <c r="F11" s="80">
        <v>3560</v>
      </c>
      <c r="G11" s="80">
        <v>3612</v>
      </c>
      <c r="H11" s="80">
        <f>3612-3560</f>
        <v>52</v>
      </c>
      <c r="I11" s="80">
        <v>1000</v>
      </c>
      <c r="J11" s="38">
        <f t="shared" si="3"/>
        <v>52000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44824</v>
      </c>
      <c r="D12" s="36" t="s">
        <v>19</v>
      </c>
      <c r="E12" s="36" t="s">
        <v>96</v>
      </c>
      <c r="F12" s="80">
        <v>4570</v>
      </c>
      <c r="G12" s="80">
        <v>4672</v>
      </c>
      <c r="H12" s="80">
        <f>4672-4570</f>
        <v>102</v>
      </c>
      <c r="I12" s="80">
        <v>250</v>
      </c>
      <c r="J12" s="38">
        <f t="shared" si="3"/>
        <v>25500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44832</v>
      </c>
      <c r="D13" s="36" t="s">
        <v>12</v>
      </c>
      <c r="E13" s="36" t="s">
        <v>205</v>
      </c>
      <c r="F13" s="80">
        <v>1655</v>
      </c>
      <c r="G13" s="80">
        <v>1630</v>
      </c>
      <c r="H13" s="80">
        <f>1655-1630</f>
        <v>25</v>
      </c>
      <c r="I13" s="80">
        <v>1000</v>
      </c>
      <c r="J13" s="38">
        <f t="shared" si="3"/>
        <v>25000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8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147250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4" r:id="rId1" xr:uid="{00000000-0004-0000-5000-000000000000}"/>
    <hyperlink ref="M1" location="'Home Page'!A1" display="Back" xr:uid="{00000000-0004-0000-5000-000001000000}"/>
  </hyperlinks>
  <pageMargins left="0" right="0" top="0" bottom="0" header="0" footer="0"/>
  <pageSetup paperSize="9" orientation="portrait" r:id="rId2"/>
  <drawing r:id="rId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W25"/>
  <sheetViews>
    <sheetView zoomScale="97" zoomScaleNormal="97" workbookViewId="0">
      <selection activeCell="J18" sqref="J18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44835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7</v>
      </c>
      <c r="O4" s="147">
        <v>7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44838</v>
      </c>
      <c r="D6" s="31" t="s">
        <v>19</v>
      </c>
      <c r="E6" s="31" t="s">
        <v>97</v>
      </c>
      <c r="F6" s="86">
        <v>7510</v>
      </c>
      <c r="G6" s="86">
        <v>7650</v>
      </c>
      <c r="H6" s="86">
        <f>7650-7510</f>
        <v>140</v>
      </c>
      <c r="I6" s="32">
        <v>125</v>
      </c>
      <c r="J6" s="33">
        <f>I6*H6</f>
        <v>17500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44840</v>
      </c>
      <c r="D7" s="36" t="s">
        <v>12</v>
      </c>
      <c r="E7" s="36" t="s">
        <v>20</v>
      </c>
      <c r="F7" s="80">
        <v>39400</v>
      </c>
      <c r="G7" s="80">
        <v>38893</v>
      </c>
      <c r="H7" s="80">
        <f>39400-38893</f>
        <v>507</v>
      </c>
      <c r="I7" s="37">
        <v>50</v>
      </c>
      <c r="J7" s="38">
        <f>I7*H7</f>
        <v>25350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44844</v>
      </c>
      <c r="D8" s="36" t="s">
        <v>19</v>
      </c>
      <c r="E8" s="36" t="s">
        <v>31</v>
      </c>
      <c r="F8" s="80">
        <v>952</v>
      </c>
      <c r="G8" s="80">
        <v>964.45</v>
      </c>
      <c r="H8" s="80">
        <v>12.45</v>
      </c>
      <c r="I8" s="37">
        <v>700</v>
      </c>
      <c r="J8" s="38">
        <f t="shared" ref="J8:J23" si="3">I8*H8</f>
        <v>8715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44846</v>
      </c>
      <c r="D9" s="36" t="s">
        <v>19</v>
      </c>
      <c r="E9" s="36" t="s">
        <v>16</v>
      </c>
      <c r="F9" s="80">
        <v>17100</v>
      </c>
      <c r="G9" s="80">
        <v>17133</v>
      </c>
      <c r="H9" s="80">
        <v>33</v>
      </c>
      <c r="I9" s="80">
        <v>100</v>
      </c>
      <c r="J9" s="38">
        <f>I9*H9</f>
        <v>3300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44851</v>
      </c>
      <c r="D10" s="36" t="s">
        <v>19</v>
      </c>
      <c r="E10" s="36" t="s">
        <v>125</v>
      </c>
      <c r="F10" s="80">
        <v>1198</v>
      </c>
      <c r="G10" s="80">
        <v>1225</v>
      </c>
      <c r="H10" s="80">
        <f>1225-1198</f>
        <v>27</v>
      </c>
      <c r="I10" s="80">
        <v>450</v>
      </c>
      <c r="J10" s="38">
        <f t="shared" si="3"/>
        <v>12150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44852</v>
      </c>
      <c r="D11" s="36" t="s">
        <v>19</v>
      </c>
      <c r="E11" s="36" t="s">
        <v>206</v>
      </c>
      <c r="F11" s="80">
        <v>2825</v>
      </c>
      <c r="G11" s="80">
        <v>2875</v>
      </c>
      <c r="H11" s="80">
        <v>50</v>
      </c>
      <c r="I11" s="80">
        <v>275</v>
      </c>
      <c r="J11" s="38">
        <f t="shared" si="3"/>
        <v>13750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44865</v>
      </c>
      <c r="D12" s="36" t="s">
        <v>19</v>
      </c>
      <c r="E12" s="36" t="s">
        <v>137</v>
      </c>
      <c r="F12" s="80">
        <v>2400</v>
      </c>
      <c r="G12" s="80">
        <v>2430</v>
      </c>
      <c r="H12" s="80">
        <v>30</v>
      </c>
      <c r="I12" s="80">
        <v>250</v>
      </c>
      <c r="J12" s="38">
        <f t="shared" si="3"/>
        <v>7500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7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88265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4" r:id="rId1" xr:uid="{00000000-0004-0000-5100-000000000000}"/>
    <hyperlink ref="M1" location="'Home Page'!A1" display="Back" xr:uid="{00000000-0004-0000-5100-000001000000}"/>
  </hyperlinks>
  <pageMargins left="0" right="0" top="0" bottom="0" header="0" footer="0"/>
  <pageSetup paperSize="9" orientation="portrait" r:id="rId2"/>
  <drawing r:id="rId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W25"/>
  <sheetViews>
    <sheetView zoomScale="97" zoomScaleNormal="97" workbookViewId="0">
      <selection activeCell="O4" sqref="O4:O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44866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6</v>
      </c>
      <c r="O4" s="147">
        <v>4</v>
      </c>
      <c r="P4" s="147">
        <f>W23</f>
        <v>2</v>
      </c>
      <c r="Q4" s="149">
        <v>0</v>
      </c>
      <c r="R4" s="151">
        <f>O4/N4</f>
        <v>0.66666666666666663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44866</v>
      </c>
      <c r="D6" s="31" t="s">
        <v>19</v>
      </c>
      <c r="E6" s="31" t="s">
        <v>20</v>
      </c>
      <c r="F6" s="86">
        <v>41250</v>
      </c>
      <c r="G6" s="86">
        <v>41550</v>
      </c>
      <c r="H6" s="86">
        <v>300</v>
      </c>
      <c r="I6" s="32">
        <v>50</v>
      </c>
      <c r="J6" s="33">
        <f>I6*H6</f>
        <v>15000</v>
      </c>
      <c r="K6" s="23"/>
      <c r="M6" s="117" t="s">
        <v>67</v>
      </c>
      <c r="N6" s="118"/>
      <c r="O6" s="119"/>
      <c r="P6" s="126">
        <f>R4</f>
        <v>0.66666666666666663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44874</v>
      </c>
      <c r="D7" s="36" t="s">
        <v>19</v>
      </c>
      <c r="E7" s="36" t="s">
        <v>159</v>
      </c>
      <c r="F7" s="80">
        <v>140</v>
      </c>
      <c r="G7" s="80">
        <v>140.5</v>
      </c>
      <c r="H7" s="80">
        <v>0.5</v>
      </c>
      <c r="I7" s="37">
        <v>5000</v>
      </c>
      <c r="J7" s="38">
        <f>I7*H7</f>
        <v>2500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44874</v>
      </c>
      <c r="D8" s="36" t="s">
        <v>19</v>
      </c>
      <c r="E8" s="36" t="s">
        <v>20</v>
      </c>
      <c r="F8" s="80">
        <v>41950</v>
      </c>
      <c r="G8" s="80">
        <v>41700</v>
      </c>
      <c r="H8" s="80">
        <v>-250</v>
      </c>
      <c r="I8" s="37">
        <v>50</v>
      </c>
      <c r="J8" s="38">
        <f t="shared" ref="J8:J23" si="3">I8*H8</f>
        <v>-12500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1</v>
      </c>
    </row>
    <row r="9" spans="1:23" x14ac:dyDescent="0.3">
      <c r="A9" s="22"/>
      <c r="B9" s="91">
        <f>B8+1</f>
        <v>4</v>
      </c>
      <c r="C9" s="93">
        <v>44880</v>
      </c>
      <c r="D9" s="36" t="s">
        <v>19</v>
      </c>
      <c r="E9" s="36" t="s">
        <v>164</v>
      </c>
      <c r="F9" s="80">
        <v>135</v>
      </c>
      <c r="G9" s="80">
        <v>137</v>
      </c>
      <c r="H9" s="80">
        <v>2</v>
      </c>
      <c r="I9" s="80">
        <v>4000</v>
      </c>
      <c r="J9" s="38">
        <f>I9*H9</f>
        <v>8000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44883</v>
      </c>
      <c r="D10" s="36" t="s">
        <v>19</v>
      </c>
      <c r="E10" s="36" t="s">
        <v>20</v>
      </c>
      <c r="F10" s="80">
        <v>42450</v>
      </c>
      <c r="G10" s="80">
        <v>42750</v>
      </c>
      <c r="H10" s="80">
        <v>300</v>
      </c>
      <c r="I10" s="80">
        <v>50</v>
      </c>
      <c r="J10" s="38">
        <f t="shared" si="3"/>
        <v>15000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44888</v>
      </c>
      <c r="D11" s="36" t="s">
        <v>12</v>
      </c>
      <c r="E11" s="36" t="s">
        <v>16</v>
      </c>
      <c r="F11" s="80">
        <v>18300</v>
      </c>
      <c r="G11" s="80">
        <v>18360</v>
      </c>
      <c r="H11" s="80">
        <v>-60</v>
      </c>
      <c r="I11" s="80">
        <v>100</v>
      </c>
      <c r="J11" s="38">
        <f t="shared" si="3"/>
        <v>-6000</v>
      </c>
      <c r="K11" s="23"/>
      <c r="L11" s="21" t="s">
        <v>88</v>
      </c>
      <c r="V11" s="21">
        <f t="shared" si="0"/>
        <v>0</v>
      </c>
      <c r="W11" s="21">
        <f t="shared" si="1"/>
        <v>1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4</v>
      </c>
      <c r="W23" s="21">
        <f>SUM(W6:W19)</f>
        <v>2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22000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N2:N3"/>
    <mergeCell ref="O2:O3"/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4" r:id="rId1" xr:uid="{00000000-0004-0000-5200-000000000000}"/>
    <hyperlink ref="M1" location="'Home Page'!A1" display="Back" xr:uid="{00000000-0004-0000-5200-000001000000}"/>
  </hyperlinks>
  <pageMargins left="0" right="0" top="0" bottom="0" header="0" footer="0"/>
  <pageSetup paperSize="9" orientation="portrait" r:id="rId2"/>
  <drawing r:id="rId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W25"/>
  <sheetViews>
    <sheetView zoomScale="97" zoomScaleNormal="97" workbookViewId="0">
      <selection activeCell="L25" sqref="L2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44896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8</v>
      </c>
      <c r="O4" s="147">
        <v>8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44897</v>
      </c>
      <c r="D6" s="31" t="s">
        <v>19</v>
      </c>
      <c r="E6" s="31" t="s">
        <v>20</v>
      </c>
      <c r="F6" s="86">
        <v>43300</v>
      </c>
      <c r="G6" s="86">
        <v>43410</v>
      </c>
      <c r="H6" s="86">
        <f>43410-43300</f>
        <v>110</v>
      </c>
      <c r="I6" s="32">
        <v>50</v>
      </c>
      <c r="J6" s="33">
        <f>I6*H6</f>
        <v>5500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44897</v>
      </c>
      <c r="D7" s="36" t="s">
        <v>19</v>
      </c>
      <c r="E7" s="36" t="s">
        <v>207</v>
      </c>
      <c r="F7" s="80">
        <v>4290</v>
      </c>
      <c r="G7" s="80">
        <v>4330</v>
      </c>
      <c r="H7" s="80">
        <f>4330-4290</f>
        <v>40</v>
      </c>
      <c r="I7" s="37">
        <v>200</v>
      </c>
      <c r="J7" s="38">
        <f>I7*H7</f>
        <v>8000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44900</v>
      </c>
      <c r="D8" s="36" t="s">
        <v>19</v>
      </c>
      <c r="E8" s="36" t="s">
        <v>208</v>
      </c>
      <c r="F8" s="80">
        <v>806</v>
      </c>
      <c r="G8" s="80">
        <v>816</v>
      </c>
      <c r="H8" s="80">
        <v>10</v>
      </c>
      <c r="I8" s="37">
        <v>1300</v>
      </c>
      <c r="J8" s="38">
        <f t="shared" ref="J8:J23" si="3">I8*H8</f>
        <v>13000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44901</v>
      </c>
      <c r="D9" s="36" t="s">
        <v>19</v>
      </c>
      <c r="E9" s="36" t="s">
        <v>55</v>
      </c>
      <c r="F9" s="80">
        <v>905</v>
      </c>
      <c r="G9" s="80">
        <v>930</v>
      </c>
      <c r="H9" s="80">
        <f>930-905</f>
        <v>25</v>
      </c>
      <c r="I9" s="80">
        <v>275</v>
      </c>
      <c r="J9" s="38">
        <f>I9*H9</f>
        <v>6875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44902</v>
      </c>
      <c r="D10" s="36" t="s">
        <v>19</v>
      </c>
      <c r="E10" s="36" t="s">
        <v>179</v>
      </c>
      <c r="F10" s="80">
        <v>7270</v>
      </c>
      <c r="G10" s="80">
        <v>7329</v>
      </c>
      <c r="H10" s="80">
        <f>7329-7270</f>
        <v>59</v>
      </c>
      <c r="I10" s="80">
        <v>100</v>
      </c>
      <c r="J10" s="38">
        <f t="shared" si="3"/>
        <v>5900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44907</v>
      </c>
      <c r="D11" s="36" t="s">
        <v>19</v>
      </c>
      <c r="E11" s="36" t="s">
        <v>58</v>
      </c>
      <c r="F11" s="80">
        <v>4465</v>
      </c>
      <c r="G11" s="80">
        <v>4495</v>
      </c>
      <c r="H11" s="80">
        <f>4495-4465</f>
        <v>30</v>
      </c>
      <c r="I11" s="80">
        <v>125</v>
      </c>
      <c r="J11" s="38">
        <f t="shared" si="3"/>
        <v>3750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44914</v>
      </c>
      <c r="D12" s="36" t="s">
        <v>19</v>
      </c>
      <c r="E12" s="36" t="s">
        <v>209</v>
      </c>
      <c r="F12" s="80">
        <v>892</v>
      </c>
      <c r="G12" s="80">
        <v>899</v>
      </c>
      <c r="H12" s="80">
        <f>899-892</f>
        <v>7</v>
      </c>
      <c r="I12" s="80">
        <v>625</v>
      </c>
      <c r="J12" s="38">
        <f t="shared" si="3"/>
        <v>4375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44916</v>
      </c>
      <c r="D13" s="36" t="s">
        <v>12</v>
      </c>
      <c r="E13" s="36" t="s">
        <v>195</v>
      </c>
      <c r="F13" s="80">
        <v>3920</v>
      </c>
      <c r="G13" s="80">
        <v>3840</v>
      </c>
      <c r="H13" s="80">
        <v>80</v>
      </c>
      <c r="I13" s="80">
        <v>250</v>
      </c>
      <c r="J13" s="38">
        <f t="shared" si="3"/>
        <v>20000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8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67400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24" r:id="rId1" xr:uid="{00000000-0004-0000-5300-000000000000}"/>
    <hyperlink ref="M1" location="'Home Page'!A1" display="Back" xr:uid="{00000000-0004-0000-5300-000001000000}"/>
  </hyperlinks>
  <pageMargins left="0" right="0" top="0" bottom="0" header="0" footer="0"/>
  <pageSetup paperSize="9" orientation="portrait" r:id="rId2"/>
  <drawing r:id="rId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W25"/>
  <sheetViews>
    <sheetView zoomScale="97" zoomScaleNormal="97" workbookViewId="0">
      <selection activeCell="G19" sqref="G19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44927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7</v>
      </c>
      <c r="O4" s="147">
        <v>7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44930</v>
      </c>
      <c r="D6" s="31" t="s">
        <v>12</v>
      </c>
      <c r="E6" s="31" t="s">
        <v>217</v>
      </c>
      <c r="F6" s="86">
        <v>373</v>
      </c>
      <c r="G6" s="86">
        <v>370.2</v>
      </c>
      <c r="H6" s="86">
        <f>373-370.2</f>
        <v>2.8000000000000114</v>
      </c>
      <c r="I6" s="32">
        <v>1650</v>
      </c>
      <c r="J6" s="33">
        <f>I6*H6</f>
        <v>4620.0000000000191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44930</v>
      </c>
      <c r="D7" s="36" t="s">
        <v>12</v>
      </c>
      <c r="E7" s="36" t="s">
        <v>20</v>
      </c>
      <c r="F7" s="80">
        <v>43200</v>
      </c>
      <c r="G7" s="80">
        <v>42900</v>
      </c>
      <c r="H7" s="80">
        <v>300</v>
      </c>
      <c r="I7" s="37">
        <v>50</v>
      </c>
      <c r="J7" s="38">
        <f>I7*H7</f>
        <v>15000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44935</v>
      </c>
      <c r="D8" s="36" t="s">
        <v>19</v>
      </c>
      <c r="E8" s="36" t="s">
        <v>139</v>
      </c>
      <c r="F8" s="80">
        <v>1020</v>
      </c>
      <c r="G8" s="80">
        <v>1030</v>
      </c>
      <c r="H8" s="80">
        <v>10</v>
      </c>
      <c r="I8" s="37">
        <v>600</v>
      </c>
      <c r="J8" s="38">
        <f t="shared" ref="J8:J23" si="3">I8*H8</f>
        <v>6000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44942</v>
      </c>
      <c r="D9" s="36" t="s">
        <v>12</v>
      </c>
      <c r="E9" s="36" t="s">
        <v>14</v>
      </c>
      <c r="F9" s="80">
        <v>760</v>
      </c>
      <c r="G9" s="80">
        <v>746</v>
      </c>
      <c r="H9" s="80">
        <f>760-746</f>
        <v>14</v>
      </c>
      <c r="I9" s="80">
        <v>1350</v>
      </c>
      <c r="J9" s="38">
        <f>I9*H9</f>
        <v>18900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44944</v>
      </c>
      <c r="D10" s="36" t="s">
        <v>19</v>
      </c>
      <c r="E10" s="36" t="s">
        <v>20</v>
      </c>
      <c r="F10" s="80">
        <v>42500</v>
      </c>
      <c r="G10" s="80">
        <v>42550</v>
      </c>
      <c r="H10" s="80">
        <v>50</v>
      </c>
      <c r="I10" s="80">
        <v>50</v>
      </c>
      <c r="J10" s="38">
        <f t="shared" si="3"/>
        <v>2500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44956</v>
      </c>
      <c r="D11" s="36" t="s">
        <v>19</v>
      </c>
      <c r="E11" s="36" t="s">
        <v>20</v>
      </c>
      <c r="F11" s="80">
        <v>40150</v>
      </c>
      <c r="G11" s="80">
        <v>40880</v>
      </c>
      <c r="H11" s="80">
        <v>730</v>
      </c>
      <c r="I11" s="80">
        <v>50</v>
      </c>
      <c r="J11" s="38">
        <f t="shared" si="3"/>
        <v>36500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44957</v>
      </c>
      <c r="D12" s="36" t="s">
        <v>19</v>
      </c>
      <c r="E12" s="36" t="s">
        <v>20</v>
      </c>
      <c r="F12" s="80">
        <v>41000</v>
      </c>
      <c r="G12" s="80">
        <v>41800</v>
      </c>
      <c r="H12" s="80">
        <v>800</v>
      </c>
      <c r="I12" s="80">
        <v>50</v>
      </c>
      <c r="J12" s="38">
        <f t="shared" si="3"/>
        <v>40000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7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123520.00000000001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N2:N3"/>
    <mergeCell ref="O2:O3"/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4" r:id="rId1" xr:uid="{00000000-0004-0000-5400-000000000000}"/>
    <hyperlink ref="M1" location="'Home Page'!A1" display="Back" xr:uid="{00000000-0004-0000-5400-000001000000}"/>
  </hyperlinks>
  <pageMargins left="0" right="0" top="0" bottom="0" header="0" footer="0"/>
  <pageSetup paperSize="9" orientation="portrait" r:id="rId2"/>
  <drawing r:id="rId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W25"/>
  <sheetViews>
    <sheetView zoomScale="97" zoomScaleNormal="97" workbookViewId="0">
      <selection activeCell="H12" sqref="H12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44958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7</v>
      </c>
      <c r="O4" s="147">
        <f>V23</f>
        <v>7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44964</v>
      </c>
      <c r="D6" s="31" t="s">
        <v>19</v>
      </c>
      <c r="E6" s="31" t="s">
        <v>20</v>
      </c>
      <c r="F6" s="86">
        <v>41550</v>
      </c>
      <c r="G6" s="86">
        <v>41850</v>
      </c>
      <c r="H6" s="86">
        <v>300</v>
      </c>
      <c r="I6" s="32">
        <v>50</v>
      </c>
      <c r="J6" s="33">
        <f>I6*H6</f>
        <v>15000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44964</v>
      </c>
      <c r="D7" s="36" t="s">
        <v>19</v>
      </c>
      <c r="E7" s="36" t="s">
        <v>97</v>
      </c>
      <c r="F7" s="80">
        <v>6170</v>
      </c>
      <c r="G7" s="80">
        <v>6300</v>
      </c>
      <c r="H7" s="80">
        <f>6300-6170</f>
        <v>130</v>
      </c>
      <c r="I7" s="37">
        <v>50</v>
      </c>
      <c r="J7" s="38">
        <f>I7*H7</f>
        <v>6500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44965</v>
      </c>
      <c r="D8" s="36" t="s">
        <v>19</v>
      </c>
      <c r="E8" s="36" t="s">
        <v>167</v>
      </c>
      <c r="F8" s="80">
        <v>1595</v>
      </c>
      <c r="G8" s="80">
        <v>1610</v>
      </c>
      <c r="H8" s="80">
        <f>1610-1595</f>
        <v>15</v>
      </c>
      <c r="I8" s="37">
        <v>400</v>
      </c>
      <c r="J8" s="38">
        <f t="shared" ref="J8:J23" si="3">I8*H8</f>
        <v>6000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44970</v>
      </c>
      <c r="D9" s="36" t="s">
        <v>12</v>
      </c>
      <c r="E9" s="36" t="s">
        <v>172</v>
      </c>
      <c r="F9" s="80">
        <v>2670</v>
      </c>
      <c r="G9" s="80">
        <v>2640</v>
      </c>
      <c r="H9" s="80">
        <v>30</v>
      </c>
      <c r="I9" s="80">
        <v>125</v>
      </c>
      <c r="J9" s="38">
        <f>I9*H9</f>
        <v>3750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44972</v>
      </c>
      <c r="D10" s="36" t="s">
        <v>19</v>
      </c>
      <c r="E10" s="36" t="s">
        <v>144</v>
      </c>
      <c r="F10" s="80">
        <v>1180</v>
      </c>
      <c r="G10" s="80">
        <v>1184</v>
      </c>
      <c r="H10" s="80">
        <v>1</v>
      </c>
      <c r="I10" s="80">
        <v>750</v>
      </c>
      <c r="J10" s="38">
        <f t="shared" si="3"/>
        <v>750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44977</v>
      </c>
      <c r="D11" s="36" t="s">
        <v>19</v>
      </c>
      <c r="E11" s="36" t="s">
        <v>16</v>
      </c>
      <c r="F11" s="80">
        <v>17580</v>
      </c>
      <c r="G11" s="80">
        <v>17630</v>
      </c>
      <c r="H11" s="80">
        <v>50</v>
      </c>
      <c r="I11" s="80">
        <v>100</v>
      </c>
      <c r="J11" s="38">
        <f t="shared" si="3"/>
        <v>5000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44984</v>
      </c>
      <c r="D12" s="36" t="s">
        <v>19</v>
      </c>
      <c r="E12" s="36" t="s">
        <v>28</v>
      </c>
      <c r="F12" s="80">
        <v>860</v>
      </c>
      <c r="G12" s="80">
        <v>869</v>
      </c>
      <c r="H12" s="80">
        <v>9</v>
      </c>
      <c r="I12" s="80">
        <v>700</v>
      </c>
      <c r="J12" s="38">
        <f t="shared" si="3"/>
        <v>6300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7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43300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4" r:id="rId1" xr:uid="{00000000-0004-0000-5500-000000000000}"/>
    <hyperlink ref="M1" location="'Home Page'!A1" display="Back" xr:uid="{00000000-0004-0000-5500-000001000000}"/>
  </hyperlinks>
  <pageMargins left="0" right="0" top="0" bottom="0" header="0" footer="0"/>
  <pageSetup paperSize="9" orientation="portrait" r:id="rId2"/>
  <drawing r:id="rId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25"/>
  <sheetViews>
    <sheetView zoomScale="97" zoomScaleNormal="97" workbookViewId="0">
      <selection activeCell="I12" sqref="I12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44986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6</v>
      </c>
      <c r="O4" s="147">
        <f>V23</f>
        <v>5</v>
      </c>
      <c r="P4" s="147">
        <f>W23</f>
        <v>1</v>
      </c>
      <c r="Q4" s="149">
        <v>0</v>
      </c>
      <c r="R4" s="151">
        <f>O4/N4</f>
        <v>0.83333333333333337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44995</v>
      </c>
      <c r="D6" s="31" t="s">
        <v>19</v>
      </c>
      <c r="E6" s="31" t="s">
        <v>131</v>
      </c>
      <c r="F6" s="86">
        <v>986</v>
      </c>
      <c r="G6" s="86">
        <v>1006</v>
      </c>
      <c r="H6" s="86">
        <f>1006-986</f>
        <v>20</v>
      </c>
      <c r="I6" s="32">
        <v>800</v>
      </c>
      <c r="J6" s="33">
        <f>I6*H6</f>
        <v>16000</v>
      </c>
      <c r="K6" s="23"/>
      <c r="M6" s="117" t="s">
        <v>67</v>
      </c>
      <c r="N6" s="118"/>
      <c r="O6" s="119"/>
      <c r="P6" s="126">
        <f>R4</f>
        <v>0.83333333333333337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44995</v>
      </c>
      <c r="D7" s="36" t="s">
        <v>12</v>
      </c>
      <c r="E7" s="36" t="s">
        <v>218</v>
      </c>
      <c r="F7" s="80">
        <v>4730</v>
      </c>
      <c r="G7" s="80">
        <v>4650</v>
      </c>
      <c r="H7" s="80">
        <f>4730-4650</f>
        <v>80</v>
      </c>
      <c r="I7" s="37">
        <v>150</v>
      </c>
      <c r="J7" s="38">
        <f>I7*H7</f>
        <v>12000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44998</v>
      </c>
      <c r="D8" s="36" t="s">
        <v>12</v>
      </c>
      <c r="E8" s="36" t="s">
        <v>125</v>
      </c>
      <c r="F8" s="80">
        <v>1062</v>
      </c>
      <c r="G8" s="80">
        <v>1055</v>
      </c>
      <c r="H8" s="80">
        <f>1062-1055</f>
        <v>7</v>
      </c>
      <c r="I8" s="37">
        <v>450</v>
      </c>
      <c r="J8" s="38">
        <f t="shared" ref="J8:J23" si="3">I8*H8</f>
        <v>3150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44999</v>
      </c>
      <c r="D9" s="36" t="s">
        <v>12</v>
      </c>
      <c r="E9" s="36" t="s">
        <v>20</v>
      </c>
      <c r="F9" s="80">
        <v>39700</v>
      </c>
      <c r="G9" s="80">
        <v>40000</v>
      </c>
      <c r="H9" s="80">
        <v>-300</v>
      </c>
      <c r="I9" s="80">
        <v>50</v>
      </c>
      <c r="J9" s="38">
        <f>I9*H9</f>
        <v>-15000</v>
      </c>
      <c r="K9" s="23"/>
      <c r="V9" s="21">
        <f t="shared" si="0"/>
        <v>0</v>
      </c>
      <c r="W9" s="21">
        <f t="shared" si="1"/>
        <v>1</v>
      </c>
    </row>
    <row r="10" spans="1:23" x14ac:dyDescent="0.3">
      <c r="A10" s="22"/>
      <c r="B10" s="91">
        <f t="shared" si="2"/>
        <v>5</v>
      </c>
      <c r="C10" s="93">
        <v>45008</v>
      </c>
      <c r="D10" s="36" t="s">
        <v>19</v>
      </c>
      <c r="E10" s="36" t="s">
        <v>133</v>
      </c>
      <c r="F10" s="80">
        <v>2480</v>
      </c>
      <c r="G10" s="80">
        <v>2501</v>
      </c>
      <c r="H10" s="80">
        <f>2501-2480</f>
        <v>21</v>
      </c>
      <c r="I10" s="80">
        <v>300</v>
      </c>
      <c r="J10" s="38">
        <f t="shared" si="3"/>
        <v>6300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45012</v>
      </c>
      <c r="D11" s="36" t="s">
        <v>12</v>
      </c>
      <c r="E11" s="36" t="s">
        <v>195</v>
      </c>
      <c r="F11" s="80">
        <v>1730</v>
      </c>
      <c r="G11" s="80">
        <v>1690</v>
      </c>
      <c r="H11" s="80">
        <f>1730-1690</f>
        <v>40</v>
      </c>
      <c r="I11" s="80">
        <v>250</v>
      </c>
      <c r="J11" s="38">
        <f t="shared" si="3"/>
        <v>10000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5</v>
      </c>
      <c r="W23" s="21">
        <f>SUM(W6:W19)</f>
        <v>1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32450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4" r:id="rId1" xr:uid="{00000000-0004-0000-5600-000000000000}"/>
    <hyperlink ref="M1" location="'Home Page'!A1" display="Back" xr:uid="{00000000-0004-0000-5600-000001000000}"/>
  </hyperlinks>
  <pageMargins left="0" right="0" top="0" bottom="0" header="0" footer="0"/>
  <pageSetup paperSize="9" orientation="portrait" r:id="rId2"/>
  <drawing r:id="rId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W25"/>
  <sheetViews>
    <sheetView zoomScale="97" zoomScaleNormal="97" workbookViewId="0">
      <selection activeCell="L8" sqref="L8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45017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7</v>
      </c>
      <c r="O4" s="147">
        <f>V23</f>
        <v>5</v>
      </c>
      <c r="P4" s="147">
        <f>W23</f>
        <v>2</v>
      </c>
      <c r="Q4" s="149">
        <v>0</v>
      </c>
      <c r="R4" s="151">
        <f>O4/N4</f>
        <v>0.7142857142857143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45027</v>
      </c>
      <c r="D6" s="31" t="s">
        <v>19</v>
      </c>
      <c r="E6" s="31" t="s">
        <v>38</v>
      </c>
      <c r="F6" s="86">
        <v>855</v>
      </c>
      <c r="G6" s="86">
        <v>858.55</v>
      </c>
      <c r="H6" s="86">
        <v>3.5</v>
      </c>
      <c r="I6" s="32">
        <v>1200</v>
      </c>
      <c r="J6" s="33">
        <f>I6*H6</f>
        <v>4200</v>
      </c>
      <c r="K6" s="23"/>
      <c r="M6" s="117" t="s">
        <v>67</v>
      </c>
      <c r="N6" s="118"/>
      <c r="O6" s="119"/>
      <c r="P6" s="126">
        <f>R4</f>
        <v>0.7142857142857143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45028</v>
      </c>
      <c r="D7" s="36" t="s">
        <v>19</v>
      </c>
      <c r="E7" s="36" t="s">
        <v>20</v>
      </c>
      <c r="F7" s="80">
        <v>41600</v>
      </c>
      <c r="G7" s="80">
        <v>42000</v>
      </c>
      <c r="H7" s="80">
        <f>42000-41600</f>
        <v>400</v>
      </c>
      <c r="I7" s="37">
        <v>50</v>
      </c>
      <c r="J7" s="38">
        <f>I7*H7</f>
        <v>20000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45033</v>
      </c>
      <c r="D8" s="36" t="s">
        <v>19</v>
      </c>
      <c r="E8" s="36" t="s">
        <v>219</v>
      </c>
      <c r="F8" s="80">
        <v>3000</v>
      </c>
      <c r="G8" s="80">
        <v>3032</v>
      </c>
      <c r="H8" s="80">
        <v>32</v>
      </c>
      <c r="I8" s="37">
        <v>250</v>
      </c>
      <c r="J8" s="38">
        <f t="shared" ref="J8:J23" si="3">I8*H8</f>
        <v>8000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45040</v>
      </c>
      <c r="D9" s="36" t="s">
        <v>12</v>
      </c>
      <c r="E9" s="36" t="s">
        <v>16</v>
      </c>
      <c r="F9" s="80">
        <v>17750</v>
      </c>
      <c r="G9" s="80">
        <v>17820</v>
      </c>
      <c r="H9" s="80">
        <v>-70</v>
      </c>
      <c r="I9" s="80">
        <v>100</v>
      </c>
      <c r="J9" s="38">
        <f>I9*H9</f>
        <v>-7000</v>
      </c>
      <c r="K9" s="23"/>
      <c r="V9" s="21">
        <f t="shared" si="0"/>
        <v>0</v>
      </c>
      <c r="W9" s="21">
        <f t="shared" si="1"/>
        <v>1</v>
      </c>
    </row>
    <row r="10" spans="1:23" x14ac:dyDescent="0.3">
      <c r="A10" s="22"/>
      <c r="B10" s="91">
        <f t="shared" si="2"/>
        <v>5</v>
      </c>
      <c r="C10" s="93">
        <v>45040</v>
      </c>
      <c r="D10" s="36" t="s">
        <v>12</v>
      </c>
      <c r="E10" s="36" t="s">
        <v>220</v>
      </c>
      <c r="F10" s="80">
        <v>580</v>
      </c>
      <c r="G10" s="80">
        <v>576.54999999999995</v>
      </c>
      <c r="H10" s="80">
        <f>580-576.55</f>
        <v>3.4500000000000455</v>
      </c>
      <c r="I10" s="80">
        <v>975</v>
      </c>
      <c r="J10" s="38">
        <f t="shared" si="3"/>
        <v>3363.7500000000446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45042</v>
      </c>
      <c r="D11" s="36" t="s">
        <v>12</v>
      </c>
      <c r="E11" s="36" t="s">
        <v>16</v>
      </c>
      <c r="F11" s="80">
        <v>17800</v>
      </c>
      <c r="G11" s="80">
        <v>17850</v>
      </c>
      <c r="H11" s="80">
        <v>-50</v>
      </c>
      <c r="I11" s="80">
        <v>100</v>
      </c>
      <c r="J11" s="38">
        <f t="shared" si="3"/>
        <v>-5000</v>
      </c>
      <c r="K11" s="23"/>
      <c r="L11" s="21" t="s">
        <v>88</v>
      </c>
      <c r="V11" s="21">
        <f t="shared" si="0"/>
        <v>0</v>
      </c>
      <c r="W11" s="21">
        <f t="shared" si="1"/>
        <v>1</v>
      </c>
    </row>
    <row r="12" spans="1:23" ht="15" thickTop="1" x14ac:dyDescent="0.3">
      <c r="A12" s="22"/>
      <c r="B12" s="91">
        <f t="shared" si="2"/>
        <v>7</v>
      </c>
      <c r="C12" s="93">
        <v>45042</v>
      </c>
      <c r="D12" s="36" t="s">
        <v>19</v>
      </c>
      <c r="E12" s="36" t="s">
        <v>191</v>
      </c>
      <c r="F12" s="80">
        <v>577</v>
      </c>
      <c r="G12" s="80">
        <v>590</v>
      </c>
      <c r="H12" s="80">
        <f>590-577</f>
        <v>13</v>
      </c>
      <c r="I12" s="80">
        <v>1300</v>
      </c>
      <c r="J12" s="38">
        <f t="shared" si="3"/>
        <v>16900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5</v>
      </c>
      <c r="W23" s="21">
        <f>SUM(W6:W19)</f>
        <v>2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40463.750000000044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4" r:id="rId1" xr:uid="{00000000-0004-0000-5700-000000000000}"/>
    <hyperlink ref="M1" location="'Home Page'!A1" display="Back" xr:uid="{00000000-0004-0000-5700-000001000000}"/>
  </hyperlinks>
  <pageMargins left="0" right="0" top="0" bottom="0" header="0" footer="0"/>
  <pageSetup paperSize="9" orientation="portrait" r:id="rId2"/>
  <drawing r:id="rId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25"/>
  <sheetViews>
    <sheetView zoomScale="97" zoomScaleNormal="97" workbookViewId="0">
      <selection activeCell="G6" sqref="G6:G14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45047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COUNT(C6:C23)</f>
        <v>9</v>
      </c>
      <c r="O4" s="147">
        <f>V23</f>
        <v>9</v>
      </c>
      <c r="P4" s="147">
        <f>W23</f>
        <v>0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45052</v>
      </c>
      <c r="D6" s="31" t="s">
        <v>19</v>
      </c>
      <c r="E6" s="31" t="s">
        <v>176</v>
      </c>
      <c r="F6" s="86">
        <v>1515</v>
      </c>
      <c r="G6" s="86">
        <v>1540</v>
      </c>
      <c r="H6" s="86">
        <f>1540-1515</f>
        <v>25</v>
      </c>
      <c r="I6" s="32">
        <v>125</v>
      </c>
      <c r="J6" s="33">
        <f>I6*H6</f>
        <v>3125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45052</v>
      </c>
      <c r="D7" s="36" t="s">
        <v>12</v>
      </c>
      <c r="E7" s="36" t="s">
        <v>20</v>
      </c>
      <c r="F7" s="80">
        <v>42950</v>
      </c>
      <c r="G7" s="80">
        <v>42650</v>
      </c>
      <c r="H7" s="80">
        <v>300</v>
      </c>
      <c r="I7" s="37">
        <v>50</v>
      </c>
      <c r="J7" s="38">
        <f>I7*H7</f>
        <v>15000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45054</v>
      </c>
      <c r="D8" s="36" t="s">
        <v>19</v>
      </c>
      <c r="E8" s="36" t="s">
        <v>97</v>
      </c>
      <c r="F8" s="80">
        <v>6670</v>
      </c>
      <c r="G8" s="80">
        <v>6750</v>
      </c>
      <c r="H8" s="80">
        <v>80</v>
      </c>
      <c r="I8" s="37">
        <v>250</v>
      </c>
      <c r="J8" s="38">
        <f t="shared" ref="J8:J23" si="3">I8*H8</f>
        <v>20000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45056</v>
      </c>
      <c r="D9" s="36" t="s">
        <v>19</v>
      </c>
      <c r="E9" s="36" t="s">
        <v>138</v>
      </c>
      <c r="F9" s="80">
        <v>562</v>
      </c>
      <c r="G9" s="80">
        <v>567</v>
      </c>
      <c r="H9" s="80">
        <v>5</v>
      </c>
      <c r="I9" s="80">
        <v>1100</v>
      </c>
      <c r="J9" s="38">
        <f>I9*H9</f>
        <v>5500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45068</v>
      </c>
      <c r="D10" s="36" t="s">
        <v>19</v>
      </c>
      <c r="E10" s="36" t="s">
        <v>16</v>
      </c>
      <c r="F10" s="80">
        <v>18320</v>
      </c>
      <c r="G10" s="80">
        <v>18400</v>
      </c>
      <c r="H10" s="80">
        <f>18400-18320</f>
        <v>80</v>
      </c>
      <c r="I10" s="80">
        <v>100</v>
      </c>
      <c r="J10" s="38">
        <f t="shared" si="3"/>
        <v>8000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45068</v>
      </c>
      <c r="D11" s="36" t="s">
        <v>19</v>
      </c>
      <c r="E11" s="36" t="s">
        <v>206</v>
      </c>
      <c r="F11" s="80">
        <v>3400</v>
      </c>
      <c r="G11" s="80">
        <v>3432</v>
      </c>
      <c r="H11" s="80">
        <v>32</v>
      </c>
      <c r="I11" s="80">
        <v>275</v>
      </c>
      <c r="J11" s="38">
        <f t="shared" si="3"/>
        <v>8800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45070</v>
      </c>
      <c r="D12" s="36" t="s">
        <v>19</v>
      </c>
      <c r="E12" s="36" t="s">
        <v>221</v>
      </c>
      <c r="F12" s="80">
        <v>398</v>
      </c>
      <c r="G12" s="80">
        <v>401</v>
      </c>
      <c r="H12" s="80">
        <f>401-398</f>
        <v>3</v>
      </c>
      <c r="I12" s="80">
        <v>1500</v>
      </c>
      <c r="J12" s="38">
        <f t="shared" si="3"/>
        <v>4500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45075</v>
      </c>
      <c r="D13" s="36" t="s">
        <v>19</v>
      </c>
      <c r="E13" s="36" t="s">
        <v>179</v>
      </c>
      <c r="F13" s="80">
        <v>7880</v>
      </c>
      <c r="G13" s="80">
        <v>7950</v>
      </c>
      <c r="H13" s="80">
        <f>7950-7880</f>
        <v>70</v>
      </c>
      <c r="I13" s="80">
        <v>100</v>
      </c>
      <c r="J13" s="38">
        <f t="shared" si="3"/>
        <v>7000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45076</v>
      </c>
      <c r="D14" s="36" t="s">
        <v>19</v>
      </c>
      <c r="E14" s="36" t="s">
        <v>194</v>
      </c>
      <c r="F14" s="80">
        <v>503</v>
      </c>
      <c r="G14" s="80">
        <v>510</v>
      </c>
      <c r="H14" s="80">
        <v>7</v>
      </c>
      <c r="I14" s="80">
        <v>1250</v>
      </c>
      <c r="J14" s="38">
        <f t="shared" si="3"/>
        <v>8750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9</v>
      </c>
      <c r="W23" s="21">
        <f>SUM(W6:W19)</f>
        <v>0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80675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4" r:id="rId1" xr:uid="{00000000-0004-0000-5800-000000000000}"/>
    <hyperlink ref="M1" location="'Home Page'!A1" display="Back" xr:uid="{00000000-0004-0000-5800-000001000000}"/>
  </hyperlinks>
  <pageMargins left="0" right="0" top="0" bottom="0" header="0" footer="0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"/>
  <sheetViews>
    <sheetView workbookViewId="0">
      <selection activeCell="K1" sqref="K1"/>
    </sheetView>
  </sheetViews>
  <sheetFormatPr defaultColWidth="9.109375" defaultRowHeight="14.4" x14ac:dyDescent="0.3"/>
  <cols>
    <col min="2" max="2" width="23.44140625" style="16" customWidth="1"/>
    <col min="3" max="3" width="17" customWidth="1"/>
    <col min="4" max="4" width="21.88671875" customWidth="1"/>
    <col min="5" max="5" width="19" customWidth="1"/>
    <col min="6" max="6" width="15.44140625" customWidth="1"/>
    <col min="7" max="7" width="17" customWidth="1"/>
    <col min="8" max="8" width="15.33203125" customWidth="1"/>
    <col min="9" max="9" width="17.88671875" customWidth="1"/>
    <col min="10" max="10" width="9.109375" style="7"/>
    <col min="11" max="11" width="12.109375" customWidth="1"/>
  </cols>
  <sheetData>
    <row r="1" spans="1:11" ht="34.200000000000003" thickBot="1" x14ac:dyDescent="0.35">
      <c r="A1" s="5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5"/>
      <c r="K1" s="68" t="s">
        <v>70</v>
      </c>
    </row>
    <row r="2" spans="1:11" ht="16.2" thickBot="1" x14ac:dyDescent="0.35">
      <c r="A2" s="6"/>
      <c r="B2" s="111" t="s">
        <v>40</v>
      </c>
      <c r="C2" s="111"/>
      <c r="D2" s="111"/>
      <c r="E2" s="111"/>
      <c r="F2" s="111"/>
      <c r="G2" s="111"/>
      <c r="H2" s="111"/>
      <c r="I2" s="111"/>
      <c r="J2" s="5"/>
    </row>
    <row r="3" spans="1:11" x14ac:dyDescent="0.3">
      <c r="A3" s="7"/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8</v>
      </c>
      <c r="H3" s="3" t="s">
        <v>7</v>
      </c>
      <c r="I3" s="3" t="s">
        <v>9</v>
      </c>
      <c r="J3" s="6"/>
    </row>
    <row r="4" spans="1:11" ht="25.8" x14ac:dyDescent="0.5">
      <c r="A4" s="7"/>
      <c r="B4" s="9">
        <v>42614</v>
      </c>
      <c r="C4" s="4" t="s">
        <v>12</v>
      </c>
      <c r="D4" s="4" t="s">
        <v>16</v>
      </c>
      <c r="E4" s="4">
        <v>8840</v>
      </c>
      <c r="F4" s="4">
        <v>8800</v>
      </c>
      <c r="G4" s="4">
        <v>40</v>
      </c>
      <c r="H4" s="4">
        <v>150</v>
      </c>
      <c r="I4" s="4">
        <v>6000</v>
      </c>
    </row>
    <row r="5" spans="1:11" ht="25.8" x14ac:dyDescent="0.5">
      <c r="A5" s="7"/>
      <c r="B5" s="13">
        <v>42620</v>
      </c>
      <c r="C5" s="12" t="s">
        <v>12</v>
      </c>
      <c r="D5" s="4" t="s">
        <v>21</v>
      </c>
      <c r="E5" s="12">
        <v>310</v>
      </c>
      <c r="F5" s="12">
        <v>305.5</v>
      </c>
      <c r="G5" s="12">
        <v>4.5</v>
      </c>
      <c r="H5" s="12">
        <v>6000</v>
      </c>
      <c r="I5" s="4">
        <v>27000</v>
      </c>
    </row>
    <row r="6" spans="1:11" ht="25.8" x14ac:dyDescent="0.5">
      <c r="A6" s="7"/>
      <c r="B6" s="13">
        <v>42621</v>
      </c>
      <c r="C6" s="12" t="s">
        <v>19</v>
      </c>
      <c r="D6" s="12" t="s">
        <v>16</v>
      </c>
      <c r="E6" s="12">
        <v>8970</v>
      </c>
      <c r="F6" s="12">
        <v>8940</v>
      </c>
      <c r="G6" s="12">
        <v>-30</v>
      </c>
      <c r="H6" s="12">
        <v>150</v>
      </c>
      <c r="I6" s="4">
        <v>-4500</v>
      </c>
    </row>
    <row r="7" spans="1:11" ht="25.8" x14ac:dyDescent="0.5">
      <c r="A7" s="7"/>
      <c r="B7" s="9">
        <v>42625</v>
      </c>
      <c r="C7" s="4" t="s">
        <v>19</v>
      </c>
      <c r="D7" s="4" t="s">
        <v>28</v>
      </c>
      <c r="E7" s="4">
        <v>269</v>
      </c>
      <c r="F7" s="4">
        <v>274</v>
      </c>
      <c r="G7" s="4">
        <v>5</v>
      </c>
      <c r="H7" s="4">
        <v>5000</v>
      </c>
      <c r="I7" s="4">
        <v>25000</v>
      </c>
    </row>
    <row r="8" spans="1:11" ht="25.8" x14ac:dyDescent="0.5">
      <c r="A8" s="7"/>
      <c r="B8" s="9">
        <v>42627</v>
      </c>
      <c r="C8" s="4" t="s">
        <v>19</v>
      </c>
      <c r="D8" s="4" t="s">
        <v>16</v>
      </c>
      <c r="E8" s="4">
        <v>8750</v>
      </c>
      <c r="F8" s="4">
        <v>8775</v>
      </c>
      <c r="G8" s="4">
        <v>25</v>
      </c>
      <c r="H8" s="4">
        <v>150</v>
      </c>
      <c r="I8" s="4">
        <v>3750</v>
      </c>
    </row>
    <row r="9" spans="1:11" ht="28.8" x14ac:dyDescent="0.55000000000000004">
      <c r="A9" s="7"/>
      <c r="B9" s="9">
        <v>42628</v>
      </c>
      <c r="C9" s="4" t="s">
        <v>19</v>
      </c>
      <c r="D9" s="4" t="s">
        <v>21</v>
      </c>
      <c r="E9" s="4">
        <v>305</v>
      </c>
      <c r="F9" s="4">
        <v>310</v>
      </c>
      <c r="G9" s="4">
        <v>5</v>
      </c>
      <c r="H9" s="4">
        <v>6000</v>
      </c>
      <c r="I9" s="15">
        <v>30000</v>
      </c>
    </row>
    <row r="10" spans="1:11" ht="25.8" x14ac:dyDescent="0.5">
      <c r="A10" s="7"/>
      <c r="B10" s="9">
        <v>42629</v>
      </c>
      <c r="C10" s="4" t="s">
        <v>12</v>
      </c>
      <c r="D10" s="4" t="s">
        <v>28</v>
      </c>
      <c r="E10" s="4">
        <v>272</v>
      </c>
      <c r="F10" s="4">
        <v>268</v>
      </c>
      <c r="G10" s="4">
        <v>4</v>
      </c>
      <c r="H10" s="4">
        <v>5000</v>
      </c>
      <c r="I10" s="4">
        <v>20000</v>
      </c>
    </row>
    <row r="11" spans="1:11" ht="25.8" x14ac:dyDescent="0.5">
      <c r="A11" s="7"/>
      <c r="B11" s="9">
        <v>42632</v>
      </c>
      <c r="C11" s="4" t="s">
        <v>19</v>
      </c>
      <c r="D11" s="4" t="s">
        <v>21</v>
      </c>
      <c r="E11" s="4">
        <v>302</v>
      </c>
      <c r="F11" s="4">
        <v>306.5</v>
      </c>
      <c r="G11" s="4">
        <v>4.5</v>
      </c>
      <c r="H11" s="4">
        <v>6000</v>
      </c>
      <c r="I11" s="4">
        <v>27000</v>
      </c>
    </row>
    <row r="12" spans="1:11" ht="25.8" x14ac:dyDescent="0.5">
      <c r="A12" s="7"/>
      <c r="B12" s="9">
        <v>42635</v>
      </c>
      <c r="C12" s="4" t="s">
        <v>19</v>
      </c>
      <c r="D12" s="4" t="s">
        <v>21</v>
      </c>
      <c r="E12" s="4">
        <v>307</v>
      </c>
      <c r="F12" s="4">
        <v>309</v>
      </c>
      <c r="G12" s="4">
        <v>2</v>
      </c>
      <c r="H12" s="4">
        <v>6000</v>
      </c>
      <c r="I12" s="4">
        <v>12000</v>
      </c>
    </row>
    <row r="13" spans="1:11" ht="25.8" x14ac:dyDescent="0.5">
      <c r="A13" s="7"/>
      <c r="B13" s="9"/>
      <c r="C13" s="4"/>
      <c r="D13" s="4"/>
      <c r="E13" s="4"/>
      <c r="F13" s="4"/>
      <c r="G13" s="4"/>
      <c r="H13" s="4"/>
      <c r="I13" s="4"/>
    </row>
    <row r="14" spans="1:11" ht="25.8" x14ac:dyDescent="0.5">
      <c r="A14" s="7"/>
      <c r="B14" s="9"/>
      <c r="C14" s="4"/>
      <c r="D14" s="4"/>
      <c r="E14" s="4"/>
      <c r="F14" s="4"/>
      <c r="G14" s="4"/>
      <c r="H14" s="4"/>
      <c r="I14" s="4">
        <v>146250</v>
      </c>
    </row>
    <row r="15" spans="1:11" ht="25.8" x14ac:dyDescent="0.5">
      <c r="A15" s="7"/>
      <c r="B15" s="9"/>
      <c r="C15" s="4"/>
      <c r="D15" s="4"/>
      <c r="E15" s="4"/>
      <c r="F15" s="4"/>
      <c r="G15" s="4"/>
      <c r="H15" s="4"/>
      <c r="I15" s="4"/>
    </row>
    <row r="16" spans="1:11" ht="25.8" x14ac:dyDescent="0.5">
      <c r="A16" s="7"/>
      <c r="B16" s="9"/>
      <c r="C16" s="4"/>
      <c r="D16" s="4"/>
      <c r="E16" s="4"/>
      <c r="F16" s="4"/>
      <c r="G16" s="4"/>
      <c r="H16" s="4"/>
      <c r="I16" s="4"/>
    </row>
    <row r="17" spans="1:9" ht="25.8" x14ac:dyDescent="0.5">
      <c r="A17" s="7"/>
      <c r="B17" s="9"/>
      <c r="C17" s="4"/>
      <c r="D17" s="4"/>
      <c r="E17" s="4"/>
      <c r="F17" s="4"/>
      <c r="G17" s="4"/>
      <c r="H17" s="4"/>
      <c r="I17" s="10"/>
    </row>
  </sheetData>
  <mergeCells count="2">
    <mergeCell ref="B1:I1"/>
    <mergeCell ref="B2:I2"/>
  </mergeCells>
  <hyperlinks>
    <hyperlink ref="K1" location="'Home Page'!A1" display="Back" xr:uid="{00000000-0004-0000-0800-000000000000}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W25"/>
  <sheetViews>
    <sheetView zoomScale="97" zoomScaleNormal="97" workbookViewId="0">
      <selection activeCell="G6" sqref="G6:G16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45078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v>11</v>
      </c>
      <c r="O4" s="147">
        <v>9</v>
      </c>
      <c r="P4" s="147">
        <f>W23</f>
        <v>2</v>
      </c>
      <c r="Q4" s="149">
        <v>0</v>
      </c>
      <c r="R4" s="151">
        <f>O4/N4</f>
        <v>0.81818181818181823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45084</v>
      </c>
      <c r="D6" s="31" t="s">
        <v>19</v>
      </c>
      <c r="E6" s="31" t="s">
        <v>222</v>
      </c>
      <c r="F6" s="86">
        <v>188</v>
      </c>
      <c r="G6" s="86">
        <v>190</v>
      </c>
      <c r="H6" s="86">
        <f>190-188</f>
        <v>2</v>
      </c>
      <c r="I6" s="32">
        <v>5850</v>
      </c>
      <c r="J6" s="33">
        <f>I6*H6</f>
        <v>11700</v>
      </c>
      <c r="K6" s="23"/>
      <c r="M6" s="117" t="s">
        <v>67</v>
      </c>
      <c r="N6" s="118"/>
      <c r="O6" s="119"/>
      <c r="P6" s="126">
        <f>R4</f>
        <v>0.81818181818181823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45084</v>
      </c>
      <c r="D7" s="36" t="s">
        <v>19</v>
      </c>
      <c r="E7" s="36" t="s">
        <v>14</v>
      </c>
      <c r="F7" s="80">
        <v>732</v>
      </c>
      <c r="G7" s="80">
        <v>752</v>
      </c>
      <c r="H7" s="80">
        <v>20</v>
      </c>
      <c r="I7" s="37">
        <v>1350</v>
      </c>
      <c r="J7" s="38">
        <f>I7*H7</f>
        <v>27000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45085</v>
      </c>
      <c r="D8" s="36" t="s">
        <v>19</v>
      </c>
      <c r="E8" s="36" t="s">
        <v>223</v>
      </c>
      <c r="F8" s="80">
        <v>3720</v>
      </c>
      <c r="G8" s="80">
        <v>3774</v>
      </c>
      <c r="H8" s="80">
        <f>3774-3720</f>
        <v>54</v>
      </c>
      <c r="I8" s="37">
        <v>300</v>
      </c>
      <c r="J8" s="38">
        <f t="shared" ref="J8:J23" si="3">I8*H8</f>
        <v>16200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45089</v>
      </c>
      <c r="D9" s="36" t="s">
        <v>19</v>
      </c>
      <c r="E9" s="36" t="s">
        <v>16</v>
      </c>
      <c r="F9" s="80">
        <v>18680</v>
      </c>
      <c r="G9" s="80">
        <v>18760</v>
      </c>
      <c r="H9" s="80">
        <f>18860-18760</f>
        <v>100</v>
      </c>
      <c r="I9" s="80">
        <v>100</v>
      </c>
      <c r="J9" s="38">
        <f>I9*H9</f>
        <v>10000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45090</v>
      </c>
      <c r="D10" s="36" t="s">
        <v>19</v>
      </c>
      <c r="E10" s="36" t="s">
        <v>224</v>
      </c>
      <c r="F10" s="80">
        <v>44150</v>
      </c>
      <c r="G10" s="80">
        <v>44300</v>
      </c>
      <c r="H10" s="80">
        <v>150</v>
      </c>
      <c r="I10" s="80">
        <v>50</v>
      </c>
      <c r="J10" s="38">
        <f t="shared" si="3"/>
        <v>7500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45090</v>
      </c>
      <c r="D11" s="36" t="s">
        <v>19</v>
      </c>
      <c r="E11" s="36" t="s">
        <v>223</v>
      </c>
      <c r="F11" s="80">
        <v>3650</v>
      </c>
      <c r="G11" s="80">
        <v>3710</v>
      </c>
      <c r="H11" s="80">
        <f>3710-3650</f>
        <v>60</v>
      </c>
      <c r="I11" s="80">
        <v>300</v>
      </c>
      <c r="J11" s="38">
        <f t="shared" si="3"/>
        <v>18000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45096</v>
      </c>
      <c r="D12" s="36" t="s">
        <v>19</v>
      </c>
      <c r="E12" s="36" t="s">
        <v>16</v>
      </c>
      <c r="F12" s="80">
        <v>18840</v>
      </c>
      <c r="G12" s="80">
        <v>18790</v>
      </c>
      <c r="H12" s="80">
        <v>-50</v>
      </c>
      <c r="I12" s="80">
        <v>100</v>
      </c>
      <c r="J12" s="38">
        <f t="shared" si="3"/>
        <v>-5000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1</v>
      </c>
    </row>
    <row r="13" spans="1:23" x14ac:dyDescent="0.3">
      <c r="A13" s="22"/>
      <c r="B13" s="91">
        <f t="shared" si="2"/>
        <v>8</v>
      </c>
      <c r="C13" s="93">
        <v>45096</v>
      </c>
      <c r="D13" s="36" t="s">
        <v>19</v>
      </c>
      <c r="E13" s="36" t="s">
        <v>223</v>
      </c>
      <c r="F13" s="80">
        <v>3905</v>
      </c>
      <c r="G13" s="80">
        <v>3865</v>
      </c>
      <c r="H13" s="80">
        <v>-40</v>
      </c>
      <c r="I13" s="80">
        <v>300</v>
      </c>
      <c r="J13" s="38">
        <f t="shared" si="3"/>
        <v>-12000</v>
      </c>
      <c r="K13" s="23"/>
      <c r="M13" s="72"/>
      <c r="R13" s="73"/>
      <c r="V13" s="21">
        <f t="shared" si="0"/>
        <v>0</v>
      </c>
      <c r="W13" s="21">
        <f t="shared" si="1"/>
        <v>1</v>
      </c>
    </row>
    <row r="14" spans="1:23" x14ac:dyDescent="0.3">
      <c r="A14" s="22"/>
      <c r="B14" s="91">
        <f t="shared" si="2"/>
        <v>9</v>
      </c>
      <c r="C14" s="93">
        <v>45097</v>
      </c>
      <c r="D14" s="36" t="s">
        <v>19</v>
      </c>
      <c r="E14" s="36" t="s">
        <v>223</v>
      </c>
      <c r="F14" s="80">
        <v>3860</v>
      </c>
      <c r="G14" s="80">
        <v>3890</v>
      </c>
      <c r="H14" s="80">
        <v>30</v>
      </c>
      <c r="I14" s="80">
        <v>300</v>
      </c>
      <c r="J14" s="38">
        <f t="shared" si="3"/>
        <v>9000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45099</v>
      </c>
      <c r="D15" s="36" t="s">
        <v>19</v>
      </c>
      <c r="E15" s="36" t="s">
        <v>202</v>
      </c>
      <c r="F15" s="80">
        <v>840</v>
      </c>
      <c r="G15" s="80">
        <v>854</v>
      </c>
      <c r="H15" s="80">
        <v>14</v>
      </c>
      <c r="I15" s="80">
        <v>950</v>
      </c>
      <c r="J15" s="38">
        <f t="shared" si="3"/>
        <v>13300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>
        <v>45104</v>
      </c>
      <c r="D16" s="36" t="s">
        <v>19</v>
      </c>
      <c r="E16" s="36" t="s">
        <v>225</v>
      </c>
      <c r="F16" s="80">
        <v>2160</v>
      </c>
      <c r="G16" s="80">
        <v>2200</v>
      </c>
      <c r="H16" s="80">
        <f>2200-2160</f>
        <v>40</v>
      </c>
      <c r="I16" s="80">
        <v>300</v>
      </c>
      <c r="J16" s="38">
        <f t="shared" si="3"/>
        <v>12000</v>
      </c>
      <c r="K16" s="23"/>
      <c r="M16" s="72"/>
      <c r="R16" s="73"/>
      <c r="V16" s="21">
        <f t="shared" si="0"/>
        <v>1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9</v>
      </c>
      <c r="W23" s="21">
        <f>SUM(W6:W19)</f>
        <v>2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107700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</sheetData>
  <mergeCells count="18">
    <mergeCell ref="N2:N3"/>
    <mergeCell ref="O2:O3"/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4" r:id="rId1" xr:uid="{00000000-0004-0000-5900-000000000000}"/>
    <hyperlink ref="M1" location="'Home Page'!A1" display="Back" xr:uid="{00000000-0004-0000-5900-000001000000}"/>
  </hyperlinks>
  <pageMargins left="0" right="0" top="0" bottom="0" header="0" footer="0"/>
  <pageSetup paperSize="9" orientation="portrait" r:id="rId2"/>
  <drawing r:id="rId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W29"/>
  <sheetViews>
    <sheetView zoomScale="97" zoomScaleNormal="97" workbookViewId="0">
      <selection activeCell="C15" sqref="C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45108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v>10</v>
      </c>
      <c r="O4" s="147">
        <v>8</v>
      </c>
      <c r="P4" s="147">
        <f>W23</f>
        <v>2</v>
      </c>
      <c r="Q4" s="149">
        <v>0</v>
      </c>
      <c r="R4" s="151">
        <f>O4/N4</f>
        <v>0.8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45110</v>
      </c>
      <c r="D6" s="31" t="s">
        <v>19</v>
      </c>
      <c r="E6" s="31" t="s">
        <v>226</v>
      </c>
      <c r="F6" s="86">
        <v>7300</v>
      </c>
      <c r="G6" s="86">
        <v>7850</v>
      </c>
      <c r="H6" s="86">
        <f>7850-7300</f>
        <v>550</v>
      </c>
      <c r="I6" s="32">
        <v>125</v>
      </c>
      <c r="J6" s="33">
        <f>I6*H6</f>
        <v>68750</v>
      </c>
      <c r="K6" s="23"/>
      <c r="M6" s="117" t="s">
        <v>67</v>
      </c>
      <c r="N6" s="118"/>
      <c r="O6" s="119"/>
      <c r="P6" s="126">
        <f>R4</f>
        <v>0.8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45111</v>
      </c>
      <c r="D7" s="36" t="s">
        <v>19</v>
      </c>
      <c r="E7" s="36" t="s">
        <v>20</v>
      </c>
      <c r="F7" s="80">
        <v>45400</v>
      </c>
      <c r="G7" s="80">
        <v>45200</v>
      </c>
      <c r="H7" s="80">
        <v>-200</v>
      </c>
      <c r="I7" s="37">
        <v>50</v>
      </c>
      <c r="J7" s="38">
        <f>I7*H7</f>
        <v>-10000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0</v>
      </c>
      <c r="W7" s="21">
        <f t="shared" ref="W7:W19" si="1">IF($J7&lt;0,1,0)</f>
        <v>1</v>
      </c>
    </row>
    <row r="8" spans="1:23" ht="15" thickBot="1" x14ac:dyDescent="0.35">
      <c r="A8" s="22"/>
      <c r="B8" s="91">
        <f t="shared" ref="B8:B23" si="2">B7+1</f>
        <v>3</v>
      </c>
      <c r="C8" s="93">
        <v>45112</v>
      </c>
      <c r="D8" s="36" t="s">
        <v>19</v>
      </c>
      <c r="E8" s="36" t="s">
        <v>132</v>
      </c>
      <c r="F8" s="80">
        <v>3130</v>
      </c>
      <c r="G8" s="80">
        <v>3100</v>
      </c>
      <c r="H8" s="80">
        <v>-30</v>
      </c>
      <c r="I8" s="37">
        <v>300</v>
      </c>
      <c r="J8" s="38">
        <f t="shared" ref="J8:J23" si="3">I8*H8</f>
        <v>-9000</v>
      </c>
      <c r="K8" s="23"/>
      <c r="M8" s="123"/>
      <c r="N8" s="124"/>
      <c r="O8" s="125"/>
      <c r="P8" s="132"/>
      <c r="Q8" s="133"/>
      <c r="R8" s="134"/>
      <c r="V8" s="21">
        <f t="shared" si="0"/>
        <v>0</v>
      </c>
      <c r="W8" s="21">
        <f t="shared" si="1"/>
        <v>1</v>
      </c>
    </row>
    <row r="9" spans="1:23" x14ac:dyDescent="0.3">
      <c r="A9" s="22"/>
      <c r="B9" s="91">
        <f>B8+1</f>
        <v>4</v>
      </c>
      <c r="C9" s="93">
        <v>45112</v>
      </c>
      <c r="D9" s="36" t="s">
        <v>19</v>
      </c>
      <c r="E9" s="36" t="s">
        <v>16</v>
      </c>
      <c r="F9" s="80">
        <v>19460</v>
      </c>
      <c r="G9" s="80">
        <v>19520</v>
      </c>
      <c r="H9" s="80">
        <f>19520-19460</f>
        <v>60</v>
      </c>
      <c r="I9" s="80">
        <v>100</v>
      </c>
      <c r="J9" s="38">
        <f>I9*H9</f>
        <v>6000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45117</v>
      </c>
      <c r="D10" s="36" t="s">
        <v>19</v>
      </c>
      <c r="E10" s="36" t="s">
        <v>14</v>
      </c>
      <c r="F10" s="80">
        <v>806</v>
      </c>
      <c r="G10" s="80">
        <v>814</v>
      </c>
      <c r="H10" s="80">
        <v>8</v>
      </c>
      <c r="I10" s="80">
        <v>1350</v>
      </c>
      <c r="J10" s="38">
        <f t="shared" si="3"/>
        <v>10800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45119</v>
      </c>
      <c r="D11" s="36" t="s">
        <v>19</v>
      </c>
      <c r="E11" s="36" t="s">
        <v>55</v>
      </c>
      <c r="F11" s="80">
        <v>977</v>
      </c>
      <c r="G11" s="80">
        <v>1005</v>
      </c>
      <c r="H11" s="80">
        <f>1005-977</f>
        <v>28</v>
      </c>
      <c r="I11" s="80">
        <v>750</v>
      </c>
      <c r="J11" s="38">
        <f t="shared" si="3"/>
        <v>21000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45125</v>
      </c>
      <c r="D12" s="36" t="s">
        <v>19</v>
      </c>
      <c r="E12" s="36" t="s">
        <v>148</v>
      </c>
      <c r="F12" s="80">
        <v>766</v>
      </c>
      <c r="G12" s="80">
        <v>786</v>
      </c>
      <c r="H12" s="80">
        <v>20</v>
      </c>
      <c r="I12" s="80">
        <v>600</v>
      </c>
      <c r="J12" s="38">
        <f t="shared" si="3"/>
        <v>12000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45125</v>
      </c>
      <c r="D13" s="36" t="s">
        <v>12</v>
      </c>
      <c r="E13" s="36" t="s">
        <v>20</v>
      </c>
      <c r="F13" s="80">
        <v>45450</v>
      </c>
      <c r="G13" s="80">
        <v>45350</v>
      </c>
      <c r="H13" s="80">
        <v>100</v>
      </c>
      <c r="I13" s="80">
        <v>50</v>
      </c>
      <c r="J13" s="38">
        <f t="shared" si="3"/>
        <v>5000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45128</v>
      </c>
      <c r="D14" s="36" t="s">
        <v>19</v>
      </c>
      <c r="E14" s="36" t="s">
        <v>20</v>
      </c>
      <c r="F14" s="80">
        <v>46150</v>
      </c>
      <c r="G14" s="80">
        <v>46222</v>
      </c>
      <c r="H14" s="80">
        <f>46222-46150</f>
        <v>72</v>
      </c>
      <c r="I14" s="80">
        <v>30</v>
      </c>
      <c r="J14" s="38">
        <f t="shared" si="3"/>
        <v>2160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>
        <v>45132</v>
      </c>
      <c r="D15" s="36" t="s">
        <v>19</v>
      </c>
      <c r="E15" s="36" t="s">
        <v>16</v>
      </c>
      <c r="F15" s="80">
        <v>19680</v>
      </c>
      <c r="G15" s="80">
        <v>19780</v>
      </c>
      <c r="H15" s="80">
        <v>100</v>
      </c>
      <c r="I15" s="80">
        <v>100</v>
      </c>
      <c r="J15" s="38">
        <f t="shared" si="3"/>
        <v>10000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8</v>
      </c>
      <c r="W23" s="21">
        <f>SUM(W6:W19)</f>
        <v>2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116710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  <row r="29" spans="1:23" x14ac:dyDescent="0.3">
      <c r="H29" s="21" t="s">
        <v>227</v>
      </c>
    </row>
  </sheetData>
  <mergeCells count="18"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4" r:id="rId1" xr:uid="{00000000-0004-0000-5A00-000000000000}"/>
    <hyperlink ref="M1" location="'Home Page'!A1" display="Back" xr:uid="{00000000-0004-0000-5A00-000001000000}"/>
  </hyperlinks>
  <pageMargins left="0" right="0" top="0" bottom="0" header="0" footer="0"/>
  <pageSetup paperSize="9" orientation="portrait" r:id="rId2"/>
  <drawing r:id="rId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W29"/>
  <sheetViews>
    <sheetView zoomScale="97" zoomScaleNormal="97" workbookViewId="0">
      <selection activeCell="G17" sqref="G17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45139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v>8</v>
      </c>
      <c r="O4" s="147">
        <v>8</v>
      </c>
      <c r="P4" s="147">
        <f>W23</f>
        <v>1</v>
      </c>
      <c r="Q4" s="149">
        <v>0</v>
      </c>
      <c r="R4" s="151">
        <f>O4/N4</f>
        <v>1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45140</v>
      </c>
      <c r="D6" s="31" t="s">
        <v>19</v>
      </c>
      <c r="E6" s="31" t="s">
        <v>58</v>
      </c>
      <c r="F6" s="86">
        <v>5680</v>
      </c>
      <c r="G6" s="86">
        <v>5760</v>
      </c>
      <c r="H6" s="86">
        <v>80</v>
      </c>
      <c r="I6" s="32">
        <v>250</v>
      </c>
      <c r="J6" s="33">
        <f>I6*H6</f>
        <v>20000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91">
        <f>B6+1</f>
        <v>2</v>
      </c>
      <c r="C7" s="93">
        <v>45140</v>
      </c>
      <c r="D7" s="36" t="s">
        <v>19</v>
      </c>
      <c r="E7" s="36" t="s">
        <v>228</v>
      </c>
      <c r="F7" s="80">
        <v>45100</v>
      </c>
      <c r="G7" s="80">
        <v>45200</v>
      </c>
      <c r="H7" s="80">
        <v>100</v>
      </c>
      <c r="I7" s="37">
        <v>30</v>
      </c>
      <c r="J7" s="38">
        <f>I7*H7</f>
        <v>3000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45154</v>
      </c>
      <c r="D8" s="36" t="s">
        <v>19</v>
      </c>
      <c r="E8" s="36" t="s">
        <v>179</v>
      </c>
      <c r="F8" s="80">
        <v>8240</v>
      </c>
      <c r="G8" s="80">
        <v>8280</v>
      </c>
      <c r="H8" s="80">
        <v>40</v>
      </c>
      <c r="I8" s="37">
        <v>200</v>
      </c>
      <c r="J8" s="38">
        <f t="shared" ref="J8:J23" si="3">I8*H8</f>
        <v>8000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45155</v>
      </c>
      <c r="D9" s="36" t="s">
        <v>19</v>
      </c>
      <c r="E9" s="36" t="s">
        <v>229</v>
      </c>
      <c r="F9" s="80">
        <v>469</v>
      </c>
      <c r="G9" s="80">
        <v>463</v>
      </c>
      <c r="H9" s="80">
        <v>-6</v>
      </c>
      <c r="I9" s="80">
        <v>4000</v>
      </c>
      <c r="J9" s="38">
        <f>I9*H9</f>
        <v>-24000</v>
      </c>
      <c r="K9" s="23"/>
      <c r="V9" s="21">
        <f t="shared" si="0"/>
        <v>0</v>
      </c>
      <c r="W9" s="21">
        <f t="shared" si="1"/>
        <v>1</v>
      </c>
    </row>
    <row r="10" spans="1:23" x14ac:dyDescent="0.3">
      <c r="A10" s="22"/>
      <c r="B10" s="91">
        <f t="shared" si="2"/>
        <v>5</v>
      </c>
      <c r="C10" s="93">
        <v>45155</v>
      </c>
      <c r="D10" s="36" t="s">
        <v>19</v>
      </c>
      <c r="E10" s="36" t="s">
        <v>20</v>
      </c>
      <c r="F10" s="80">
        <v>44000</v>
      </c>
      <c r="G10" s="80">
        <v>44100</v>
      </c>
      <c r="H10" s="80">
        <v>100</v>
      </c>
      <c r="I10" s="80">
        <v>30</v>
      </c>
      <c r="J10" s="38">
        <f t="shared" si="3"/>
        <v>3000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45159</v>
      </c>
      <c r="D11" s="36" t="s">
        <v>12</v>
      </c>
      <c r="E11" s="36" t="s">
        <v>16</v>
      </c>
      <c r="F11" s="80">
        <v>19400</v>
      </c>
      <c r="G11" s="80">
        <v>19365</v>
      </c>
      <c r="H11" s="80">
        <f>19400-19365</f>
        <v>35</v>
      </c>
      <c r="I11" s="80">
        <v>100</v>
      </c>
      <c r="J11" s="38">
        <f t="shared" si="3"/>
        <v>3500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>
        <v>45161</v>
      </c>
      <c r="D12" s="36" t="s">
        <v>19</v>
      </c>
      <c r="E12" s="36" t="s">
        <v>38</v>
      </c>
      <c r="F12" s="80">
        <v>975</v>
      </c>
      <c r="G12" s="80">
        <v>990</v>
      </c>
      <c r="H12" s="80">
        <f>990-975</f>
        <v>15</v>
      </c>
      <c r="I12" s="80">
        <v>1250</v>
      </c>
      <c r="J12" s="38">
        <f t="shared" si="3"/>
        <v>18750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>
        <v>45166</v>
      </c>
      <c r="D13" s="36" t="s">
        <v>19</v>
      </c>
      <c r="E13" s="36" t="s">
        <v>16</v>
      </c>
      <c r="F13" s="80">
        <v>19300</v>
      </c>
      <c r="G13" s="80">
        <v>19363</v>
      </c>
      <c r="H13" s="80">
        <v>63</v>
      </c>
      <c r="I13" s="80">
        <v>100</v>
      </c>
      <c r="J13" s="38">
        <f t="shared" si="3"/>
        <v>6300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>
        <v>45167</v>
      </c>
      <c r="D14" s="36" t="s">
        <v>19</v>
      </c>
      <c r="E14" s="36" t="s">
        <v>230</v>
      </c>
      <c r="F14" s="80">
        <v>2040</v>
      </c>
      <c r="G14" s="80">
        <v>2070</v>
      </c>
      <c r="H14" s="80">
        <v>30</v>
      </c>
      <c r="I14" s="80">
        <v>400</v>
      </c>
      <c r="J14" s="38">
        <f t="shared" si="3"/>
        <v>12000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8</v>
      </c>
      <c r="W23" s="21">
        <f>SUM(W6:W19)</f>
        <v>1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50550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  <row r="29" spans="1:23" x14ac:dyDescent="0.3">
      <c r="H29" s="21" t="s">
        <v>227</v>
      </c>
    </row>
  </sheetData>
  <mergeCells count="18">
    <mergeCell ref="P2:P3"/>
    <mergeCell ref="Q2:Q3"/>
    <mergeCell ref="M6:O8"/>
    <mergeCell ref="P6:R8"/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4" r:id="rId1" xr:uid="{00000000-0004-0000-5B00-000000000000}"/>
    <hyperlink ref="M1" location="'Home Page'!A1" display="Back" xr:uid="{00000000-0004-0000-5B00-000001000000}"/>
  </hyperlinks>
  <pageMargins left="0" right="0" top="0" bottom="0" header="0" footer="0"/>
  <pageSetup paperSize="9" orientation="portrait" r:id="rId2"/>
  <drawing r:id="rId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W29"/>
  <sheetViews>
    <sheetView zoomScale="97" zoomScaleNormal="97" workbookViewId="0">
      <selection activeCell="H15" sqref="H15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45170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v>6</v>
      </c>
      <c r="O4" s="147">
        <v>5</v>
      </c>
      <c r="P4" s="147">
        <f>W23</f>
        <v>1</v>
      </c>
      <c r="Q4" s="149">
        <v>0</v>
      </c>
      <c r="R4" s="151">
        <f>O4/N4</f>
        <v>0.83333333333333337</v>
      </c>
    </row>
    <row r="5" spans="1:23" ht="15" thickBot="1" x14ac:dyDescent="0.35">
      <c r="A5" s="22"/>
      <c r="B5" s="24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90">
        <v>1</v>
      </c>
      <c r="C6" s="92">
        <v>45173</v>
      </c>
      <c r="D6" s="31" t="s">
        <v>19</v>
      </c>
      <c r="E6" s="31" t="s">
        <v>58</v>
      </c>
      <c r="F6" s="86">
        <v>5680</v>
      </c>
      <c r="G6" s="86">
        <v>5640</v>
      </c>
      <c r="H6" s="86">
        <v>-40</v>
      </c>
      <c r="I6" s="32">
        <v>250</v>
      </c>
      <c r="J6" s="33">
        <f>I6*H6</f>
        <v>-10000</v>
      </c>
      <c r="K6" s="23"/>
      <c r="M6" s="117" t="s">
        <v>67</v>
      </c>
      <c r="N6" s="118"/>
      <c r="O6" s="119"/>
      <c r="P6" s="126">
        <f>R4</f>
        <v>0.83333333333333337</v>
      </c>
      <c r="Q6" s="127"/>
      <c r="R6" s="128"/>
      <c r="V6" s="21">
        <f>IF($J6&gt;0,1,0)</f>
        <v>0</v>
      </c>
      <c r="W6" s="21">
        <f>IF($J6&lt;0,1,0)</f>
        <v>1</v>
      </c>
    </row>
    <row r="7" spans="1:23" x14ac:dyDescent="0.3">
      <c r="A7" s="22"/>
      <c r="B7" s="91">
        <f>B6+1</f>
        <v>2</v>
      </c>
      <c r="C7" s="93">
        <v>45173</v>
      </c>
      <c r="D7" s="36" t="s">
        <v>19</v>
      </c>
      <c r="E7" s="36" t="s">
        <v>231</v>
      </c>
      <c r="F7" s="80">
        <v>1890</v>
      </c>
      <c r="G7" s="80">
        <v>1902</v>
      </c>
      <c r="H7" s="80">
        <f>1902-1890</f>
        <v>12</v>
      </c>
      <c r="I7" s="37">
        <v>1000</v>
      </c>
      <c r="J7" s="38">
        <f>I7*H7</f>
        <v>12000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91">
        <f t="shared" ref="B8:B23" si="2">B7+1</f>
        <v>3</v>
      </c>
      <c r="C8" s="93">
        <v>45182</v>
      </c>
      <c r="D8" s="36" t="s">
        <v>19</v>
      </c>
      <c r="E8" s="36" t="s">
        <v>202</v>
      </c>
      <c r="F8" s="80">
        <v>910</v>
      </c>
      <c r="G8" s="80">
        <v>918.95</v>
      </c>
      <c r="H8" s="80">
        <v>8.9499999999999993</v>
      </c>
      <c r="I8" s="37">
        <v>1900</v>
      </c>
      <c r="J8" s="38">
        <f t="shared" ref="J8:J23" si="3">I8*H8</f>
        <v>17005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91">
        <f>B8+1</f>
        <v>4</v>
      </c>
      <c r="C9" s="93">
        <v>45189</v>
      </c>
      <c r="D9" s="36" t="s">
        <v>19</v>
      </c>
      <c r="E9" s="36" t="s">
        <v>168</v>
      </c>
      <c r="F9" s="80">
        <v>1130</v>
      </c>
      <c r="G9" s="80">
        <v>1144</v>
      </c>
      <c r="H9" s="80">
        <f>1144-1130</f>
        <v>14</v>
      </c>
      <c r="I9" s="80">
        <v>2000</v>
      </c>
      <c r="J9" s="38">
        <f>I9*H9</f>
        <v>28000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91">
        <f t="shared" si="2"/>
        <v>5</v>
      </c>
      <c r="C10" s="93">
        <v>45190</v>
      </c>
      <c r="D10" s="36" t="s">
        <v>12</v>
      </c>
      <c r="E10" s="36" t="s">
        <v>232</v>
      </c>
      <c r="F10" s="80">
        <v>458</v>
      </c>
      <c r="G10" s="80">
        <v>454</v>
      </c>
      <c r="H10" s="80">
        <v>4</v>
      </c>
      <c r="I10" s="80">
        <v>2750</v>
      </c>
      <c r="J10" s="38">
        <f t="shared" si="3"/>
        <v>11000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91">
        <f t="shared" si="2"/>
        <v>6</v>
      </c>
      <c r="C11" s="93">
        <v>45194</v>
      </c>
      <c r="D11" s="36" t="s">
        <v>19</v>
      </c>
      <c r="E11" s="36" t="s">
        <v>230</v>
      </c>
      <c r="F11" s="80">
        <v>2160</v>
      </c>
      <c r="G11" s="80">
        <v>2180</v>
      </c>
      <c r="H11" s="80">
        <v>20</v>
      </c>
      <c r="I11" s="80">
        <v>800</v>
      </c>
      <c r="J11" s="38">
        <f t="shared" si="3"/>
        <v>16000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91">
        <f t="shared" si="2"/>
        <v>7</v>
      </c>
      <c r="C12" s="93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91">
        <f t="shared" si="2"/>
        <v>8</v>
      </c>
      <c r="C13" s="93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91">
        <f t="shared" si="2"/>
        <v>9</v>
      </c>
      <c r="C14" s="93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91">
        <f t="shared" si="2"/>
        <v>10</v>
      </c>
      <c r="C15" s="93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91">
        <f t="shared" si="2"/>
        <v>11</v>
      </c>
      <c r="C16" s="93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91">
        <f t="shared" si="2"/>
        <v>12</v>
      </c>
      <c r="C17" s="93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91">
        <f t="shared" si="2"/>
        <v>13</v>
      </c>
      <c r="C18" s="93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91">
        <f t="shared" si="2"/>
        <v>14</v>
      </c>
      <c r="C19" s="93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x14ac:dyDescent="0.3">
      <c r="A20" s="22"/>
      <c r="B20" s="91">
        <f t="shared" si="2"/>
        <v>15</v>
      </c>
      <c r="C20" s="103"/>
      <c r="D20" s="104"/>
      <c r="E20" s="104"/>
      <c r="F20" s="105"/>
      <c r="G20" s="105"/>
      <c r="H20" s="105"/>
      <c r="I20" s="105"/>
      <c r="J20" s="38">
        <f t="shared" si="3"/>
        <v>0</v>
      </c>
      <c r="K20" s="23"/>
      <c r="M20" s="72"/>
      <c r="O20" s="39"/>
      <c r="P20" s="39"/>
      <c r="Q20" s="39"/>
      <c r="R20" s="74"/>
    </row>
    <row r="21" spans="1:23" x14ac:dyDescent="0.3">
      <c r="A21" s="22"/>
      <c r="B21" s="91">
        <f t="shared" si="2"/>
        <v>16</v>
      </c>
      <c r="C21" s="103"/>
      <c r="D21" s="104"/>
      <c r="E21" s="104"/>
      <c r="F21" s="105"/>
      <c r="G21" s="105"/>
      <c r="H21" s="105"/>
      <c r="I21" s="105"/>
      <c r="J21" s="38">
        <f t="shared" si="3"/>
        <v>0</v>
      </c>
      <c r="K21" s="23"/>
      <c r="M21" s="72"/>
      <c r="O21" s="39"/>
      <c r="P21" s="39"/>
      <c r="Q21" s="39"/>
      <c r="R21" s="74"/>
    </row>
    <row r="22" spans="1:23" x14ac:dyDescent="0.3">
      <c r="A22" s="22"/>
      <c r="B22" s="91">
        <f t="shared" si="2"/>
        <v>17</v>
      </c>
      <c r="C22" s="103"/>
      <c r="D22" s="104"/>
      <c r="E22" s="104"/>
      <c r="F22" s="105"/>
      <c r="G22" s="105"/>
      <c r="H22" s="105"/>
      <c r="I22" s="105"/>
      <c r="J22" s="38">
        <f t="shared" si="3"/>
        <v>0</v>
      </c>
      <c r="K22" s="23"/>
      <c r="M22" s="72"/>
      <c r="O22" s="39"/>
      <c r="P22" s="39"/>
      <c r="Q22" s="39"/>
      <c r="R22" s="74"/>
    </row>
    <row r="23" spans="1:23" ht="15" thickBot="1" x14ac:dyDescent="0.35">
      <c r="A23" s="22"/>
      <c r="B23" s="91">
        <f t="shared" si="2"/>
        <v>18</v>
      </c>
      <c r="C23" s="94"/>
      <c r="D23" s="95"/>
      <c r="E23" s="95"/>
      <c r="F23" s="96"/>
      <c r="G23" s="96"/>
      <c r="H23" s="96"/>
      <c r="I23" s="96"/>
      <c r="J23" s="38">
        <f t="shared" si="3"/>
        <v>0</v>
      </c>
      <c r="K23" s="23"/>
      <c r="M23" s="75"/>
      <c r="N23" s="76"/>
      <c r="O23" s="76"/>
      <c r="P23" s="76"/>
      <c r="Q23" s="76"/>
      <c r="R23" s="77"/>
      <c r="V23" s="21">
        <f>SUM(V6:V19)</f>
        <v>5</v>
      </c>
      <c r="W23" s="21">
        <f>SUM(W6:W19)</f>
        <v>1</v>
      </c>
    </row>
    <row r="24" spans="1:23" ht="30" customHeight="1" thickBot="1" x14ac:dyDescent="0.5">
      <c r="A24" s="22"/>
      <c r="B24" s="135" t="s">
        <v>68</v>
      </c>
      <c r="C24" s="160"/>
      <c r="D24" s="160"/>
      <c r="E24" s="160"/>
      <c r="F24" s="160"/>
      <c r="G24" s="160"/>
      <c r="H24" s="161"/>
      <c r="I24" s="88" t="s">
        <v>69</v>
      </c>
      <c r="J24" s="89">
        <f>SUM(J6:J23)</f>
        <v>74005</v>
      </c>
      <c r="K24" s="23"/>
    </row>
    <row r="25" spans="1:23" ht="30.75" customHeight="1" thickBot="1" x14ac:dyDescent="0.3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  <row r="29" spans="1:23" x14ac:dyDescent="0.3">
      <c r="H29" s="21" t="s">
        <v>227</v>
      </c>
    </row>
  </sheetData>
  <mergeCells count="18">
    <mergeCell ref="B24:H24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4" r:id="rId1" xr:uid="{00000000-0004-0000-5C00-000000000000}"/>
    <hyperlink ref="M1" location="'Home Page'!A1" display="Back" xr:uid="{00000000-0004-0000-5C00-000001000000}"/>
  </hyperlinks>
  <pageMargins left="0" right="0" top="0" bottom="0" header="0" footer="0"/>
  <pageSetup paperSize="9" orientation="portrait" r:id="rId2"/>
  <drawing r:id="rId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W22"/>
  <sheetViews>
    <sheetView zoomScale="97" zoomScaleNormal="97" workbookViewId="0">
      <selection activeCell="E17" sqref="E17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45200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7</v>
      </c>
      <c r="P4" s="147">
        <f>W20</f>
        <v>1</v>
      </c>
      <c r="Q4" s="149">
        <f>N4-O4-P4</f>
        <v>0</v>
      </c>
      <c r="R4" s="151">
        <f>O4/N4</f>
        <v>0.875</v>
      </c>
    </row>
    <row r="5" spans="1:23" ht="15" thickBot="1" x14ac:dyDescent="0.35">
      <c r="A5" s="22"/>
      <c r="B5" s="106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80">
        <v>1</v>
      </c>
      <c r="C6" s="35">
        <v>45202</v>
      </c>
      <c r="D6" s="31" t="s">
        <v>12</v>
      </c>
      <c r="E6" s="31" t="s">
        <v>20</v>
      </c>
      <c r="F6" s="86">
        <v>44700</v>
      </c>
      <c r="G6" s="86">
        <v>44100</v>
      </c>
      <c r="H6" s="86">
        <v>600</v>
      </c>
      <c r="I6" s="32">
        <v>30</v>
      </c>
      <c r="J6" s="33">
        <f>I6*H6</f>
        <v>18000</v>
      </c>
      <c r="K6" s="23"/>
      <c r="M6" s="117" t="s">
        <v>67</v>
      </c>
      <c r="N6" s="118"/>
      <c r="O6" s="119"/>
      <c r="P6" s="126">
        <f>R4</f>
        <v>0.875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80">
        <f>B6+1</f>
        <v>2</v>
      </c>
      <c r="C7" s="35">
        <v>45203</v>
      </c>
      <c r="D7" s="36" t="s">
        <v>12</v>
      </c>
      <c r="E7" s="36" t="s">
        <v>20</v>
      </c>
      <c r="F7" s="80">
        <v>44200</v>
      </c>
      <c r="G7" s="80">
        <v>44050</v>
      </c>
      <c r="H7" s="80">
        <f>44200-44050</f>
        <v>150</v>
      </c>
      <c r="I7" s="37">
        <v>30</v>
      </c>
      <c r="J7" s="38">
        <f>I7*H7</f>
        <v>4500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80">
        <f t="shared" ref="B8:B20" si="2">B7+1</f>
        <v>3</v>
      </c>
      <c r="C8" s="35">
        <v>45209</v>
      </c>
      <c r="D8" s="36" t="s">
        <v>19</v>
      </c>
      <c r="E8" s="36" t="s">
        <v>233</v>
      </c>
      <c r="F8" s="80">
        <v>2770</v>
      </c>
      <c r="G8" s="80">
        <v>2790</v>
      </c>
      <c r="H8" s="80">
        <v>20</v>
      </c>
      <c r="I8" s="37">
        <v>300</v>
      </c>
      <c r="J8" s="38">
        <f t="shared" ref="J8:J20" si="3">I8*H8</f>
        <v>6000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80">
        <f>B8+1</f>
        <v>4</v>
      </c>
      <c r="C9" s="35">
        <v>45210</v>
      </c>
      <c r="D9" s="36" t="s">
        <v>19</v>
      </c>
      <c r="E9" s="36" t="s">
        <v>20</v>
      </c>
      <c r="F9" s="80">
        <v>44650</v>
      </c>
      <c r="G9" s="80">
        <v>44820</v>
      </c>
      <c r="H9" s="80">
        <f>44820-44650</f>
        <v>170</v>
      </c>
      <c r="I9" s="80">
        <v>30</v>
      </c>
      <c r="J9" s="38">
        <f>I9*H9</f>
        <v>5100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80">
        <f t="shared" si="2"/>
        <v>5</v>
      </c>
      <c r="C10" s="35">
        <v>45215</v>
      </c>
      <c r="D10" s="36" t="s">
        <v>19</v>
      </c>
      <c r="E10" s="36" t="s">
        <v>172</v>
      </c>
      <c r="F10" s="80">
        <v>5390</v>
      </c>
      <c r="G10" s="80">
        <v>5453</v>
      </c>
      <c r="H10" s="80">
        <f>5453-5390</f>
        <v>63</v>
      </c>
      <c r="I10" s="80">
        <v>200</v>
      </c>
      <c r="J10" s="38">
        <f t="shared" si="3"/>
        <v>12600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80">
        <f t="shared" si="2"/>
        <v>6</v>
      </c>
      <c r="C11" s="35">
        <v>45224</v>
      </c>
      <c r="D11" s="36" t="s">
        <v>19</v>
      </c>
      <c r="E11" s="36" t="s">
        <v>165</v>
      </c>
      <c r="F11" s="80">
        <v>703</v>
      </c>
      <c r="G11" s="80">
        <v>709</v>
      </c>
      <c r="H11" s="80">
        <v>6</v>
      </c>
      <c r="I11" s="80">
        <v>1000</v>
      </c>
      <c r="J11" s="38">
        <f t="shared" si="3"/>
        <v>6000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80">
        <f t="shared" si="2"/>
        <v>7</v>
      </c>
      <c r="C12" s="35">
        <v>45224</v>
      </c>
      <c r="D12" s="36" t="s">
        <v>19</v>
      </c>
      <c r="E12" s="36" t="s">
        <v>16</v>
      </c>
      <c r="F12" s="80">
        <v>19140</v>
      </c>
      <c r="G12" s="80">
        <v>19100</v>
      </c>
      <c r="H12" s="80">
        <v>-40</v>
      </c>
      <c r="I12" s="80">
        <v>100</v>
      </c>
      <c r="J12" s="38">
        <f t="shared" si="3"/>
        <v>-4000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1</v>
      </c>
    </row>
    <row r="13" spans="1:23" x14ac:dyDescent="0.3">
      <c r="A13" s="22"/>
      <c r="B13" s="80">
        <f t="shared" si="2"/>
        <v>8</v>
      </c>
      <c r="C13" s="35">
        <v>45229</v>
      </c>
      <c r="D13" s="36" t="s">
        <v>19</v>
      </c>
      <c r="E13" s="36" t="s">
        <v>16</v>
      </c>
      <c r="F13" s="80">
        <v>19200</v>
      </c>
      <c r="G13" s="80">
        <v>19280</v>
      </c>
      <c r="H13" s="80">
        <v>80</v>
      </c>
      <c r="I13" s="80">
        <v>100</v>
      </c>
      <c r="J13" s="38">
        <f t="shared" si="3"/>
        <v>8000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80">
        <f t="shared" si="2"/>
        <v>9</v>
      </c>
      <c r="C14" s="35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80">
        <f t="shared" si="2"/>
        <v>10</v>
      </c>
      <c r="C15" s="35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80">
        <f t="shared" si="2"/>
        <v>11</v>
      </c>
      <c r="C16" s="35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80">
        <f t="shared" si="2"/>
        <v>12</v>
      </c>
      <c r="C17" s="35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80">
        <f t="shared" si="2"/>
        <v>13</v>
      </c>
      <c r="C18" s="35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80">
        <f t="shared" si="2"/>
        <v>14</v>
      </c>
      <c r="C19" s="35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80">
        <f t="shared" si="2"/>
        <v>15</v>
      </c>
      <c r="C20" s="35"/>
      <c r="D20" s="95"/>
      <c r="E20" s="95"/>
      <c r="F20" s="96"/>
      <c r="G20" s="96"/>
      <c r="H20" s="96"/>
      <c r="I20" s="96"/>
      <c r="J20" s="38">
        <f t="shared" si="3"/>
        <v>0</v>
      </c>
      <c r="K20" s="23"/>
      <c r="M20" s="75"/>
      <c r="N20" s="76"/>
      <c r="O20" s="76"/>
      <c r="P20" s="76"/>
      <c r="Q20" s="76"/>
      <c r="R20" s="77"/>
      <c r="V20" s="21">
        <f>SUM(V6:V19)</f>
        <v>7</v>
      </c>
      <c r="W20" s="21">
        <f>SUM(W6:W19)</f>
        <v>1</v>
      </c>
    </row>
    <row r="21" spans="1:23" ht="30" customHeight="1" thickBot="1" x14ac:dyDescent="0.5">
      <c r="A21" s="22"/>
      <c r="B21" s="162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56200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5D00-000000000000}"/>
    <hyperlink ref="M1" location="'Home Page'!A1" display="Back" xr:uid="{00000000-0004-0000-5D00-000001000000}"/>
  </hyperlinks>
  <pageMargins left="0" right="0" top="0" bottom="0" header="0" footer="0"/>
  <pageSetup paperSize="9" orientation="portrait" r:id="rId2"/>
  <drawing r:id="rId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45231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4</v>
      </c>
      <c r="O4" s="147">
        <f>V20</f>
        <v>4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106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80">
        <v>1</v>
      </c>
      <c r="C6" s="35">
        <v>45231</v>
      </c>
      <c r="D6" s="31" t="s">
        <v>19</v>
      </c>
      <c r="E6" s="31" t="s">
        <v>201</v>
      </c>
      <c r="F6" s="86">
        <v>2365</v>
      </c>
      <c r="G6" s="86">
        <v>2402</v>
      </c>
      <c r="H6" s="86">
        <f>2402-2365</f>
        <v>37</v>
      </c>
      <c r="I6" s="32">
        <v>400</v>
      </c>
      <c r="J6" s="33">
        <f>I6*H6</f>
        <v>14800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80">
        <f>B6+1</f>
        <v>2</v>
      </c>
      <c r="C7" s="35">
        <v>45237</v>
      </c>
      <c r="D7" s="36" t="s">
        <v>19</v>
      </c>
      <c r="E7" s="36" t="s">
        <v>20</v>
      </c>
      <c r="F7" s="80">
        <v>43800</v>
      </c>
      <c r="G7" s="80">
        <v>43996</v>
      </c>
      <c r="H7" s="80">
        <f>43996-43800</f>
        <v>196</v>
      </c>
      <c r="I7" s="37">
        <v>30</v>
      </c>
      <c r="J7" s="38">
        <f>I7*H7</f>
        <v>5880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80">
        <f t="shared" ref="B8:B20" si="2">B7+1</f>
        <v>3</v>
      </c>
      <c r="C8" s="35">
        <v>45237</v>
      </c>
      <c r="D8" s="36" t="s">
        <v>19</v>
      </c>
      <c r="E8" s="36" t="s">
        <v>223</v>
      </c>
      <c r="F8" s="80">
        <v>2020</v>
      </c>
      <c r="G8" s="80">
        <v>2041</v>
      </c>
      <c r="H8" s="80">
        <v>21</v>
      </c>
      <c r="I8" s="37">
        <v>300</v>
      </c>
      <c r="J8" s="38">
        <f t="shared" ref="J8:J20" si="3">I8*H8</f>
        <v>6300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80">
        <f>B8+1</f>
        <v>4</v>
      </c>
      <c r="C9" s="35">
        <v>45250</v>
      </c>
      <c r="D9" s="36" t="s">
        <v>19</v>
      </c>
      <c r="E9" s="36" t="s">
        <v>231</v>
      </c>
      <c r="F9" s="80">
        <v>1720</v>
      </c>
      <c r="G9" s="80">
        <v>1734</v>
      </c>
      <c r="H9" s="80">
        <v>14</v>
      </c>
      <c r="I9" s="80">
        <v>500</v>
      </c>
      <c r="J9" s="38">
        <f>I9*H9</f>
        <v>7000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80">
        <f t="shared" si="2"/>
        <v>5</v>
      </c>
      <c r="C10" s="35"/>
      <c r="D10" s="36"/>
      <c r="E10" s="36"/>
      <c r="F10" s="80"/>
      <c r="G10" s="80"/>
      <c r="H10" s="80"/>
      <c r="I10" s="80"/>
      <c r="J10" s="38">
        <f t="shared" si="3"/>
        <v>0</v>
      </c>
      <c r="K10" s="23"/>
      <c r="V10" s="21">
        <f t="shared" si="0"/>
        <v>0</v>
      </c>
      <c r="W10" s="21">
        <f t="shared" si="1"/>
        <v>0</v>
      </c>
    </row>
    <row r="11" spans="1:23" ht="15" thickBot="1" x14ac:dyDescent="0.35">
      <c r="A11" s="22"/>
      <c r="B11" s="80">
        <f t="shared" si="2"/>
        <v>6</v>
      </c>
      <c r="C11" s="35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80">
        <f t="shared" si="2"/>
        <v>7</v>
      </c>
      <c r="C12" s="35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80">
        <f t="shared" si="2"/>
        <v>8</v>
      </c>
      <c r="C13" s="35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80">
        <f t="shared" si="2"/>
        <v>9</v>
      </c>
      <c r="C14" s="35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80">
        <f t="shared" si="2"/>
        <v>10</v>
      </c>
      <c r="C15" s="35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80">
        <f t="shared" si="2"/>
        <v>11</v>
      </c>
      <c r="C16" s="35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80">
        <f t="shared" si="2"/>
        <v>12</v>
      </c>
      <c r="C17" s="35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80">
        <f t="shared" si="2"/>
        <v>13</v>
      </c>
      <c r="C18" s="35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80">
        <f t="shared" si="2"/>
        <v>14</v>
      </c>
      <c r="C19" s="35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80">
        <f t="shared" si="2"/>
        <v>15</v>
      </c>
      <c r="C20" s="35"/>
      <c r="D20" s="95"/>
      <c r="E20" s="95"/>
      <c r="F20" s="96"/>
      <c r="G20" s="96"/>
      <c r="H20" s="96"/>
      <c r="I20" s="96"/>
      <c r="J20" s="38">
        <f t="shared" si="3"/>
        <v>0</v>
      </c>
      <c r="K20" s="23"/>
      <c r="M20" s="75"/>
      <c r="N20" s="76"/>
      <c r="O20" s="76"/>
      <c r="P20" s="76"/>
      <c r="Q20" s="76"/>
      <c r="R20" s="77"/>
      <c r="V20" s="21">
        <f>SUM(V6:V19)</f>
        <v>4</v>
      </c>
      <c r="W20" s="21">
        <f>SUM(W6:W19)</f>
        <v>0</v>
      </c>
    </row>
    <row r="21" spans="1:23" ht="30" customHeight="1" thickBot="1" x14ac:dyDescent="0.5">
      <c r="A21" s="22"/>
      <c r="B21" s="162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33980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N2:N3"/>
    <mergeCell ref="O2:O3"/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</mergeCells>
  <hyperlinks>
    <hyperlink ref="B21" r:id="rId1" xr:uid="{00000000-0004-0000-5E00-000000000000}"/>
    <hyperlink ref="M1" location="'Home Page'!A1" display="Back" xr:uid="{00000000-0004-0000-5E00-000001000000}"/>
  </hyperlinks>
  <pageMargins left="0" right="0" top="0" bottom="0" header="0" footer="0"/>
  <pageSetup paperSize="9" orientation="portrait" r:id="rId2"/>
  <drawing r:id="rId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W22"/>
  <sheetViews>
    <sheetView zoomScale="97" zoomScaleNormal="97" workbookViewId="0">
      <selection activeCell="L22" sqref="L22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45261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8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106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80">
        <v>1</v>
      </c>
      <c r="C6" s="35">
        <v>45265</v>
      </c>
      <c r="D6" s="31" t="s">
        <v>19</v>
      </c>
      <c r="E6" s="31" t="s">
        <v>234</v>
      </c>
      <c r="F6" s="86">
        <v>4850</v>
      </c>
      <c r="G6" s="86">
        <v>4900</v>
      </c>
      <c r="H6" s="86">
        <v>50</v>
      </c>
      <c r="I6" s="32">
        <v>125</v>
      </c>
      <c r="J6" s="33">
        <f>I6*H6</f>
        <v>6250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80">
        <f>B6+1</f>
        <v>2</v>
      </c>
      <c r="C7" s="35">
        <v>45266</v>
      </c>
      <c r="D7" s="36" t="s">
        <v>19</v>
      </c>
      <c r="E7" s="36" t="s">
        <v>221</v>
      </c>
      <c r="F7" s="80">
        <v>418</v>
      </c>
      <c r="G7" s="80">
        <v>424</v>
      </c>
      <c r="H7" s="80">
        <v>6</v>
      </c>
      <c r="I7" s="37">
        <v>1500</v>
      </c>
      <c r="J7" s="38">
        <f>I7*H7</f>
        <v>9000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80">
        <f t="shared" ref="B8:B20" si="2">B7+1</f>
        <v>3</v>
      </c>
      <c r="C8" s="35">
        <v>45267</v>
      </c>
      <c r="D8" s="36" t="s">
        <v>19</v>
      </c>
      <c r="E8" s="36" t="s">
        <v>20</v>
      </c>
      <c r="F8" s="80">
        <v>47000</v>
      </c>
      <c r="G8" s="80">
        <v>47400</v>
      </c>
      <c r="H8" s="80">
        <v>400</v>
      </c>
      <c r="I8" s="37">
        <v>30</v>
      </c>
      <c r="J8" s="38">
        <f t="shared" ref="J8:J20" si="3">I8*H8</f>
        <v>12000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80">
        <f>B8+1</f>
        <v>4</v>
      </c>
      <c r="C9" s="35">
        <v>45272</v>
      </c>
      <c r="D9" s="36" t="s">
        <v>19</v>
      </c>
      <c r="E9" s="36" t="s">
        <v>38</v>
      </c>
      <c r="F9" s="80">
        <v>1130</v>
      </c>
      <c r="G9" s="80">
        <v>1154</v>
      </c>
      <c r="H9" s="80">
        <f>1154-1130</f>
        <v>24</v>
      </c>
      <c r="I9" s="80">
        <v>625</v>
      </c>
      <c r="J9" s="38">
        <f>I9*H9</f>
        <v>15000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80">
        <f t="shared" si="2"/>
        <v>5</v>
      </c>
      <c r="C10" s="35">
        <v>45274</v>
      </c>
      <c r="D10" s="36" t="s">
        <v>19</v>
      </c>
      <c r="E10" s="36" t="s">
        <v>20</v>
      </c>
      <c r="F10" s="80">
        <v>48000</v>
      </c>
      <c r="G10" s="80">
        <v>48375</v>
      </c>
      <c r="H10" s="80">
        <v>375</v>
      </c>
      <c r="I10" s="80">
        <v>30</v>
      </c>
      <c r="J10" s="38">
        <f t="shared" si="3"/>
        <v>11250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80">
        <f t="shared" si="2"/>
        <v>6</v>
      </c>
      <c r="C11" s="35">
        <v>45279</v>
      </c>
      <c r="D11" s="36" t="s">
        <v>19</v>
      </c>
      <c r="E11" s="36" t="s">
        <v>58</v>
      </c>
      <c r="F11" s="80">
        <v>5650</v>
      </c>
      <c r="G11" s="80">
        <v>5690</v>
      </c>
      <c r="H11" s="80">
        <v>20</v>
      </c>
      <c r="I11" s="80">
        <v>125</v>
      </c>
      <c r="J11" s="38">
        <f t="shared" si="3"/>
        <v>2500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80">
        <f t="shared" si="2"/>
        <v>7</v>
      </c>
      <c r="C12" s="35">
        <v>45279</v>
      </c>
      <c r="D12" s="36" t="s">
        <v>19</v>
      </c>
      <c r="E12" s="36" t="s">
        <v>16</v>
      </c>
      <c r="F12" s="80">
        <v>21550</v>
      </c>
      <c r="G12" s="80">
        <v>21650</v>
      </c>
      <c r="H12" s="80">
        <v>100</v>
      </c>
      <c r="I12" s="80">
        <v>100</v>
      </c>
      <c r="J12" s="38">
        <f t="shared" si="3"/>
        <v>10000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80">
        <f t="shared" si="2"/>
        <v>8</v>
      </c>
      <c r="C13" s="35">
        <v>45287</v>
      </c>
      <c r="D13" s="36" t="s">
        <v>19</v>
      </c>
      <c r="E13" s="36" t="s">
        <v>16</v>
      </c>
      <c r="F13" s="80">
        <v>21560</v>
      </c>
      <c r="G13" s="80">
        <v>21629</v>
      </c>
      <c r="H13" s="80">
        <v>69</v>
      </c>
      <c r="I13" s="80">
        <v>100</v>
      </c>
      <c r="J13" s="38">
        <f t="shared" si="3"/>
        <v>6900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hidden="1" x14ac:dyDescent="0.3">
      <c r="A14" s="22"/>
      <c r="B14" s="80">
        <f t="shared" si="2"/>
        <v>9</v>
      </c>
      <c r="C14" s="35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hidden="1" x14ac:dyDescent="0.3">
      <c r="A15" s="22"/>
      <c r="B15" s="80">
        <f t="shared" si="2"/>
        <v>10</v>
      </c>
      <c r="C15" s="35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hidden="1" x14ac:dyDescent="0.3">
      <c r="A16" s="22"/>
      <c r="B16" s="80">
        <f t="shared" si="2"/>
        <v>11</v>
      </c>
      <c r="C16" s="35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hidden="1" x14ac:dyDescent="0.3">
      <c r="A17" s="22"/>
      <c r="B17" s="80">
        <f t="shared" si="2"/>
        <v>12</v>
      </c>
      <c r="C17" s="35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hidden="1" x14ac:dyDescent="0.3">
      <c r="A18" s="22"/>
      <c r="B18" s="80">
        <f t="shared" si="2"/>
        <v>13</v>
      </c>
      <c r="C18" s="35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hidden="1" x14ac:dyDescent="0.3">
      <c r="A19" s="22"/>
      <c r="B19" s="80">
        <f t="shared" si="2"/>
        <v>14</v>
      </c>
      <c r="C19" s="35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80">
        <f t="shared" si="2"/>
        <v>15</v>
      </c>
      <c r="C20" s="35"/>
      <c r="D20" s="95"/>
      <c r="E20" s="95"/>
      <c r="F20" s="96"/>
      <c r="G20" s="96"/>
      <c r="H20" s="96"/>
      <c r="I20" s="96"/>
      <c r="J20" s="38">
        <f t="shared" si="3"/>
        <v>0</v>
      </c>
      <c r="K20" s="23"/>
      <c r="M20" s="75"/>
      <c r="N20" s="76"/>
      <c r="O20" s="76"/>
      <c r="P20" s="76"/>
      <c r="Q20" s="76"/>
      <c r="R20" s="77"/>
      <c r="V20" s="21">
        <f>SUM(V6:V19)</f>
        <v>8</v>
      </c>
      <c r="W20" s="21">
        <f>SUM(W6:W19)</f>
        <v>0</v>
      </c>
    </row>
    <row r="21" spans="1:23" ht="30" customHeight="1" thickBot="1" x14ac:dyDescent="0.5">
      <c r="A21" s="22"/>
      <c r="B21" s="162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72900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5F00-000000000000}"/>
    <hyperlink ref="M1" location="'Home Page'!A1" display="Back" xr:uid="{00000000-0004-0000-5F00-000001000000}"/>
  </hyperlinks>
  <pageMargins left="0" right="0" top="0" bottom="0" header="0" footer="0"/>
  <pageSetup paperSize="9" orientation="portrait" r:id="rId2"/>
  <drawing r:id="rId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W22"/>
  <sheetViews>
    <sheetView zoomScale="97" zoomScaleNormal="97" workbookViewId="0"/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45292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8</v>
      </c>
      <c r="O4" s="147">
        <f>V20</f>
        <v>8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106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80">
        <v>1</v>
      </c>
      <c r="C6" s="35">
        <v>45294</v>
      </c>
      <c r="D6" s="31" t="s">
        <v>12</v>
      </c>
      <c r="E6" s="31" t="s">
        <v>16</v>
      </c>
      <c r="F6" s="86">
        <v>21650</v>
      </c>
      <c r="G6" s="86">
        <v>21600</v>
      </c>
      <c r="H6" s="86">
        <v>50</v>
      </c>
      <c r="I6" s="32">
        <v>100</v>
      </c>
      <c r="J6" s="33">
        <f>I6*H6</f>
        <v>5000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80">
        <f>B6+1</f>
        <v>2</v>
      </c>
      <c r="C7" s="35">
        <v>45295</v>
      </c>
      <c r="D7" s="36" t="s">
        <v>19</v>
      </c>
      <c r="E7" s="36" t="s">
        <v>20</v>
      </c>
      <c r="F7" s="80">
        <v>48450</v>
      </c>
      <c r="G7" s="80">
        <v>48608</v>
      </c>
      <c r="H7" s="80">
        <f>48608-48450</f>
        <v>158</v>
      </c>
      <c r="I7" s="37">
        <v>30</v>
      </c>
      <c r="J7" s="38">
        <f>I7*H7</f>
        <v>4740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80">
        <f t="shared" ref="B8:B20" si="2">B7+1</f>
        <v>3</v>
      </c>
      <c r="C8" s="35">
        <v>45299</v>
      </c>
      <c r="D8" s="36" t="s">
        <v>19</v>
      </c>
      <c r="E8" s="36" t="s">
        <v>20</v>
      </c>
      <c r="F8" s="80">
        <v>47650</v>
      </c>
      <c r="G8" s="80">
        <v>48050</v>
      </c>
      <c r="H8" s="80">
        <f>48050-47650</f>
        <v>400</v>
      </c>
      <c r="I8" s="37">
        <v>30</v>
      </c>
      <c r="J8" s="38">
        <f t="shared" ref="J8:J20" si="3">I8*H8</f>
        <v>12000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80">
        <f>B8+1</f>
        <v>4</v>
      </c>
      <c r="C9" s="35">
        <v>45302</v>
      </c>
      <c r="D9" s="36" t="s">
        <v>19</v>
      </c>
      <c r="E9" s="36" t="s">
        <v>233</v>
      </c>
      <c r="F9" s="80">
        <v>3495</v>
      </c>
      <c r="G9" s="80">
        <v>3560</v>
      </c>
      <c r="H9" s="80">
        <f>3560-3495</f>
        <v>65</v>
      </c>
      <c r="I9" s="80">
        <v>300</v>
      </c>
      <c r="J9" s="38">
        <f>I9*H9</f>
        <v>19500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80">
        <f t="shared" si="2"/>
        <v>5</v>
      </c>
      <c r="C10" s="35">
        <v>45302</v>
      </c>
      <c r="D10" s="36" t="s">
        <v>19</v>
      </c>
      <c r="E10" s="36" t="s">
        <v>16</v>
      </c>
      <c r="F10" s="80">
        <v>21660</v>
      </c>
      <c r="G10" s="80">
        <v>21782</v>
      </c>
      <c r="H10" s="80">
        <f>21782-21660</f>
        <v>122</v>
      </c>
      <c r="I10" s="80">
        <v>100</v>
      </c>
      <c r="J10" s="38">
        <f t="shared" si="3"/>
        <v>12200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80">
        <f t="shared" si="2"/>
        <v>6</v>
      </c>
      <c r="C11" s="35">
        <v>45309</v>
      </c>
      <c r="D11" s="36" t="s">
        <v>19</v>
      </c>
      <c r="E11" s="36" t="s">
        <v>202</v>
      </c>
      <c r="F11" s="80">
        <v>1090</v>
      </c>
      <c r="G11" s="80">
        <v>1110</v>
      </c>
      <c r="H11" s="80">
        <f>1110-1090</f>
        <v>20</v>
      </c>
      <c r="I11" s="80">
        <v>950</v>
      </c>
      <c r="J11" s="38">
        <f t="shared" si="3"/>
        <v>19000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80">
        <f t="shared" si="2"/>
        <v>7</v>
      </c>
      <c r="C12" s="35">
        <v>45315</v>
      </c>
      <c r="D12" s="36" t="s">
        <v>19</v>
      </c>
      <c r="E12" s="36" t="s">
        <v>16</v>
      </c>
      <c r="F12" s="80">
        <v>21330</v>
      </c>
      <c r="G12" s="80">
        <v>21440</v>
      </c>
      <c r="H12" s="80">
        <f>21440-21330</f>
        <v>110</v>
      </c>
      <c r="I12" s="80">
        <v>100</v>
      </c>
      <c r="J12" s="38">
        <f t="shared" si="3"/>
        <v>11000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80">
        <f t="shared" si="2"/>
        <v>8</v>
      </c>
      <c r="C13" s="35">
        <v>45320</v>
      </c>
      <c r="D13" s="36" t="s">
        <v>19</v>
      </c>
      <c r="E13" s="36" t="s">
        <v>20</v>
      </c>
      <c r="F13" s="80">
        <v>45850</v>
      </c>
      <c r="G13" s="80">
        <v>45930</v>
      </c>
      <c r="H13" s="80">
        <f>45930-45850</f>
        <v>80</v>
      </c>
      <c r="I13" s="80">
        <v>30</v>
      </c>
      <c r="J13" s="38">
        <f t="shared" si="3"/>
        <v>2400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hidden="1" x14ac:dyDescent="0.3">
      <c r="A14" s="22"/>
      <c r="B14" s="80">
        <f t="shared" si="2"/>
        <v>9</v>
      </c>
      <c r="C14" s="35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hidden="1" x14ac:dyDescent="0.3">
      <c r="A15" s="22"/>
      <c r="B15" s="80">
        <f t="shared" si="2"/>
        <v>10</v>
      </c>
      <c r="C15" s="35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hidden="1" x14ac:dyDescent="0.3">
      <c r="A16" s="22"/>
      <c r="B16" s="80">
        <f t="shared" si="2"/>
        <v>11</v>
      </c>
      <c r="C16" s="35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hidden="1" x14ac:dyDescent="0.3">
      <c r="A17" s="22"/>
      <c r="B17" s="80">
        <f t="shared" si="2"/>
        <v>12</v>
      </c>
      <c r="C17" s="35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hidden="1" x14ac:dyDescent="0.3">
      <c r="A18" s="22"/>
      <c r="B18" s="80">
        <f t="shared" si="2"/>
        <v>13</v>
      </c>
      <c r="C18" s="35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hidden="1" x14ac:dyDescent="0.3">
      <c r="A19" s="22"/>
      <c r="B19" s="80">
        <f t="shared" si="2"/>
        <v>14</v>
      </c>
      <c r="C19" s="35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80">
        <f t="shared" si="2"/>
        <v>15</v>
      </c>
      <c r="C20" s="35"/>
      <c r="D20" s="95"/>
      <c r="E20" s="95"/>
      <c r="F20" s="96"/>
      <c r="G20" s="96"/>
      <c r="H20" s="96"/>
      <c r="I20" s="96"/>
      <c r="J20" s="38">
        <f t="shared" si="3"/>
        <v>0</v>
      </c>
      <c r="K20" s="23"/>
      <c r="M20" s="75"/>
      <c r="N20" s="76"/>
      <c r="O20" s="76"/>
      <c r="P20" s="76"/>
      <c r="Q20" s="76"/>
      <c r="R20" s="77"/>
      <c r="V20" s="21">
        <f>SUM(V6:V19)</f>
        <v>8</v>
      </c>
      <c r="W20" s="21">
        <f>SUM(W6:W19)</f>
        <v>0</v>
      </c>
    </row>
    <row r="21" spans="1:23" ht="30" customHeight="1" thickBot="1" x14ac:dyDescent="0.5">
      <c r="A21" s="22"/>
      <c r="B21" s="162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85840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00000000-0004-0000-6000-000000000000}"/>
    <hyperlink ref="M1" location="'Home Page'!A1" display="Back" xr:uid="{00000000-0004-0000-6000-000001000000}"/>
  </hyperlinks>
  <pageMargins left="0" right="0" top="0" bottom="0" header="0" footer="0"/>
  <pageSetup paperSize="9" orientation="portrait" r:id="rId2"/>
  <drawing r:id="rId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4178-7DFC-4B1D-96C0-7E07BE64308D}">
  <dimension ref="A1:W22"/>
  <sheetViews>
    <sheetView zoomScale="97" zoomScaleNormal="97" workbookViewId="0">
      <selection activeCell="M22" sqref="M22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45323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10</v>
      </c>
      <c r="O4" s="147">
        <f>V20</f>
        <v>9</v>
      </c>
      <c r="P4" s="147">
        <f>W20</f>
        <v>1</v>
      </c>
      <c r="Q4" s="149">
        <f>N4-O4-P4</f>
        <v>0</v>
      </c>
      <c r="R4" s="151">
        <f>O4/N4</f>
        <v>0.9</v>
      </c>
    </row>
    <row r="5" spans="1:23" ht="15" thickBot="1" x14ac:dyDescent="0.35">
      <c r="A5" s="22"/>
      <c r="B5" s="106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80">
        <v>1</v>
      </c>
      <c r="C6" s="35">
        <v>45329</v>
      </c>
      <c r="D6" s="31" t="s">
        <v>19</v>
      </c>
      <c r="E6" s="31" t="s">
        <v>20</v>
      </c>
      <c r="F6" s="86">
        <v>46100</v>
      </c>
      <c r="G6" s="86">
        <v>46450</v>
      </c>
      <c r="H6" s="86">
        <v>350</v>
      </c>
      <c r="I6" s="32">
        <v>30</v>
      </c>
      <c r="J6" s="33">
        <f>I6*H6</f>
        <v>10500</v>
      </c>
      <c r="K6" s="23"/>
      <c r="M6" s="117" t="s">
        <v>67</v>
      </c>
      <c r="N6" s="118"/>
      <c r="O6" s="119"/>
      <c r="P6" s="126">
        <f>R4</f>
        <v>0.9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80">
        <f>B6+1</f>
        <v>2</v>
      </c>
      <c r="C7" s="35">
        <v>45330</v>
      </c>
      <c r="D7" s="36" t="s">
        <v>19</v>
      </c>
      <c r="E7" s="36" t="s">
        <v>172</v>
      </c>
      <c r="F7" s="80">
        <v>6250</v>
      </c>
      <c r="G7" s="80">
        <v>6320</v>
      </c>
      <c r="H7" s="80">
        <f>6320-6250</f>
        <v>70</v>
      </c>
      <c r="I7" s="37">
        <v>200</v>
      </c>
      <c r="J7" s="38">
        <f>I7*H7</f>
        <v>14000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80">
        <f t="shared" ref="B8:B20" si="2">B7+1</f>
        <v>3</v>
      </c>
      <c r="C8" s="35">
        <v>45330</v>
      </c>
      <c r="D8" s="36" t="s">
        <v>19</v>
      </c>
      <c r="E8" s="36" t="s">
        <v>148</v>
      </c>
      <c r="F8" s="80">
        <v>1065</v>
      </c>
      <c r="G8" s="80">
        <v>1078</v>
      </c>
      <c r="H8" s="80">
        <f>1078-1065</f>
        <v>13</v>
      </c>
      <c r="I8" s="37">
        <v>1200</v>
      </c>
      <c r="J8" s="38">
        <f t="shared" ref="J8:J20" si="3">I8*H8</f>
        <v>15600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80">
        <f>B8+1</f>
        <v>4</v>
      </c>
      <c r="C9" s="35">
        <v>45336</v>
      </c>
      <c r="D9" s="36" t="s">
        <v>19</v>
      </c>
      <c r="E9" s="36" t="s">
        <v>172</v>
      </c>
      <c r="F9" s="80">
        <v>6370</v>
      </c>
      <c r="G9" s="80">
        <v>6470</v>
      </c>
      <c r="H9" s="80">
        <v>100</v>
      </c>
      <c r="I9" s="80">
        <v>200</v>
      </c>
      <c r="J9" s="38">
        <f>I9*H9</f>
        <v>20000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80">
        <f t="shared" si="2"/>
        <v>5</v>
      </c>
      <c r="C10" s="35">
        <v>45341</v>
      </c>
      <c r="D10" s="36" t="s">
        <v>19</v>
      </c>
      <c r="E10" s="36" t="s">
        <v>235</v>
      </c>
      <c r="F10" s="80">
        <v>1385</v>
      </c>
      <c r="G10" s="80">
        <v>1360</v>
      </c>
      <c r="H10" s="80">
        <v>-25</v>
      </c>
      <c r="I10" s="80">
        <v>814</v>
      </c>
      <c r="J10" s="38">
        <f t="shared" si="3"/>
        <v>-20350</v>
      </c>
      <c r="K10" s="23"/>
      <c r="V10" s="21">
        <f t="shared" si="0"/>
        <v>0</v>
      </c>
      <c r="W10" s="21">
        <f t="shared" si="1"/>
        <v>1</v>
      </c>
    </row>
    <row r="11" spans="1:23" ht="15" thickBot="1" x14ac:dyDescent="0.35">
      <c r="A11" s="22"/>
      <c r="B11" s="80">
        <f t="shared" si="2"/>
        <v>6</v>
      </c>
      <c r="C11" s="35">
        <v>45342</v>
      </c>
      <c r="D11" s="36" t="s">
        <v>19</v>
      </c>
      <c r="E11" s="36" t="s">
        <v>236</v>
      </c>
      <c r="F11" s="80">
        <v>230</v>
      </c>
      <c r="G11" s="80">
        <v>232.75</v>
      </c>
      <c r="H11" s="80">
        <v>2.75</v>
      </c>
      <c r="I11" s="80">
        <v>10500</v>
      </c>
      <c r="J11" s="38">
        <f t="shared" si="3"/>
        <v>28875</v>
      </c>
      <c r="K11" s="23"/>
      <c r="L11" s="21" t="s">
        <v>88</v>
      </c>
      <c r="V11" s="21">
        <f t="shared" si="0"/>
        <v>1</v>
      </c>
      <c r="W11" s="21">
        <f t="shared" si="1"/>
        <v>0</v>
      </c>
    </row>
    <row r="12" spans="1:23" ht="15" thickTop="1" x14ac:dyDescent="0.3">
      <c r="A12" s="22"/>
      <c r="B12" s="80">
        <f t="shared" si="2"/>
        <v>7</v>
      </c>
      <c r="C12" s="35">
        <v>45342</v>
      </c>
      <c r="D12" s="36" t="s">
        <v>19</v>
      </c>
      <c r="E12" s="36" t="s">
        <v>20</v>
      </c>
      <c r="F12" s="80">
        <v>47100</v>
      </c>
      <c r="G12" s="80">
        <v>47400</v>
      </c>
      <c r="H12" s="80">
        <v>300</v>
      </c>
      <c r="I12" s="80">
        <v>30</v>
      </c>
      <c r="J12" s="38">
        <f t="shared" si="3"/>
        <v>9000</v>
      </c>
      <c r="K12" s="23"/>
      <c r="M12" s="69"/>
      <c r="N12" s="70"/>
      <c r="O12" s="70"/>
      <c r="P12" s="70"/>
      <c r="Q12" s="70"/>
      <c r="R12" s="71"/>
      <c r="V12" s="21">
        <f t="shared" si="0"/>
        <v>1</v>
      </c>
      <c r="W12" s="21">
        <f t="shared" si="1"/>
        <v>0</v>
      </c>
    </row>
    <row r="13" spans="1:23" x14ac:dyDescent="0.3">
      <c r="A13" s="22"/>
      <c r="B13" s="80">
        <f t="shared" si="2"/>
        <v>8</v>
      </c>
      <c r="C13" s="35">
        <v>45343</v>
      </c>
      <c r="D13" s="36" t="s">
        <v>19</v>
      </c>
      <c r="E13" s="36" t="s">
        <v>38</v>
      </c>
      <c r="F13" s="80">
        <v>1082</v>
      </c>
      <c r="G13" s="80">
        <v>1102</v>
      </c>
      <c r="H13" s="80">
        <f>1102-1082</f>
        <v>20</v>
      </c>
      <c r="I13" s="80">
        <v>1250</v>
      </c>
      <c r="J13" s="38">
        <f t="shared" si="3"/>
        <v>25000</v>
      </c>
      <c r="K13" s="23"/>
      <c r="M13" s="72"/>
      <c r="R13" s="73"/>
      <c r="V13" s="21">
        <f t="shared" si="0"/>
        <v>1</v>
      </c>
      <c r="W13" s="21">
        <f t="shared" si="1"/>
        <v>0</v>
      </c>
    </row>
    <row r="14" spans="1:23" x14ac:dyDescent="0.3">
      <c r="A14" s="22"/>
      <c r="B14" s="80">
        <f t="shared" si="2"/>
        <v>9</v>
      </c>
      <c r="C14" s="35">
        <v>45343</v>
      </c>
      <c r="D14" s="36" t="s">
        <v>19</v>
      </c>
      <c r="E14" s="36" t="s">
        <v>20</v>
      </c>
      <c r="F14" s="80">
        <v>47000</v>
      </c>
      <c r="G14" s="80">
        <v>47150</v>
      </c>
      <c r="H14" s="80">
        <v>150</v>
      </c>
      <c r="I14" s="80">
        <v>30</v>
      </c>
      <c r="J14" s="38">
        <f t="shared" si="3"/>
        <v>4500</v>
      </c>
      <c r="K14" s="23"/>
      <c r="M14" s="72"/>
      <c r="R14" s="73"/>
      <c r="V14" s="21">
        <f t="shared" si="0"/>
        <v>1</v>
      </c>
      <c r="W14" s="21">
        <f t="shared" si="1"/>
        <v>0</v>
      </c>
    </row>
    <row r="15" spans="1:23" x14ac:dyDescent="0.3">
      <c r="A15" s="22"/>
      <c r="B15" s="80">
        <f t="shared" si="2"/>
        <v>10</v>
      </c>
      <c r="C15" s="35">
        <v>45349</v>
      </c>
      <c r="D15" s="36" t="s">
        <v>19</v>
      </c>
      <c r="E15" s="36" t="s">
        <v>126</v>
      </c>
      <c r="F15" s="80">
        <v>4110</v>
      </c>
      <c r="G15" s="80">
        <v>4150</v>
      </c>
      <c r="H15" s="80">
        <v>40</v>
      </c>
      <c r="I15" s="80">
        <v>350</v>
      </c>
      <c r="J15" s="38">
        <f t="shared" si="3"/>
        <v>14000</v>
      </c>
      <c r="K15" s="23"/>
      <c r="M15" s="72"/>
      <c r="R15" s="73"/>
      <c r="V15" s="21">
        <f t="shared" si="0"/>
        <v>1</v>
      </c>
      <c r="W15" s="21">
        <f t="shared" si="1"/>
        <v>0</v>
      </c>
    </row>
    <row r="16" spans="1:23" x14ac:dyDescent="0.3">
      <c r="A16" s="22"/>
      <c r="B16" s="80">
        <f t="shared" si="2"/>
        <v>11</v>
      </c>
      <c r="C16" s="35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80">
        <f t="shared" si="2"/>
        <v>12</v>
      </c>
      <c r="C17" s="35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80">
        <f t="shared" si="2"/>
        <v>13</v>
      </c>
      <c r="C18" s="35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80">
        <f t="shared" si="2"/>
        <v>14</v>
      </c>
      <c r="C19" s="35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80">
        <f t="shared" si="2"/>
        <v>15</v>
      </c>
      <c r="C20" s="35"/>
      <c r="D20" s="95"/>
      <c r="E20" s="95"/>
      <c r="F20" s="96"/>
      <c r="G20" s="96"/>
      <c r="H20" s="96"/>
      <c r="I20" s="96"/>
      <c r="J20" s="38">
        <f t="shared" si="3"/>
        <v>0</v>
      </c>
      <c r="K20" s="23"/>
      <c r="M20" s="75"/>
      <c r="N20" s="76"/>
      <c r="O20" s="76"/>
      <c r="P20" s="76"/>
      <c r="Q20" s="76"/>
      <c r="R20" s="77"/>
      <c r="V20" s="21">
        <f>SUM(V6:V19)</f>
        <v>9</v>
      </c>
      <c r="W20" s="21">
        <f>SUM(W6:W19)</f>
        <v>1</v>
      </c>
    </row>
    <row r="21" spans="1:23" ht="30" customHeight="1" thickBot="1" x14ac:dyDescent="0.5">
      <c r="A21" s="22"/>
      <c r="B21" s="162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121125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6:O8"/>
    <mergeCell ref="P6:R8"/>
  </mergeCells>
  <hyperlinks>
    <hyperlink ref="B21" r:id="rId1" xr:uid="{585DE408-BED3-4068-AC17-51A991AE2FD0}"/>
    <hyperlink ref="M1" location="'Home Page'!A1" display="Back" xr:uid="{3E1655F4-0DD8-45BF-A991-DDC1629DE6F7}"/>
  </hyperlinks>
  <pageMargins left="0" right="0" top="0" bottom="0" header="0" footer="0"/>
  <pageSetup paperSize="9" orientation="portrait" r:id="rId2"/>
  <drawing r:id="rId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9409-FB4B-4C71-BB66-4D65E32740C6}">
  <dimension ref="A1:W22"/>
  <sheetViews>
    <sheetView zoomScale="97" zoomScaleNormal="97" workbookViewId="0">
      <selection activeCell="H9" sqref="H9"/>
    </sheetView>
  </sheetViews>
  <sheetFormatPr defaultColWidth="9.109375" defaultRowHeight="14.4" x14ac:dyDescent="0.3"/>
  <cols>
    <col min="1" max="1" width="7" style="21" customWidth="1"/>
    <col min="2" max="2" width="3.5546875" style="21" bestFit="1" customWidth="1"/>
    <col min="3" max="3" width="10.44140625" style="21" bestFit="1" customWidth="1"/>
    <col min="4" max="4" width="9.33203125" style="21" customWidth="1"/>
    <col min="5" max="5" width="16.5546875" style="21" customWidth="1"/>
    <col min="6" max="7" width="11.44140625" style="21" customWidth="1"/>
    <col min="8" max="8" width="12.88671875" style="21" customWidth="1"/>
    <col min="9" max="10" width="11.44140625" style="21" customWidth="1"/>
    <col min="11" max="11" width="7" style="21" customWidth="1"/>
    <col min="12" max="12" width="9.109375" style="21"/>
    <col min="13" max="13" width="15.33203125" style="21" bestFit="1" customWidth="1"/>
    <col min="14" max="17" width="9.109375" style="21"/>
    <col min="18" max="18" width="10.6640625" style="21" bestFit="1" customWidth="1"/>
    <col min="19" max="21" width="9.109375" style="21"/>
    <col min="22" max="23" width="0" style="21" hidden="1" customWidth="1"/>
    <col min="24" max="16384" width="9.109375" style="21"/>
  </cols>
  <sheetData>
    <row r="1" spans="1:23" ht="30" customHeight="1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M1" s="68" t="s">
        <v>70</v>
      </c>
    </row>
    <row r="2" spans="1:23" ht="25.2" thickBot="1" x14ac:dyDescent="0.35">
      <c r="A2" s="22" t="s">
        <v>0</v>
      </c>
      <c r="B2" s="153" t="s">
        <v>59</v>
      </c>
      <c r="C2" s="154"/>
      <c r="D2" s="154"/>
      <c r="E2" s="154"/>
      <c r="F2" s="154"/>
      <c r="G2" s="154"/>
      <c r="H2" s="154"/>
      <c r="I2" s="154"/>
      <c r="J2" s="155"/>
      <c r="K2" s="23"/>
      <c r="M2" s="156" t="s">
        <v>60</v>
      </c>
      <c r="N2" s="158" t="s">
        <v>61</v>
      </c>
      <c r="O2" s="112" t="s">
        <v>62</v>
      </c>
      <c r="P2" s="112" t="s">
        <v>63</v>
      </c>
      <c r="Q2" s="112" t="s">
        <v>64</v>
      </c>
      <c r="R2" s="138" t="s">
        <v>65</v>
      </c>
    </row>
    <row r="3" spans="1:23" ht="16.2" thickBot="1" x14ac:dyDescent="0.35">
      <c r="A3" s="22"/>
      <c r="B3" s="140">
        <v>45352</v>
      </c>
      <c r="C3" s="141"/>
      <c r="D3" s="141"/>
      <c r="E3" s="141"/>
      <c r="F3" s="141"/>
      <c r="G3" s="141"/>
      <c r="H3" s="141"/>
      <c r="I3" s="141"/>
      <c r="J3" s="142"/>
      <c r="K3" s="23"/>
      <c r="M3" s="157"/>
      <c r="N3" s="159"/>
      <c r="O3" s="113"/>
      <c r="P3" s="113"/>
      <c r="Q3" s="113"/>
      <c r="R3" s="139"/>
    </row>
    <row r="4" spans="1:23" ht="16.2" thickBot="1" x14ac:dyDescent="0.35">
      <c r="A4" s="22"/>
      <c r="B4" s="114" t="s">
        <v>89</v>
      </c>
      <c r="C4" s="115"/>
      <c r="D4" s="115"/>
      <c r="E4" s="115"/>
      <c r="F4" s="115"/>
      <c r="G4" s="115"/>
      <c r="H4" s="115"/>
      <c r="I4" s="115"/>
      <c r="J4" s="116"/>
      <c r="K4" s="23"/>
      <c r="M4" s="143" t="s">
        <v>90</v>
      </c>
      <c r="N4" s="145">
        <f>COUNT(C6:C20)</f>
        <v>5</v>
      </c>
      <c r="O4" s="147">
        <f>V20</f>
        <v>5</v>
      </c>
      <c r="P4" s="147">
        <f>W20</f>
        <v>0</v>
      </c>
      <c r="Q4" s="149">
        <f>N4-O4-P4</f>
        <v>0</v>
      </c>
      <c r="R4" s="151">
        <f>O4/N4</f>
        <v>1</v>
      </c>
    </row>
    <row r="5" spans="1:23" ht="15" thickBot="1" x14ac:dyDescent="0.35">
      <c r="A5" s="22"/>
      <c r="B5" s="106" t="s">
        <v>66</v>
      </c>
      <c r="C5" s="84" t="s">
        <v>2</v>
      </c>
      <c r="D5" s="87" t="s">
        <v>3</v>
      </c>
      <c r="E5" s="87" t="s">
        <v>4</v>
      </c>
      <c r="F5" s="82" t="s">
        <v>5</v>
      </c>
      <c r="G5" s="82" t="s">
        <v>6</v>
      </c>
      <c r="H5" s="82" t="s">
        <v>8</v>
      </c>
      <c r="I5" s="82" t="s">
        <v>7</v>
      </c>
      <c r="J5" s="81" t="s">
        <v>9</v>
      </c>
      <c r="K5" s="23"/>
      <c r="M5" s="144"/>
      <c r="N5" s="146"/>
      <c r="O5" s="148"/>
      <c r="P5" s="148"/>
      <c r="Q5" s="150"/>
      <c r="R5" s="152"/>
      <c r="V5" s="21" t="s">
        <v>62</v>
      </c>
      <c r="W5" s="21" t="s">
        <v>63</v>
      </c>
    </row>
    <row r="6" spans="1:23" x14ac:dyDescent="0.3">
      <c r="A6" s="22"/>
      <c r="B6" s="80">
        <v>1</v>
      </c>
      <c r="C6" s="35">
        <v>45356</v>
      </c>
      <c r="D6" s="31" t="s">
        <v>19</v>
      </c>
      <c r="E6" s="31" t="s">
        <v>237</v>
      </c>
      <c r="F6" s="86">
        <v>4950</v>
      </c>
      <c r="G6" s="86">
        <v>5000</v>
      </c>
      <c r="H6" s="86">
        <f>5000-4950</f>
        <v>50</v>
      </c>
      <c r="I6" s="32">
        <v>200</v>
      </c>
      <c r="J6" s="33">
        <f>I6*H6</f>
        <v>10000</v>
      </c>
      <c r="K6" s="23"/>
      <c r="M6" s="117" t="s">
        <v>67</v>
      </c>
      <c r="N6" s="118"/>
      <c r="O6" s="119"/>
      <c r="P6" s="126">
        <f>R4</f>
        <v>1</v>
      </c>
      <c r="Q6" s="127"/>
      <c r="R6" s="128"/>
      <c r="V6" s="21">
        <f>IF($J6&gt;0,1,0)</f>
        <v>1</v>
      </c>
      <c r="W6" s="21">
        <f>IF($J6&lt;0,1,0)</f>
        <v>0</v>
      </c>
    </row>
    <row r="7" spans="1:23" x14ac:dyDescent="0.3">
      <c r="A7" s="22"/>
      <c r="B7" s="80">
        <f>B6+1</f>
        <v>2</v>
      </c>
      <c r="C7" s="35">
        <v>45370</v>
      </c>
      <c r="D7" s="36" t="s">
        <v>19</v>
      </c>
      <c r="E7" s="36" t="s">
        <v>205</v>
      </c>
      <c r="F7" s="80">
        <v>1585</v>
      </c>
      <c r="G7" s="80">
        <v>1596</v>
      </c>
      <c r="H7" s="80">
        <f>1596-1585</f>
        <v>11</v>
      </c>
      <c r="I7" s="37">
        <v>1000</v>
      </c>
      <c r="J7" s="38">
        <f>I7*H7</f>
        <v>11000</v>
      </c>
      <c r="K7" s="23"/>
      <c r="M7" s="120"/>
      <c r="N7" s="121"/>
      <c r="O7" s="122"/>
      <c r="P7" s="129"/>
      <c r="Q7" s="130"/>
      <c r="R7" s="131"/>
      <c r="V7" s="21">
        <f t="shared" ref="V7:V19" si="0">IF($J7&gt;0,1,0)</f>
        <v>1</v>
      </c>
      <c r="W7" s="21">
        <f t="shared" ref="W7:W19" si="1">IF($J7&lt;0,1,0)</f>
        <v>0</v>
      </c>
    </row>
    <row r="8" spans="1:23" ht="15" thickBot="1" x14ac:dyDescent="0.35">
      <c r="A8" s="22"/>
      <c r="B8" s="80">
        <f t="shared" ref="B8:B20" si="2">B7+1</f>
        <v>3</v>
      </c>
      <c r="C8" s="35">
        <v>45370</v>
      </c>
      <c r="D8" s="36" t="s">
        <v>12</v>
      </c>
      <c r="E8" s="36" t="s">
        <v>16</v>
      </c>
      <c r="F8" s="80">
        <v>21900</v>
      </c>
      <c r="G8" s="80">
        <v>21800</v>
      </c>
      <c r="H8" s="80">
        <v>100</v>
      </c>
      <c r="I8" s="37">
        <v>100</v>
      </c>
      <c r="J8" s="38">
        <f t="shared" ref="J8:J20" si="3">I8*H8</f>
        <v>10000</v>
      </c>
      <c r="K8" s="23"/>
      <c r="M8" s="123"/>
      <c r="N8" s="124"/>
      <c r="O8" s="125"/>
      <c r="P8" s="132"/>
      <c r="Q8" s="133"/>
      <c r="R8" s="134"/>
      <c r="V8" s="21">
        <f t="shared" si="0"/>
        <v>1</v>
      </c>
      <c r="W8" s="21">
        <f t="shared" si="1"/>
        <v>0</v>
      </c>
    </row>
    <row r="9" spans="1:23" x14ac:dyDescent="0.3">
      <c r="A9" s="22"/>
      <c r="B9" s="80">
        <f>B8+1</f>
        <v>4</v>
      </c>
      <c r="C9" s="35">
        <v>45378</v>
      </c>
      <c r="D9" s="36" t="s">
        <v>19</v>
      </c>
      <c r="E9" s="36" t="s">
        <v>16</v>
      </c>
      <c r="F9" s="80">
        <v>22180</v>
      </c>
      <c r="G9" s="80">
        <v>22230</v>
      </c>
      <c r="H9" s="80">
        <f>22230-22180</f>
        <v>50</v>
      </c>
      <c r="I9" s="80">
        <v>100</v>
      </c>
      <c r="J9" s="38">
        <f>I9*H9</f>
        <v>5000</v>
      </c>
      <c r="K9" s="23"/>
      <c r="V9" s="21">
        <f t="shared" si="0"/>
        <v>1</v>
      </c>
      <c r="W9" s="21">
        <f t="shared" si="1"/>
        <v>0</v>
      </c>
    </row>
    <row r="10" spans="1:23" x14ac:dyDescent="0.3">
      <c r="A10" s="22"/>
      <c r="B10" s="80">
        <f t="shared" si="2"/>
        <v>5</v>
      </c>
      <c r="C10" s="35">
        <v>45378</v>
      </c>
      <c r="D10" s="36" t="s">
        <v>19</v>
      </c>
      <c r="E10" s="36" t="s">
        <v>238</v>
      </c>
      <c r="F10" s="80">
        <v>7420</v>
      </c>
      <c r="G10" s="80">
        <v>7549</v>
      </c>
      <c r="H10" s="80">
        <f>7549-7420</f>
        <v>129</v>
      </c>
      <c r="I10" s="80">
        <v>200</v>
      </c>
      <c r="J10" s="38">
        <f t="shared" si="3"/>
        <v>25800</v>
      </c>
      <c r="K10" s="23"/>
      <c r="V10" s="21">
        <f t="shared" si="0"/>
        <v>1</v>
      </c>
      <c r="W10" s="21">
        <f t="shared" si="1"/>
        <v>0</v>
      </c>
    </row>
    <row r="11" spans="1:23" ht="15" thickBot="1" x14ac:dyDescent="0.35">
      <c r="A11" s="22"/>
      <c r="B11" s="80">
        <f t="shared" si="2"/>
        <v>6</v>
      </c>
      <c r="C11" s="35"/>
      <c r="D11" s="36"/>
      <c r="E11" s="36"/>
      <c r="F11" s="80"/>
      <c r="G11" s="80"/>
      <c r="H11" s="80"/>
      <c r="I11" s="80"/>
      <c r="J11" s="38">
        <f t="shared" si="3"/>
        <v>0</v>
      </c>
      <c r="K11" s="23"/>
      <c r="L11" s="21" t="s">
        <v>88</v>
      </c>
      <c r="V11" s="21">
        <f t="shared" si="0"/>
        <v>0</v>
      </c>
      <c r="W11" s="21">
        <f t="shared" si="1"/>
        <v>0</v>
      </c>
    </row>
    <row r="12" spans="1:23" ht="15" thickTop="1" x14ac:dyDescent="0.3">
      <c r="A12" s="22"/>
      <c r="B12" s="80">
        <f t="shared" si="2"/>
        <v>7</v>
      </c>
      <c r="C12" s="35"/>
      <c r="D12" s="36"/>
      <c r="E12" s="36"/>
      <c r="F12" s="80"/>
      <c r="G12" s="80"/>
      <c r="H12" s="80"/>
      <c r="I12" s="80"/>
      <c r="J12" s="38">
        <f t="shared" si="3"/>
        <v>0</v>
      </c>
      <c r="K12" s="23"/>
      <c r="M12" s="69"/>
      <c r="N12" s="70"/>
      <c r="O12" s="70"/>
      <c r="P12" s="70"/>
      <c r="Q12" s="70"/>
      <c r="R12" s="71"/>
      <c r="V12" s="21">
        <f t="shared" si="0"/>
        <v>0</v>
      </c>
      <c r="W12" s="21">
        <f t="shared" si="1"/>
        <v>0</v>
      </c>
    </row>
    <row r="13" spans="1:23" x14ac:dyDescent="0.3">
      <c r="A13" s="22"/>
      <c r="B13" s="80">
        <f t="shared" si="2"/>
        <v>8</v>
      </c>
      <c r="C13" s="35"/>
      <c r="D13" s="36"/>
      <c r="E13" s="36"/>
      <c r="F13" s="80"/>
      <c r="G13" s="80"/>
      <c r="H13" s="80"/>
      <c r="I13" s="80"/>
      <c r="J13" s="38">
        <f t="shared" si="3"/>
        <v>0</v>
      </c>
      <c r="K13" s="23"/>
      <c r="M13" s="72"/>
      <c r="R13" s="73"/>
      <c r="V13" s="21">
        <f t="shared" si="0"/>
        <v>0</v>
      </c>
      <c r="W13" s="21">
        <f t="shared" si="1"/>
        <v>0</v>
      </c>
    </row>
    <row r="14" spans="1:23" x14ac:dyDescent="0.3">
      <c r="A14" s="22"/>
      <c r="B14" s="80">
        <f t="shared" si="2"/>
        <v>9</v>
      </c>
      <c r="C14" s="35"/>
      <c r="D14" s="36"/>
      <c r="E14" s="36"/>
      <c r="F14" s="80"/>
      <c r="G14" s="80"/>
      <c r="H14" s="80"/>
      <c r="I14" s="80"/>
      <c r="J14" s="38">
        <f t="shared" si="3"/>
        <v>0</v>
      </c>
      <c r="K14" s="23"/>
      <c r="M14" s="72"/>
      <c r="R14" s="73"/>
      <c r="V14" s="21">
        <f t="shared" si="0"/>
        <v>0</v>
      </c>
      <c r="W14" s="21">
        <f t="shared" si="1"/>
        <v>0</v>
      </c>
    </row>
    <row r="15" spans="1:23" x14ac:dyDescent="0.3">
      <c r="A15" s="22"/>
      <c r="B15" s="80">
        <f t="shared" si="2"/>
        <v>10</v>
      </c>
      <c r="C15" s="35"/>
      <c r="D15" s="36"/>
      <c r="E15" s="36"/>
      <c r="F15" s="80"/>
      <c r="G15" s="80"/>
      <c r="H15" s="80"/>
      <c r="I15" s="80"/>
      <c r="J15" s="38">
        <f t="shared" si="3"/>
        <v>0</v>
      </c>
      <c r="K15" s="23"/>
      <c r="M15" s="72"/>
      <c r="R15" s="73"/>
      <c r="V15" s="21">
        <f t="shared" si="0"/>
        <v>0</v>
      </c>
      <c r="W15" s="21">
        <f t="shared" si="1"/>
        <v>0</v>
      </c>
    </row>
    <row r="16" spans="1:23" x14ac:dyDescent="0.3">
      <c r="A16" s="22"/>
      <c r="B16" s="80">
        <f t="shared" si="2"/>
        <v>11</v>
      </c>
      <c r="C16" s="35"/>
      <c r="D16" s="36"/>
      <c r="E16" s="36"/>
      <c r="F16" s="80"/>
      <c r="G16" s="80"/>
      <c r="H16" s="80"/>
      <c r="I16" s="80"/>
      <c r="J16" s="38">
        <f t="shared" si="3"/>
        <v>0</v>
      </c>
      <c r="K16" s="23"/>
      <c r="M16" s="72"/>
      <c r="R16" s="73"/>
      <c r="V16" s="21">
        <f t="shared" si="0"/>
        <v>0</v>
      </c>
      <c r="W16" s="21">
        <f t="shared" si="1"/>
        <v>0</v>
      </c>
    </row>
    <row r="17" spans="1:23" x14ac:dyDescent="0.3">
      <c r="A17" s="22"/>
      <c r="B17" s="80">
        <f t="shared" si="2"/>
        <v>12</v>
      </c>
      <c r="C17" s="35"/>
      <c r="D17" s="36"/>
      <c r="E17" s="36"/>
      <c r="F17" s="80"/>
      <c r="G17" s="80"/>
      <c r="H17" s="80"/>
      <c r="I17" s="80"/>
      <c r="J17" s="38">
        <f t="shared" si="3"/>
        <v>0</v>
      </c>
      <c r="K17" s="23"/>
      <c r="M17" s="72"/>
      <c r="R17" s="73"/>
      <c r="V17" s="21">
        <f t="shared" si="0"/>
        <v>0</v>
      </c>
      <c r="W17" s="21">
        <f t="shared" si="1"/>
        <v>0</v>
      </c>
    </row>
    <row r="18" spans="1:23" x14ac:dyDescent="0.3">
      <c r="A18" s="22"/>
      <c r="B18" s="80">
        <f t="shared" si="2"/>
        <v>13</v>
      </c>
      <c r="C18" s="35"/>
      <c r="D18" s="36"/>
      <c r="E18" s="36"/>
      <c r="F18" s="80"/>
      <c r="G18" s="80"/>
      <c r="H18" s="80"/>
      <c r="I18" s="80"/>
      <c r="J18" s="38">
        <f t="shared" si="3"/>
        <v>0</v>
      </c>
      <c r="K18" s="23"/>
      <c r="M18" s="72"/>
      <c r="R18" s="73"/>
      <c r="V18" s="21">
        <f t="shared" si="0"/>
        <v>0</v>
      </c>
      <c r="W18" s="21">
        <f t="shared" si="1"/>
        <v>0</v>
      </c>
    </row>
    <row r="19" spans="1:23" x14ac:dyDescent="0.3">
      <c r="A19" s="22"/>
      <c r="B19" s="80">
        <f t="shared" si="2"/>
        <v>14</v>
      </c>
      <c r="C19" s="35"/>
      <c r="D19" s="36"/>
      <c r="E19" s="36"/>
      <c r="F19" s="80"/>
      <c r="G19" s="80"/>
      <c r="H19" s="80"/>
      <c r="I19" s="80"/>
      <c r="J19" s="38">
        <f t="shared" si="3"/>
        <v>0</v>
      </c>
      <c r="K19" s="23"/>
      <c r="M19" s="72"/>
      <c r="O19" s="39"/>
      <c r="P19" s="39"/>
      <c r="Q19" s="39"/>
      <c r="R19" s="74"/>
      <c r="V19" s="21">
        <f t="shared" si="0"/>
        <v>0</v>
      </c>
      <c r="W19" s="21">
        <f t="shared" si="1"/>
        <v>0</v>
      </c>
    </row>
    <row r="20" spans="1:23" ht="15" thickBot="1" x14ac:dyDescent="0.35">
      <c r="A20" s="22"/>
      <c r="B20" s="80">
        <f t="shared" si="2"/>
        <v>15</v>
      </c>
      <c r="C20" s="35"/>
      <c r="D20" s="95"/>
      <c r="E20" s="95"/>
      <c r="F20" s="96"/>
      <c r="G20" s="96"/>
      <c r="H20" s="96"/>
      <c r="I20" s="96"/>
      <c r="J20" s="38">
        <f t="shared" si="3"/>
        <v>0</v>
      </c>
      <c r="K20" s="23"/>
      <c r="M20" s="75"/>
      <c r="N20" s="76"/>
      <c r="O20" s="76"/>
      <c r="P20" s="76"/>
      <c r="Q20" s="76"/>
      <c r="R20" s="77"/>
      <c r="V20" s="21">
        <f>SUM(V6:V19)</f>
        <v>5</v>
      </c>
      <c r="W20" s="21">
        <f>SUM(W6:W19)</f>
        <v>0</v>
      </c>
    </row>
    <row r="21" spans="1:23" ht="30" customHeight="1" thickBot="1" x14ac:dyDescent="0.5">
      <c r="A21" s="22"/>
      <c r="B21" s="162" t="s">
        <v>68</v>
      </c>
      <c r="C21" s="160"/>
      <c r="D21" s="160"/>
      <c r="E21" s="160"/>
      <c r="F21" s="160"/>
      <c r="G21" s="160"/>
      <c r="H21" s="161"/>
      <c r="I21" s="88" t="s">
        <v>69</v>
      </c>
      <c r="J21" s="89">
        <f>SUM(J6:J20)</f>
        <v>61800</v>
      </c>
      <c r="K21" s="23"/>
    </row>
    <row r="22" spans="1:23" ht="30.75" customHeight="1" thickBot="1" x14ac:dyDescent="0.3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4"/>
    </row>
  </sheetData>
  <mergeCells count="18">
    <mergeCell ref="P2:P3"/>
    <mergeCell ref="Q2:Q3"/>
    <mergeCell ref="M6:O8"/>
    <mergeCell ref="P6:R8"/>
    <mergeCell ref="B21:H21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</mergeCells>
  <hyperlinks>
    <hyperlink ref="B21" r:id="rId1" xr:uid="{3DF87AAA-7506-4742-99EA-89A1741C5E92}"/>
    <hyperlink ref="M1" location="'Home Page'!A1" display="Back" xr:uid="{B703C804-E2DB-4026-A077-904B7C9279BA}"/>
  </hyperlinks>
  <pageMargins left="0" right="0" top="0" bottom="0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100</vt:i4>
      </vt:variant>
    </vt:vector>
  </HeadingPairs>
  <TitlesOfParts>
    <vt:vector size="100" baseType="lpstr">
      <vt:lpstr>JAN 2016</vt:lpstr>
      <vt:lpstr>FEB 2016</vt:lpstr>
      <vt:lpstr>MARCH 2016</vt:lpstr>
      <vt:lpstr>APRIL 2016</vt:lpstr>
      <vt:lpstr>MAY 2016</vt:lpstr>
      <vt:lpstr>JUNE 2016</vt:lpstr>
      <vt:lpstr>JULY 2016</vt:lpstr>
      <vt:lpstr>AUG 2016</vt:lpstr>
      <vt:lpstr>SEP 2016</vt:lpstr>
      <vt:lpstr>OCT 2016</vt:lpstr>
      <vt:lpstr>NOV 2016</vt:lpstr>
      <vt:lpstr>DEC 2016</vt:lpstr>
      <vt:lpstr>JAN 2017</vt:lpstr>
      <vt:lpstr>FEB 2017</vt:lpstr>
      <vt:lpstr>MARCH 2017</vt:lpstr>
      <vt:lpstr>APRIL 2017</vt:lpstr>
      <vt:lpstr>MAY 2017</vt:lpstr>
      <vt:lpstr>JUNE 2017</vt:lpstr>
      <vt:lpstr>JULY 2017</vt:lpstr>
      <vt:lpstr>AUG 2017</vt:lpstr>
      <vt:lpstr>SEP 2017</vt:lpstr>
      <vt:lpstr>OCT 2017</vt:lpstr>
      <vt:lpstr>NOV 2017</vt:lpstr>
      <vt:lpstr>DEC 2017</vt:lpstr>
      <vt:lpstr>JAN 2018</vt:lpstr>
      <vt:lpstr>FEB 2018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DEC-2018</vt:lpstr>
      <vt:lpstr>JAN 2019</vt:lpstr>
      <vt:lpstr>FEB 2019</vt:lpstr>
      <vt:lpstr>MARCH 2019</vt:lpstr>
      <vt:lpstr>APRIL 2019</vt:lpstr>
      <vt:lpstr>MAY 2019</vt:lpstr>
      <vt:lpstr>JUN 2019</vt:lpstr>
      <vt:lpstr>JULY 2019</vt:lpstr>
      <vt:lpstr>AUGUST 2019</vt:lpstr>
      <vt:lpstr>SEP 2019</vt:lpstr>
      <vt:lpstr>OCT 2019</vt:lpstr>
      <vt:lpstr>NOV 2019</vt:lpstr>
      <vt:lpstr>DEC 2019</vt:lpstr>
      <vt:lpstr>JAN 2020</vt:lpstr>
      <vt:lpstr>FEB 2020</vt:lpstr>
      <vt:lpstr>MARCH 2020</vt:lpstr>
      <vt:lpstr>APRIL 2020</vt:lpstr>
      <vt:lpstr>MAY 2020</vt:lpstr>
      <vt:lpstr>JUNE 2020</vt:lpstr>
      <vt:lpstr>JULY 2020</vt:lpstr>
      <vt:lpstr>AUGUST 2020</vt:lpstr>
      <vt:lpstr>SEP 2020</vt:lpstr>
      <vt:lpstr>OCT 2020</vt:lpstr>
      <vt:lpstr>NOV 2020</vt:lpstr>
      <vt:lpstr>DEC 2020</vt:lpstr>
      <vt:lpstr>JAN 2021</vt:lpstr>
      <vt:lpstr>FEB 2021</vt:lpstr>
      <vt:lpstr>MARCH 2021</vt:lpstr>
      <vt:lpstr>APRIL 2021</vt:lpstr>
      <vt:lpstr>MAY 2021</vt:lpstr>
      <vt:lpstr>JUNE 2021</vt:lpstr>
      <vt:lpstr>JULY 2021</vt:lpstr>
      <vt:lpstr>AUGUST 2021</vt:lpstr>
      <vt:lpstr>SEP 2021</vt:lpstr>
      <vt:lpstr>OCT 2021</vt:lpstr>
      <vt:lpstr>NOV 2021</vt:lpstr>
      <vt:lpstr>DEC 2021</vt:lpstr>
      <vt:lpstr>JAN 2022</vt:lpstr>
      <vt:lpstr>FEB 2022</vt:lpstr>
      <vt:lpstr>MARCH 2022</vt:lpstr>
      <vt:lpstr>APRIL 2022</vt:lpstr>
      <vt:lpstr>MAY 2022</vt:lpstr>
      <vt:lpstr>JUN 2022</vt:lpstr>
      <vt:lpstr>JULY 2022</vt:lpstr>
      <vt:lpstr>AUGUST 2022</vt:lpstr>
      <vt:lpstr>SEP 2022</vt:lpstr>
      <vt:lpstr>OCT 2022</vt:lpstr>
      <vt:lpstr>NOV 2022</vt:lpstr>
      <vt:lpstr>DEC 2022</vt:lpstr>
      <vt:lpstr>JAN 2023</vt:lpstr>
      <vt:lpstr>FEB 2023</vt:lpstr>
      <vt:lpstr>MARCH 2023</vt:lpstr>
      <vt:lpstr>APRIL 2023</vt:lpstr>
      <vt:lpstr>MAY 2023</vt:lpstr>
      <vt:lpstr>JUN 2023</vt:lpstr>
      <vt:lpstr>JULY 2023</vt:lpstr>
      <vt:lpstr>AUGUST 2023</vt:lpstr>
      <vt:lpstr>SEP 2023</vt:lpstr>
      <vt:lpstr>OCT 2023</vt:lpstr>
      <vt:lpstr>NOV 2023</vt:lpstr>
      <vt:lpstr>DEC 2023</vt:lpstr>
      <vt:lpstr>JAN 2024</vt:lpstr>
      <vt:lpstr>FEB 2024</vt:lpstr>
      <vt:lpstr>MARCH 2024</vt:lpstr>
      <vt:lpstr>Home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DELL</cp:lastModifiedBy>
  <dcterms:created xsi:type="dcterms:W3CDTF">2016-02-04T11:07:45Z</dcterms:created>
  <dcterms:modified xsi:type="dcterms:W3CDTF">2024-04-01T07:01:55Z</dcterms:modified>
</cp:coreProperties>
</file>