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omments3.xml" ContentType="application/vnd.openxmlformats-officedocument.spreadsheetml.comments+xml"/>
  <Override PartName="/xl/drawings/drawing80.xml" ContentType="application/vnd.openxmlformats-officedocument.drawing+xml"/>
  <Override PartName="/xl/comments4.xml" ContentType="application/vnd.openxmlformats-officedocument.spreadsheetml.comments+xml"/>
  <Override PartName="/xl/drawings/drawing81.xml" ContentType="application/vnd.openxmlformats-officedocument.drawing+xml"/>
  <Override PartName="/xl/comments5.xml" ContentType="application/vnd.openxmlformats-officedocument.spreadsheetml.comments+xml"/>
  <Override PartName="/xl/drawings/drawing82.xml" ContentType="application/vnd.openxmlformats-officedocument.drawing+xml"/>
  <Override PartName="/xl/comments6.xml" ContentType="application/vnd.openxmlformats-officedocument.spreadsheetml.comments+xml"/>
  <Override PartName="/xl/drawings/drawing83.xml" ContentType="application/vnd.openxmlformats-officedocument.drawing+xml"/>
  <Override PartName="/xl/comments7.xml" ContentType="application/vnd.openxmlformats-officedocument.spreadsheetml.comments+xml"/>
  <Override PartName="/xl/drawings/drawing84.xml" ContentType="application/vnd.openxmlformats-officedocument.drawing+xml"/>
  <Override PartName="/xl/comments8.xml" ContentType="application/vnd.openxmlformats-officedocument.spreadsheetml.comments+xml"/>
  <Override PartName="/xl/drawings/drawing85.xml" ContentType="application/vnd.openxmlformats-officedocument.drawing+xml"/>
  <Override PartName="/xl/comments9.xml" ContentType="application/vnd.openxmlformats-officedocument.spreadsheetml.comments+xml"/>
  <Override PartName="/xl/drawings/drawing86.xml" ContentType="application/vnd.openxmlformats-officedocument.drawing+xml"/>
  <Override PartName="/xl/comments10.xml" ContentType="application/vnd.openxmlformats-officedocument.spreadsheetml.comments+xml"/>
  <Override PartName="/xl/drawings/drawing87.xml" ContentType="application/vnd.openxmlformats-officedocument.drawing+xml"/>
  <Override PartName="/xl/comments11.xml" ContentType="application/vnd.openxmlformats-officedocument.spreadsheetml.comments+xml"/>
  <Override PartName="/xl/drawings/drawing88.xml" ContentType="application/vnd.openxmlformats-officedocument.drawing+xml"/>
  <Override PartName="/xl/comments12.xml" ContentType="application/vnd.openxmlformats-officedocument.spreadsheetml.comments+xml"/>
  <Override PartName="/xl/drawings/drawing89.xml" ContentType="application/vnd.openxmlformats-officedocument.drawing+xml"/>
  <Override PartName="/xl/comments13.xml" ContentType="application/vnd.openxmlformats-officedocument.spreadsheetml.comments+xml"/>
  <Override PartName="/xl/drawings/drawing90.xml" ContentType="application/vnd.openxmlformats-officedocument.drawing+xml"/>
  <Override PartName="/xl/comments14.xml" ContentType="application/vnd.openxmlformats-officedocument.spreadsheetml.comments+xml"/>
  <Override PartName="/xl/drawings/drawing91.xml" ContentType="application/vnd.openxmlformats-officedocument.drawing+xml"/>
  <Override PartName="/xl/comments15.xml" ContentType="application/vnd.openxmlformats-officedocument.spreadsheetml.comment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Madhavi 2017\"/>
    </mc:Choice>
  </mc:AlternateContent>
  <xr:revisionPtr revIDLastSave="0" documentId="13_ncr:1_{7D8D189E-C334-472D-82F0-F8EC46A8F34C}" xr6:coauthVersionLast="47" xr6:coauthVersionMax="47" xr10:uidLastSave="{00000000-0000-0000-0000-000000000000}"/>
  <bookViews>
    <workbookView xWindow="-108" yWindow="-108" windowWidth="23256" windowHeight="12576" firstSheet="149" activeTab="151" xr2:uid="{00000000-000D-0000-FFFF-FFFF00000000}"/>
  </bookViews>
  <sheets>
    <sheet name="DEC 2012" sheetId="1" r:id="rId1"/>
    <sheet name="JAN 2013" sheetId="2" r:id="rId2"/>
    <sheet name="FEB 2013" sheetId="3" r:id="rId3"/>
    <sheet name="MARCH 2013" sheetId="4" r:id="rId4"/>
    <sheet name="APRIL2013" sheetId="5" r:id="rId5"/>
    <sheet name="MAY 2013" sheetId="6" r:id="rId6"/>
    <sheet name="JUNE 2013" sheetId="7" r:id="rId7"/>
    <sheet name="JULY 2013" sheetId="8" r:id="rId8"/>
    <sheet name="AUG 2013" sheetId="9" r:id="rId9"/>
    <sheet name="SEP 2013" sheetId="10" r:id="rId10"/>
    <sheet name="OCT 2013" sheetId="11" r:id="rId11"/>
    <sheet name="NOV 13" sheetId="12" r:id="rId12"/>
    <sheet name="DEC 13" sheetId="13" r:id="rId13"/>
    <sheet name=" JAN 2014" sheetId="14" r:id="rId14"/>
    <sheet name="FEB 2014" sheetId="15" r:id="rId15"/>
    <sheet name="MARCH 2014" sheetId="16" r:id="rId16"/>
    <sheet name="APRIL 2014" sheetId="17" r:id="rId17"/>
    <sheet name="MAY 2014" sheetId="18" r:id="rId18"/>
    <sheet name="JUNE 2014" sheetId="19" r:id="rId19"/>
    <sheet name="JULY 2014" sheetId="20" r:id="rId20"/>
    <sheet name="AUG 2014" sheetId="21" r:id="rId21"/>
    <sheet name="SEP 2014" sheetId="22" r:id="rId22"/>
    <sheet name="OCT 2014" sheetId="23" r:id="rId23"/>
    <sheet name="NOV 2014" sheetId="24" r:id="rId24"/>
    <sheet name="DEC 2014" sheetId="25" r:id="rId25"/>
    <sheet name="JAN 2015" sheetId="26" r:id="rId26"/>
    <sheet name="FEB 2015" sheetId="27" r:id="rId27"/>
    <sheet name="MARCH 2015" sheetId="28" r:id="rId28"/>
    <sheet name="APRIL 2015" sheetId="29" r:id="rId29"/>
    <sheet name="MAY 2015" sheetId="30" r:id="rId30"/>
    <sheet name="JUNE 2015" sheetId="31" r:id="rId31"/>
    <sheet name="JULY 2015" sheetId="32" r:id="rId32"/>
    <sheet name="AUGUST 2015" sheetId="33" r:id="rId33"/>
    <sheet name="SEP 2015" sheetId="34" r:id="rId34"/>
    <sheet name="OCT 2015" sheetId="35" r:id="rId35"/>
    <sheet name="NOV 2015" sheetId="37" r:id="rId36"/>
    <sheet name="DEC 2015" sheetId="38" r:id="rId37"/>
    <sheet name="JAN 2016" sheetId="39" r:id="rId38"/>
    <sheet name="FEB 2016" sheetId="41" r:id="rId39"/>
    <sheet name="MARCH 2016" sheetId="42" r:id="rId40"/>
    <sheet name="APRIL 2016" sheetId="43" r:id="rId41"/>
    <sheet name="MAY 2016" sheetId="44" r:id="rId42"/>
    <sheet name="JUNE 2016" sheetId="45" r:id="rId43"/>
    <sheet name="JULY 2016" sheetId="46" r:id="rId44"/>
    <sheet name="AUG 2016" sheetId="47" r:id="rId45"/>
    <sheet name="SEP 2016" sheetId="48" r:id="rId46"/>
    <sheet name="OCT 2016" sheetId="49" r:id="rId47"/>
    <sheet name="NOV 2016" sheetId="50" r:id="rId48"/>
    <sheet name="DEC 2016" sheetId="51" r:id="rId49"/>
    <sheet name="JAN 2017" sheetId="52" r:id="rId50"/>
    <sheet name="FEB 2017" sheetId="53" r:id="rId51"/>
    <sheet name="MARCH 2017" sheetId="54" r:id="rId52"/>
    <sheet name="APRIL 2017" sheetId="55" r:id="rId53"/>
    <sheet name="MAY 2017" sheetId="56" r:id="rId54"/>
    <sheet name="JUNE 2017" sheetId="57" r:id="rId55"/>
    <sheet name="JULY 2017" sheetId="58" r:id="rId56"/>
    <sheet name="AUG-2017" sheetId="60" r:id="rId57"/>
    <sheet name="SEP-2017" sheetId="62" r:id="rId58"/>
    <sheet name="OCT-2017" sheetId="66" r:id="rId59"/>
    <sheet name="NOV-2017" sheetId="67" r:id="rId60"/>
    <sheet name="DEC 2017" sheetId="68" r:id="rId61"/>
    <sheet name="JAN 2018" sheetId="70" r:id="rId62"/>
    <sheet name="FEB 2018" sheetId="71" r:id="rId63"/>
    <sheet name="MARCH 2018" sheetId="72" r:id="rId64"/>
    <sheet name="APRIL-2018" sheetId="73" r:id="rId65"/>
    <sheet name="MAY-2018" sheetId="74" r:id="rId66"/>
    <sheet name="JUNE-2018" sheetId="75" r:id="rId67"/>
    <sheet name="JULY-2018" sheetId="76" r:id="rId68"/>
    <sheet name="AUGUST-2018" sheetId="77" r:id="rId69"/>
    <sheet name="SEP-2018" sheetId="78" r:id="rId70"/>
    <sheet name="OCT -2018" sheetId="79" r:id="rId71"/>
    <sheet name="NOV-2018" sheetId="80" r:id="rId72"/>
    <sheet name="DEC-2018" sheetId="81" r:id="rId73"/>
    <sheet name="JAN-2019" sheetId="83" r:id="rId74"/>
    <sheet name="FEB-2019" sheetId="84" r:id="rId75"/>
    <sheet name="MARCH 2019" sheetId="85" r:id="rId76"/>
    <sheet name="APRIL 2019" sheetId="86" r:id="rId77"/>
    <sheet name="MAY 2019" sheetId="87" r:id="rId78"/>
    <sheet name="JUN 2019" sheetId="88" r:id="rId79"/>
    <sheet name="JULY 2019" sheetId="89" r:id="rId80"/>
    <sheet name="AUGUST 2019" sheetId="90" r:id="rId81"/>
    <sheet name="SEP 2019" sheetId="91" r:id="rId82"/>
    <sheet name="OCT 2019" sheetId="92" r:id="rId83"/>
    <sheet name="NOV 2019" sheetId="93" r:id="rId84"/>
    <sheet name="DEC 2019" sheetId="94" r:id="rId85"/>
    <sheet name="JAN 2020" sheetId="95" r:id="rId86"/>
    <sheet name="FEB 2020" sheetId="96" r:id="rId87"/>
    <sheet name="MARCH 2020" sheetId="97" r:id="rId88"/>
    <sheet name="APRIL 2020" sheetId="98" r:id="rId89"/>
    <sheet name="MAY 2020" sheetId="99" r:id="rId90"/>
    <sheet name="JUNE 2020" sheetId="100" r:id="rId91"/>
    <sheet name="JULY 2020" sheetId="101" r:id="rId92"/>
    <sheet name="AUGUST 2020" sheetId="102" r:id="rId93"/>
    <sheet name="SEP 2020" sheetId="103" r:id="rId94"/>
    <sheet name="OCT 2020" sheetId="104" r:id="rId95"/>
    <sheet name="NOV 2020" sheetId="105" r:id="rId96"/>
    <sheet name="DEC 2020" sheetId="106" r:id="rId97"/>
    <sheet name="JAN 2021" sheetId="107" r:id="rId98"/>
    <sheet name="FEB 2021" sheetId="108" r:id="rId99"/>
    <sheet name="MARCH 2021" sheetId="109" r:id="rId100"/>
    <sheet name="APRIL 2021" sheetId="110" r:id="rId101"/>
    <sheet name="MAY 2021" sheetId="111" r:id="rId102"/>
    <sheet name="JUNE 2021" sheetId="112" r:id="rId103"/>
    <sheet name="JULY 2021" sheetId="113" r:id="rId104"/>
    <sheet name="AUGUST 2021" sheetId="114" r:id="rId105"/>
    <sheet name="SEP 2021" sheetId="115" r:id="rId106"/>
    <sheet name="OCT 2021" sheetId="116" r:id="rId107"/>
    <sheet name="NOV 2021" sheetId="117" r:id="rId108"/>
    <sheet name="DEC 2021" sheetId="118" r:id="rId109"/>
    <sheet name="JAN 2022" sheetId="119" r:id="rId110"/>
    <sheet name="FEB -2022" sheetId="120" r:id="rId111"/>
    <sheet name="MARCH -2022" sheetId="121" r:id="rId112"/>
    <sheet name="APRIL 2022" sheetId="122" r:id="rId113"/>
    <sheet name="MAY 2022" sheetId="123" r:id="rId114"/>
    <sheet name="JUN 2022" sheetId="124" r:id="rId115"/>
    <sheet name="JULY 2022" sheetId="125" r:id="rId116"/>
    <sheet name="AUGUST 2022" sheetId="126" r:id="rId117"/>
    <sheet name="SEP 2022" sheetId="127" r:id="rId118"/>
    <sheet name="OCT 2022" sheetId="128" r:id="rId119"/>
    <sheet name="NOV 2022" sheetId="129" r:id="rId120"/>
    <sheet name="DEC 2022" sheetId="130" r:id="rId121"/>
    <sheet name="JAN 2023" sheetId="131" r:id="rId122"/>
    <sheet name="FEB 2023" sheetId="132" r:id="rId123"/>
    <sheet name="MARCH 2023" sheetId="133" r:id="rId124"/>
    <sheet name="APRIL 2023" sheetId="134" r:id="rId125"/>
    <sheet name="MAY 2023" sheetId="135" r:id="rId126"/>
    <sheet name="JUN 2023" sheetId="136" r:id="rId127"/>
    <sheet name="JULY 2023" sheetId="137" r:id="rId128"/>
    <sheet name="AUGUST 2023" sheetId="138" r:id="rId129"/>
    <sheet name="SEP 2023" sheetId="139" r:id="rId130"/>
    <sheet name="OCT 2023" sheetId="140" r:id="rId131"/>
    <sheet name="NOV 2023" sheetId="141" r:id="rId132"/>
    <sheet name="DEC 2023" sheetId="142" r:id="rId133"/>
    <sheet name="JAN 2024" sheetId="143" r:id="rId134"/>
    <sheet name="FEB 2024" sheetId="144" r:id="rId135"/>
    <sheet name="MARCH 2024" sheetId="145" r:id="rId136"/>
    <sheet name="APRIL 2024" sheetId="146" r:id="rId137"/>
    <sheet name="MAY 2024" sheetId="147" r:id="rId138"/>
    <sheet name="JUN 2024" sheetId="148" r:id="rId139"/>
    <sheet name="JULY 2024" sheetId="150" r:id="rId140"/>
    <sheet name="AUGUST 2024" sheetId="149" r:id="rId141"/>
    <sheet name="SEP 2024" sheetId="151" r:id="rId142"/>
    <sheet name="OCT 2024" sheetId="152" r:id="rId143"/>
    <sheet name="NOV 2024" sheetId="153" r:id="rId144"/>
    <sheet name="DEC 2024" sheetId="154" r:id="rId145"/>
    <sheet name="JAN 2025" sheetId="155" r:id="rId146"/>
    <sheet name="FEB 2025" sheetId="156" r:id="rId147"/>
    <sheet name="MARCH 2025" sheetId="157" r:id="rId148"/>
    <sheet name="APRIL 2025" sheetId="158" r:id="rId149"/>
    <sheet name="MAY 2025" sheetId="159" r:id="rId150"/>
    <sheet name="JUN 2025" sheetId="160" r:id="rId151"/>
    <sheet name="JULY 2025" sheetId="161" r:id="rId152"/>
    <sheet name="MASTER" sheetId="59" r:id="rId153"/>
  </sheets>
  <definedNames>
    <definedName name="_xlnm._FilterDatabase" localSheetId="124" hidden="1">'APRIL 2023'!$A$1:$J$52</definedName>
    <definedName name="_xlnm._FilterDatabase" localSheetId="136" hidden="1">'APRIL 2024'!$A$1:$J$52</definedName>
    <definedName name="_xlnm._FilterDatabase" localSheetId="148" hidden="1">'APRIL 2025'!$A$1:$J$29</definedName>
    <definedName name="_xlnm._FilterDatabase" localSheetId="128" hidden="1">'AUGUST 2023'!$A$1:$J$52</definedName>
    <definedName name="_xlnm._FilterDatabase" localSheetId="140" hidden="1">'AUGUST 2024'!$A$1:$J$52</definedName>
    <definedName name="_xlnm._FilterDatabase" localSheetId="132" hidden="1">'DEC 2023'!$A$1:$J$52</definedName>
    <definedName name="_xlnm._FilterDatabase" localSheetId="144" hidden="1">'DEC 2024'!$A$1:$J$52</definedName>
    <definedName name="_xlnm._FilterDatabase" localSheetId="122" hidden="1">'FEB 2023'!$A$1:$J$52</definedName>
    <definedName name="_xlnm._FilterDatabase" localSheetId="134" hidden="1">'FEB 2024'!$A$1:$J$52</definedName>
    <definedName name="_xlnm._FilterDatabase" localSheetId="146" hidden="1">'FEB 2025'!$A$1:$J$29</definedName>
    <definedName name="_xlnm._FilterDatabase" localSheetId="133" hidden="1">'JAN 2024'!$A$1:$J$52</definedName>
    <definedName name="_xlnm._FilterDatabase" localSheetId="145" hidden="1">'JAN 2025'!$A$1:$J$52</definedName>
    <definedName name="_xlnm._FilterDatabase" localSheetId="127" hidden="1">'JULY 2023'!$A$1:$J$52</definedName>
    <definedName name="_xlnm._FilterDatabase" localSheetId="139" hidden="1">'JULY 2024'!$A$1:$J$52</definedName>
    <definedName name="_xlnm._FilterDatabase" localSheetId="151" hidden="1">'JULY 2025'!$A$1:$J$29</definedName>
    <definedName name="_xlnm._FilterDatabase" localSheetId="126" hidden="1">'JUN 2023'!$A$1:$J$52</definedName>
    <definedName name="_xlnm._FilterDatabase" localSheetId="138" hidden="1">'JUN 2024'!$A$1:$J$52</definedName>
    <definedName name="_xlnm._FilterDatabase" localSheetId="150" hidden="1">'JUN 2025'!$A$1:$J$29</definedName>
    <definedName name="_xlnm._FilterDatabase" localSheetId="123" hidden="1">'MARCH 2023'!$A$1:$J$52</definedName>
    <definedName name="_xlnm._FilterDatabase" localSheetId="135" hidden="1">'MARCH 2024'!$A$1:$J$52</definedName>
    <definedName name="_xlnm._FilterDatabase" localSheetId="147" hidden="1">'MARCH 2025'!$A$1:$J$29</definedName>
    <definedName name="_xlnm._FilterDatabase" localSheetId="125" hidden="1">'MAY 2023'!$A$1:$J$52</definedName>
    <definedName name="_xlnm._FilterDatabase" localSheetId="137" hidden="1">'MAY 2024'!$A$1:$J$52</definedName>
    <definedName name="_xlnm._FilterDatabase" localSheetId="149" hidden="1">'MAY 2025'!$A$1:$J$29</definedName>
    <definedName name="_xlnm._FilterDatabase" localSheetId="131" hidden="1">'NOV 2023'!$A$1:$J$52</definedName>
    <definedName name="_xlnm._FilterDatabase" localSheetId="143" hidden="1">'NOV 2024'!$A$1:$J$52</definedName>
    <definedName name="_xlnm._FilterDatabase" localSheetId="130" hidden="1">'OCT 2023'!$A$1:$J$52</definedName>
    <definedName name="_xlnm._FilterDatabase" localSheetId="142" hidden="1">'OCT 2024'!$A$1:$J$52</definedName>
    <definedName name="_xlnm._FilterDatabase" localSheetId="129" hidden="1">'SEP 2023'!$A$1:$J$52</definedName>
    <definedName name="_xlnm._FilterDatabase" localSheetId="141" hidden="1">'SEP 2024'!$A$1:$J$52</definedName>
    <definedName name="_xlnm.Print_Area" localSheetId="76">'APRIL 2019'!$A$1:$K$40,'APRIL 2019'!$A$42:$K$71,'APRIL 2019'!$A$73:$K$102,'APRIL 2019'!$M$2:$R$14</definedName>
    <definedName name="_xlnm.Print_Area" localSheetId="88">'APRIL 2020'!$A$1:$K$40,'APRIL 2020'!$A$42:$K$71,'APRIL 2020'!$A$73:$K$102,'APRIL 2020'!$M$2:$R$14</definedName>
    <definedName name="_xlnm.Print_Area" localSheetId="100">'APRIL 2021'!$A$1:$K$52,'APRIL 2021'!$A$54:$K$83,'APRIL 2021'!$A$85:$K$114,'APRIL 2021'!$M$2:$R$14</definedName>
    <definedName name="_xlnm.Print_Area" localSheetId="112">'APRIL 2022'!$A$1:$K$53,'APRIL 2022'!$A$55:$K$84,'APRIL 2022'!$A$86:$K$115,'APRIL 2022'!$M$2:$R$14</definedName>
    <definedName name="_xlnm.Print_Area" localSheetId="124">'APRIL 2023'!$A$1:$K$53,'APRIL 2023'!$A$55:$K$84,'APRIL 2023'!$A$86:$K$115,'APRIL 2023'!$M$2:$R$16</definedName>
    <definedName name="_xlnm.Print_Area" localSheetId="136">'APRIL 2024'!$A$1:$K$53,'APRIL 2024'!$A$55:$K$104,'APRIL 2024'!$A$106:$K$136,'APRIL 2024'!$M$2:$R$16</definedName>
    <definedName name="_xlnm.Print_Area" localSheetId="148">'APRIL 2025'!$A$1:$K$30,'APRIL 2025'!$A$32:$K$61,'APRIL 2025'!$A$63:$K$92,'APRIL 2025'!$M$2:$R$27</definedName>
    <definedName name="_xlnm.Print_Area" localSheetId="64">'APRIL-2018'!$A$1:$K$30,'APRIL-2018'!$A$32:$K$61,'APRIL-2018'!$A$63:$K$92,'APRIL-2018'!$M$2:$R$14</definedName>
    <definedName name="_xlnm.Print_Area" localSheetId="56">'AUG-2017'!$A$1:$K$30,'AUG-2017'!$A$32:$K$61,'AUG-2017'!$A$63:$K$92,'AUG-2017'!$M$2:$R$14</definedName>
    <definedName name="_xlnm.Print_Area" localSheetId="80">'AUGUST 2019'!$A$1:$K$40,'AUGUST 2019'!$A$42:$K$71,'AUGUST 2019'!$A$73:$K$102,'AUGUST 2019'!$M$2:$R$14</definedName>
    <definedName name="_xlnm.Print_Area" localSheetId="92">'AUGUST 2020'!$A$1:$K$40,'AUGUST 2020'!$A$42:$K$71,'AUGUST 2020'!$A$73:$K$102,'AUGUST 2020'!$M$2:$R$14</definedName>
    <definedName name="_xlnm.Print_Area" localSheetId="104">'AUGUST 2021'!$A$1:$K$52,'AUGUST 2021'!$A$54:$K$83,'AUGUST 2021'!$A$85:$K$114,'AUGUST 2021'!$M$2:$R$14</definedName>
    <definedName name="_xlnm.Print_Area" localSheetId="116">'AUGUST 2022'!$A$1:$K$53,'AUGUST 2022'!$A$55:$K$84,'AUGUST 2022'!$A$86:$K$115,'AUGUST 2022'!$M$2:$R$14</definedName>
    <definedName name="_xlnm.Print_Area" localSheetId="128">'AUGUST 2023'!$A$1:$K$53,'AUGUST 2023'!$A$55:$K$84,'AUGUST 2023'!$A$86:$K$115,'AUGUST 2023'!$M$2:$R$16</definedName>
    <definedName name="_xlnm.Print_Area" localSheetId="140">'AUGUST 2024'!$A$1:$K$53,'AUGUST 2024'!$A$55:$K$104,'AUGUST 2024'!$A$106:$K$141,'AUGUST 2024'!$M$2:$R$16</definedName>
    <definedName name="_xlnm.Print_Area" localSheetId="68">'AUGUST-2018'!$A$1:$K$30,'AUGUST-2018'!$A$32:$K$61,'AUGUST-2018'!$A$63:$K$92,'AUGUST-2018'!$M$2:$R$14</definedName>
    <definedName name="_xlnm.Print_Area" localSheetId="60">'DEC 2017'!$A$1:$K$30,'DEC 2017'!$A$32:$K$61,'DEC 2017'!$A$63:$K$92,'DEC 2017'!$M$2:$R$14</definedName>
    <definedName name="_xlnm.Print_Area" localSheetId="84">'DEC 2019'!$A$1:$K$40,'DEC 2019'!$A$42:$K$71,'DEC 2019'!$A$73:$K$102,'DEC 2019'!$M$2:$R$14</definedName>
    <definedName name="_xlnm.Print_Area" localSheetId="96">'DEC 2020'!$A$1:$K$52,'DEC 2020'!$A$54:$K$83,'DEC 2020'!$A$85:$K$114,'DEC 2020'!$M$2:$R$14</definedName>
    <definedName name="_xlnm.Print_Area" localSheetId="108">'DEC 2021'!$A$1:$K$53,'DEC 2021'!$A$55:$K$84,'DEC 2021'!$A$86:$K$115,'DEC 2021'!$M$2:$R$14</definedName>
    <definedName name="_xlnm.Print_Area" localSheetId="120">'DEC 2022'!$A$1:$K$53,'DEC 2022'!$A$55:$K$84,'DEC 2022'!$A$86:$K$115,'DEC 2022'!$M$2:$R$14</definedName>
    <definedName name="_xlnm.Print_Area" localSheetId="132">'DEC 2023'!$A$1:$K$53,'DEC 2023'!$A$55:$K$104,'DEC 2023'!$A$106:$K$136,'DEC 2023'!$M$2:$R$16</definedName>
    <definedName name="_xlnm.Print_Area" localSheetId="144">'DEC 2024'!$A$1:$K$53,'DEC 2024'!$A$55:$K$105,'DEC 2024'!$A$107:$K$142,'DEC 2024'!$M$2:$R$24</definedName>
    <definedName name="_xlnm.Print_Area" localSheetId="72">'DEC-2018'!$A$1:$K$37,'DEC-2018'!$A$39:$K$68,'DEC-2018'!$A$70:$K$99,'DEC-2018'!$M$2:$R$14</definedName>
    <definedName name="_xlnm.Print_Area" localSheetId="62">'FEB 2018'!$A$1:$K$30,'FEB 2018'!$A$32:$K$61,'FEB 2018'!$A$63:$K$92,'FEB 2018'!$M$2:$R$14</definedName>
    <definedName name="_xlnm.Print_Area" localSheetId="86">'FEB 2020'!$A$1:$K$40,'FEB 2020'!$A$42:$K$71,'FEB 2020'!$A$73:$K$102,'FEB 2020'!$M$2:$R$14</definedName>
    <definedName name="_xlnm.Print_Area" localSheetId="98">'FEB 2021'!$A$1:$K$52,'FEB 2021'!$A$54:$K$83,'FEB 2021'!$A$85:$K$114,'FEB 2021'!$M$2:$R$14</definedName>
    <definedName name="_xlnm.Print_Area" localSheetId="110">'FEB -2022'!$A$1:$K$53,'FEB -2022'!$A$55:$K$84,'FEB -2022'!$A$86:$K$115,'FEB -2022'!$M$2:$R$14</definedName>
    <definedName name="_xlnm.Print_Area" localSheetId="122">'FEB 2023'!$A$1:$K$53,'FEB 2023'!$A$55:$K$84,'FEB 2023'!$A$86:$K$115,'FEB 2023'!$M$2:$R$16</definedName>
    <definedName name="_xlnm.Print_Area" localSheetId="134">'FEB 2024'!$A$1:$K$53,'FEB 2024'!$A$55:$K$104,'FEB 2024'!$A$106:$K$136,'FEB 2024'!$M$2:$R$16</definedName>
    <definedName name="_xlnm.Print_Area" localSheetId="146">'FEB 2025'!$A$1:$K$30,'FEB 2025'!$A$32:$K$61,'FEB 2025'!$A$63:$K$92,'FEB 2025'!$M$2:$R$27</definedName>
    <definedName name="_xlnm.Print_Area" localSheetId="74">'FEB-2019'!$A$1:$K$40,'FEB-2019'!$A$42:$K$71,'FEB-2019'!$A$73:$K$102,'FEB-2019'!$M$2:$R$14</definedName>
    <definedName name="_xlnm.Print_Area" localSheetId="61">'JAN 2018'!$A$1:$K$30,'JAN 2018'!$A$32:$K$61,'JAN 2018'!$A$63:$K$92,'JAN 2018'!$M$2:$R$14</definedName>
    <definedName name="_xlnm.Print_Area" localSheetId="85">'JAN 2020'!$A$1:$K$40,'JAN 2020'!$A$42:$K$71,'JAN 2020'!$A$73:$K$102,'JAN 2020'!$M$2:$R$14</definedName>
    <definedName name="_xlnm.Print_Area" localSheetId="97">'JAN 2021'!$A$1:$K$52,'JAN 2021'!$A$54:$K$83,'JAN 2021'!$A$85:$K$114,'JAN 2021'!$M$2:$R$14</definedName>
    <definedName name="_xlnm.Print_Area" localSheetId="109">'JAN 2022'!$A$1:$K$53,'JAN 2022'!$A$55:$K$84,'JAN 2022'!$A$86:$K$115,'JAN 2022'!$M$2:$R$14</definedName>
    <definedName name="_xlnm.Print_Area" localSheetId="121">'JAN 2023'!$A$1:$K$53,'JAN 2023'!$A$55:$K$84,'JAN 2023'!$A$86:$K$115,'JAN 2023'!$M$2:$R$16</definedName>
    <definedName name="_xlnm.Print_Area" localSheetId="133">'JAN 2024'!$A$1:$K$53,'JAN 2024'!$A$55:$K$104,'JAN 2024'!$A$106:$K$136,'JAN 2024'!$M$2:$R$16</definedName>
    <definedName name="_xlnm.Print_Area" localSheetId="145">'JAN 2025'!$A$1:$K$53,'JAN 2025'!$A$55:$K$105,'JAN 2025'!$A$107:$K$142,'JAN 2025'!$M$2:$R$24</definedName>
    <definedName name="_xlnm.Print_Area" localSheetId="73">'JAN-2019'!$A$1:$K$40,'JAN-2019'!$A$42:$K$71,'JAN-2019'!$A$73:$K$102,'JAN-2019'!$M$2:$R$14</definedName>
    <definedName name="_xlnm.Print_Area" localSheetId="79">'JULY 2019'!$A$1:$K$40,'JULY 2019'!$A$42:$K$71,'JULY 2019'!$A$73:$K$102,'JULY 2019'!$M$2:$R$14</definedName>
    <definedName name="_xlnm.Print_Area" localSheetId="91">'JULY 2020'!$A$1:$K$40,'JULY 2020'!$A$42:$K$71,'JULY 2020'!$A$73:$K$102,'JULY 2020'!$M$2:$R$14</definedName>
    <definedName name="_xlnm.Print_Area" localSheetId="103">'JULY 2021'!$A$1:$K$52,'JULY 2021'!$A$54:$K$83,'JULY 2021'!$A$85:$K$114,'JULY 2021'!$M$2:$R$14</definedName>
    <definedName name="_xlnm.Print_Area" localSheetId="115">'JULY 2022'!$A$1:$K$53,'JULY 2022'!$A$55:$K$84,'JULY 2022'!$A$86:$K$115,'JULY 2022'!$M$2:$R$14</definedName>
    <definedName name="_xlnm.Print_Area" localSheetId="127">'JULY 2023'!$A$1:$K$53,'JULY 2023'!$A$55:$K$84,'JULY 2023'!$A$86:$K$115,'JULY 2023'!$M$2:$R$16</definedName>
    <definedName name="_xlnm.Print_Area" localSheetId="139">'JULY 2024'!$A$1:$K$53,'JULY 2024'!$A$55:$K$104,'JULY 2024'!$A$106:$K$141,'JULY 2024'!$M$2:$R$16</definedName>
    <definedName name="_xlnm.Print_Area" localSheetId="151">'JULY 2025'!$A$1:$K$30,'JULY 2025'!$A$32:$K$61,'JULY 2025'!$A$63:$K$92,'JULY 2025'!$M$2:$R$27</definedName>
    <definedName name="_xlnm.Print_Area" localSheetId="67">'JULY-2018'!$A$1:$K$30,'JULY-2018'!$A$32:$K$61,'JULY-2018'!$A$63:$K$92,'JULY-2018'!$M$2:$R$14</definedName>
    <definedName name="_xlnm.Print_Area" localSheetId="78">'JUN 2019'!$A$1:$K$40,'JUN 2019'!$A$42:$K$71,'JUN 2019'!$A$73:$K$102,'JUN 2019'!$M$2:$R$14</definedName>
    <definedName name="_xlnm.Print_Area" localSheetId="114">'JUN 2022'!$A$1:$K$53,'JUN 2022'!$A$55:$K$84,'JUN 2022'!$A$86:$K$115,'JUN 2022'!$M$2:$R$14</definedName>
    <definedName name="_xlnm.Print_Area" localSheetId="126">'JUN 2023'!$A$1:$K$53,'JUN 2023'!$A$55:$K$84,'JUN 2023'!$A$86:$K$115,'JUN 2023'!$M$2:$R$16</definedName>
    <definedName name="_xlnm.Print_Area" localSheetId="138">'JUN 2024'!$A$1:$K$53,'JUN 2024'!$A$55:$K$104,'JUN 2024'!$A$106:$K$141,'JUN 2024'!$M$2:$R$16</definedName>
    <definedName name="_xlnm.Print_Area" localSheetId="150">'JUN 2025'!$A$1:$K$30,'JUN 2025'!$A$32:$K$61,'JUN 2025'!$A$63:$K$92,'JUN 2025'!$M$2:$R$27</definedName>
    <definedName name="_xlnm.Print_Area" localSheetId="90">'JUNE 2020'!$A$1:$K$40,'JUNE 2020'!$A$42:$K$71,'JUNE 2020'!$A$73:$K$102,'JUNE 2020'!$M$2:$R$14</definedName>
    <definedName name="_xlnm.Print_Area" localSheetId="102">'JUNE 2021'!$A$1:$K$52,'JUNE 2021'!$A$54:$K$83,'JUNE 2021'!$A$85:$K$114,'JUNE 2021'!$M$2:$R$14</definedName>
    <definedName name="_xlnm.Print_Area" localSheetId="66">'JUNE-2018'!$A$1:$K$30,'JUNE-2018'!$A$32:$K$61,'JUNE-2018'!$A$63:$K$92,'JUNE-2018'!$M$2:$R$14</definedName>
    <definedName name="_xlnm.Print_Area" localSheetId="63">'MARCH 2018'!$A$1:$K$30,'MARCH 2018'!$A$32:$K$61,'MARCH 2018'!$A$63:$K$92,'MARCH 2018'!$M$2:$R$14</definedName>
    <definedName name="_xlnm.Print_Area" localSheetId="75">'MARCH 2019'!$A$1:$K$40,'MARCH 2019'!$A$42:$K$71,'MARCH 2019'!$A$73:$K$102,'MARCH 2019'!$M$2:$R$14</definedName>
    <definedName name="_xlnm.Print_Area" localSheetId="87">'MARCH 2020'!$A$1:$K$40,'MARCH 2020'!$A$42:$K$71,'MARCH 2020'!$A$73:$K$102,'MARCH 2020'!$M$2:$R$14</definedName>
    <definedName name="_xlnm.Print_Area" localSheetId="99">'MARCH 2021'!$A$1:$K$52,'MARCH 2021'!$A$54:$K$83,'MARCH 2021'!$A$85:$K$114,'MARCH 2021'!$M$2:$R$14</definedName>
    <definedName name="_xlnm.Print_Area" localSheetId="111">'MARCH -2022'!$A$1:$K$53,'MARCH -2022'!$A$55:$K$84,'MARCH -2022'!$A$86:$K$115,'MARCH -2022'!$M$2:$R$14</definedName>
    <definedName name="_xlnm.Print_Area" localSheetId="123">'MARCH 2023'!$A$1:$K$53,'MARCH 2023'!$A$55:$K$84,'MARCH 2023'!$A$86:$K$115,'MARCH 2023'!$M$2:$R$16</definedName>
    <definedName name="_xlnm.Print_Area" localSheetId="135">'MARCH 2024'!$A$1:$K$53,'MARCH 2024'!$A$55:$K$104,'MARCH 2024'!$A$106:$K$136,'MARCH 2024'!$M$2:$R$16</definedName>
    <definedName name="_xlnm.Print_Area" localSheetId="147">'MARCH 2025'!$A$1:$K$30,'MARCH 2025'!$A$32:$K$61,'MARCH 2025'!$A$63:$K$92,'MARCH 2025'!$M$2:$R$27</definedName>
    <definedName name="_xlnm.Print_Area" localSheetId="77">'MAY 2019'!$A$1:$K$40,'MAY 2019'!$A$42:$K$71,'MAY 2019'!$A$73:$K$102,'MAY 2019'!$M$2:$R$14</definedName>
    <definedName name="_xlnm.Print_Area" localSheetId="89">'MAY 2020'!$A$1:$K$40,'MAY 2020'!$A$42:$K$71,'MAY 2020'!$A$73:$K$102,'MAY 2020'!$M$2:$R$14</definedName>
    <definedName name="_xlnm.Print_Area" localSheetId="101">'MAY 2021'!$A$1:$K$52,'MAY 2021'!$A$54:$K$83,'MAY 2021'!$A$85:$K$114,'MAY 2021'!$M$2:$R$14</definedName>
    <definedName name="_xlnm.Print_Area" localSheetId="113">'MAY 2022'!$A$1:$K$53,'MAY 2022'!$A$55:$K$84,'MAY 2022'!$A$86:$K$115,'MAY 2022'!$M$2:$R$14</definedName>
    <definedName name="_xlnm.Print_Area" localSheetId="125">'MAY 2023'!$A$1:$K$53,'MAY 2023'!$A$55:$K$84,'MAY 2023'!$A$86:$K$115,'MAY 2023'!$M$2:$R$16</definedName>
    <definedName name="_xlnm.Print_Area" localSheetId="137">'MAY 2024'!$A$1:$K$53,'MAY 2024'!$A$55:$K$104,'MAY 2024'!$A$106:$K$141,'MAY 2024'!$M$2:$R$16</definedName>
    <definedName name="_xlnm.Print_Area" localSheetId="149">'MAY 2025'!$A$1:$K$30,'MAY 2025'!$A$32:$K$61,'MAY 2025'!$A$63:$K$92,'MAY 2025'!$M$2:$R$27</definedName>
    <definedName name="_xlnm.Print_Area" localSheetId="65">'MAY-2018'!$A$1:$K$30,'MAY-2018'!$A$32:$K$61,'MAY-2018'!$A$63:$K$92,'MAY-2018'!$M$2:$R$14</definedName>
    <definedName name="_xlnm.Print_Area" localSheetId="83">'NOV 2019'!$A$1:$K$40,'NOV 2019'!$A$42:$K$71,'NOV 2019'!$A$73:$K$102,'NOV 2019'!$M$2:$R$14</definedName>
    <definedName name="_xlnm.Print_Area" localSheetId="95">'NOV 2020'!$A$1:$K$40,'NOV 2020'!$A$42:$K$71,'NOV 2020'!$A$73:$K$102,'NOV 2020'!$M$2:$R$14</definedName>
    <definedName name="_xlnm.Print_Area" localSheetId="107">'NOV 2021'!$A$1:$K$52,'NOV 2021'!$A$54:$K$83,'NOV 2021'!$A$85:$K$114,'NOV 2021'!$M$2:$R$14</definedName>
    <definedName name="_xlnm.Print_Area" localSheetId="119">'NOV 2022'!$A$1:$K$53,'NOV 2022'!$A$55:$K$84,'NOV 2022'!$A$86:$K$115,'NOV 2022'!$M$2:$R$14</definedName>
    <definedName name="_xlnm.Print_Area" localSheetId="131">'NOV 2023'!$A$1:$K$53,'NOV 2023'!$A$55:$K$91,'NOV 2023'!$A$93:$K$123,'NOV 2023'!$M$2:$R$16</definedName>
    <definedName name="_xlnm.Print_Area" localSheetId="143">'NOV 2024'!$A$1:$K$53,'NOV 2024'!$A$55:$K$105,'NOV 2024'!$A$107:$K$142,'NOV 2024'!$M$2:$R$24</definedName>
    <definedName name="_xlnm.Print_Area" localSheetId="59">'NOV-2017'!$A$1:$K$30,'NOV-2017'!$A$32:$K$61,'NOV-2017'!$A$63:$K$92,'NOV-2017'!$M$2:$R$14</definedName>
    <definedName name="_xlnm.Print_Area" localSheetId="71">'NOV-2018'!$A$1:$K$30,'NOV-2018'!$A$32:$K$61,'NOV-2018'!$A$63:$K$92,'NOV-2018'!$M$2:$R$14</definedName>
    <definedName name="_xlnm.Print_Area" localSheetId="70">'OCT -2018'!$A$1:$K$30,'OCT -2018'!$A$32:$K$61,'OCT -2018'!$A$63:$K$92,'OCT -2018'!$M$2:$R$14</definedName>
    <definedName name="_xlnm.Print_Area" localSheetId="82">'OCT 2019'!$A$1:$K$40,'OCT 2019'!$A$42:$K$71,'OCT 2019'!$A$73:$K$102,'OCT 2019'!$M$2:$R$14</definedName>
    <definedName name="_xlnm.Print_Area" localSheetId="94">'OCT 2020'!$A$1:$K$40,'OCT 2020'!$A$42:$K$71,'OCT 2020'!$A$73:$K$102,'OCT 2020'!$M$2:$R$14</definedName>
    <definedName name="_xlnm.Print_Area" localSheetId="106">'OCT 2021'!$A$1:$K$52,'OCT 2021'!$A$54:$K$83,'OCT 2021'!$A$85:$K$114,'OCT 2021'!$M$2:$R$14</definedName>
    <definedName name="_xlnm.Print_Area" localSheetId="118">'OCT 2022'!$A$1:$K$53,'OCT 2022'!$A$55:$K$84,'OCT 2022'!$A$86:$K$115,'OCT 2022'!$M$2:$R$14</definedName>
    <definedName name="_xlnm.Print_Area" localSheetId="130">'OCT 2023'!$A$1:$K$53,'OCT 2023'!$A$55:$K$84,'OCT 2023'!$A$86:$K$116,'OCT 2023'!$M$2:$R$16</definedName>
    <definedName name="_xlnm.Print_Area" localSheetId="142">'OCT 2024'!$A$1:$K$53,'OCT 2024'!$A$55:$K$105,'OCT 2024'!$A$107:$K$142,'OCT 2024'!$M$2:$R$16</definedName>
    <definedName name="_xlnm.Print_Area" localSheetId="58">'OCT-2017'!$A$1:$K$30,'OCT-2017'!$A$32:$K$61,'OCT-2017'!$A$63:$K$92,'OCT-2017'!$M$2:$R$14</definedName>
    <definedName name="_xlnm.Print_Area" localSheetId="81">'SEP 2019'!$A$1:$K$40,'SEP 2019'!$A$42:$K$71,'SEP 2019'!$A$73:$K$102,'SEP 2019'!$M$2:$R$14</definedName>
    <definedName name="_xlnm.Print_Area" localSheetId="93">'SEP 2020'!$A$1:$K$40,'SEP 2020'!$A$42:$K$71,'SEP 2020'!$A$73:$K$102,'SEP 2020'!$M$2:$R$14</definedName>
    <definedName name="_xlnm.Print_Area" localSheetId="105">'SEP 2021'!$A$1:$K$52,'SEP 2021'!$A$54:$K$83,'SEP 2021'!$A$85:$K$114,'SEP 2021'!$M$2:$R$14</definedName>
    <definedName name="_xlnm.Print_Area" localSheetId="117">'SEP 2022'!$A$1:$K$53,'SEP 2022'!$A$55:$K$84,'SEP 2022'!$A$86:$K$115,'SEP 2022'!$M$2:$R$14</definedName>
    <definedName name="_xlnm.Print_Area" localSheetId="129">'SEP 2023'!$A$1:$K$53,'SEP 2023'!$A$55:$K$84,'SEP 2023'!$A$86:$K$116,'SEP 2023'!$M$2:$R$16</definedName>
    <definedName name="_xlnm.Print_Area" localSheetId="141">'SEP 2024'!$A$1:$K$53,'SEP 2024'!$A$55:$K$104,'SEP 2024'!$A$106:$K$141,'SEP 2024'!$M$2:$R$16</definedName>
    <definedName name="_xlnm.Print_Area" localSheetId="57">'SEP-2017'!$A$1:$K$30,'SEP-2017'!$A$32:$K$61,'SEP-2017'!$A$63:$K$92,'SEP-2017'!$M$2:$R$14</definedName>
    <definedName name="_xlnm.Print_Area" localSheetId="69">'SEP-2018'!$A$1:$K$30,'SEP-2018'!$A$32:$K$61,'SEP-2018'!$A$63:$K$92,'SEP-2018'!$M$2:$R$14</definedName>
  </definedNames>
  <calcPr calcId="181029"/>
</workbook>
</file>

<file path=xl/calcChain.xml><?xml version="1.0" encoding="utf-8"?>
<calcChain xmlns="http://schemas.openxmlformats.org/spreadsheetml/2006/main">
  <c r="H183" i="161" l="1"/>
  <c r="H90" i="161"/>
  <c r="H58" i="161"/>
  <c r="H89" i="161"/>
  <c r="H120" i="161"/>
  <c r="H151" i="161"/>
  <c r="H119" i="161"/>
  <c r="H88" i="161"/>
  <c r="H56" i="161"/>
  <c r="H87" i="161"/>
  <c r="H179" i="161"/>
  <c r="H148" i="161"/>
  <c r="H86" i="161"/>
  <c r="H55" i="161"/>
  <c r="H54" i="161"/>
  <c r="H85" i="161"/>
  <c r="H116" i="161"/>
  <c r="H147" i="161"/>
  <c r="H53" i="161"/>
  <c r="H51" i="161"/>
  <c r="H173" i="161"/>
  <c r="H172" i="161"/>
  <c r="H145" i="161"/>
  <c r="H144" i="161"/>
  <c r="H143" i="161"/>
  <c r="H142" i="161"/>
  <c r="H113" i="161" l="1"/>
  <c r="H111" i="161"/>
  <c r="H109" i="161"/>
  <c r="H82" i="161"/>
  <c r="H81" i="161"/>
  <c r="H79" i="161"/>
  <c r="H50" i="161"/>
  <c r="H49" i="161"/>
  <c r="H48" i="161"/>
  <c r="H169" i="161"/>
  <c r="H168" i="161"/>
  <c r="H167" i="161"/>
  <c r="H164" i="161"/>
  <c r="H163" i="161"/>
  <c r="H139" i="161"/>
  <c r="H135" i="161"/>
  <c r="H132" i="161"/>
  <c r="H105" i="161"/>
  <c r="H102" i="161"/>
  <c r="H101" i="161"/>
  <c r="H100" i="161"/>
  <c r="H77" i="161"/>
  <c r="H75" i="161"/>
  <c r="H74" i="161"/>
  <c r="H72" i="161"/>
  <c r="H71" i="161"/>
  <c r="H70" i="161"/>
  <c r="H68" i="161"/>
  <c r="H14" i="161"/>
  <c r="H44" i="161"/>
  <c r="H43" i="161"/>
  <c r="H40" i="161"/>
  <c r="H8" i="161"/>
  <c r="H7" i="161"/>
  <c r="H37" i="161"/>
  <c r="W183" i="161"/>
  <c r="J183" i="161"/>
  <c r="V183" i="161" s="1"/>
  <c r="J182" i="161"/>
  <c r="W182" i="161" s="1"/>
  <c r="J181" i="161"/>
  <c r="J180" i="161"/>
  <c r="J179" i="161"/>
  <c r="W179" i="161" s="1"/>
  <c r="J178" i="161"/>
  <c r="V178" i="161" s="1"/>
  <c r="J177" i="161"/>
  <c r="V177" i="161" s="1"/>
  <c r="J176" i="161"/>
  <c r="V176" i="161" s="1"/>
  <c r="J175" i="161"/>
  <c r="J174" i="161"/>
  <c r="J173" i="161"/>
  <c r="W173" i="161" s="1"/>
  <c r="J172" i="161"/>
  <c r="V172" i="161" s="1"/>
  <c r="J171" i="161"/>
  <c r="W171" i="161" s="1"/>
  <c r="J170" i="161"/>
  <c r="W170" i="161" s="1"/>
  <c r="J169" i="161"/>
  <c r="W169" i="161" s="1"/>
  <c r="W168" i="161"/>
  <c r="V168" i="161"/>
  <c r="J168" i="161"/>
  <c r="J167" i="161"/>
  <c r="W167" i="161" s="1"/>
  <c r="J166" i="161"/>
  <c r="W166" i="161" s="1"/>
  <c r="J165" i="161"/>
  <c r="W165" i="161" s="1"/>
  <c r="J164" i="161"/>
  <c r="W164" i="161" s="1"/>
  <c r="J163" i="161"/>
  <c r="J162" i="161"/>
  <c r="J161" i="161"/>
  <c r="J152" i="161"/>
  <c r="V152" i="161" s="1"/>
  <c r="J151" i="161"/>
  <c r="W151" i="161" s="1"/>
  <c r="J150" i="161"/>
  <c r="W150" i="161" s="1"/>
  <c r="J149" i="161"/>
  <c r="J148" i="161"/>
  <c r="V148" i="161" s="1"/>
  <c r="W147" i="161"/>
  <c r="J147" i="161"/>
  <c r="V147" i="161" s="1"/>
  <c r="J146" i="161"/>
  <c r="W146" i="161" s="1"/>
  <c r="J145" i="161"/>
  <c r="W145" i="161" s="1"/>
  <c r="J144" i="161"/>
  <c r="J143" i="161"/>
  <c r="V143" i="161" s="1"/>
  <c r="J142" i="161"/>
  <c r="W142" i="161" s="1"/>
  <c r="V141" i="161"/>
  <c r="J141" i="161"/>
  <c r="W141" i="161" s="1"/>
  <c r="J140" i="161"/>
  <c r="J139" i="161"/>
  <c r="V139" i="161" s="1"/>
  <c r="J138" i="161"/>
  <c r="W138" i="161" s="1"/>
  <c r="J137" i="161"/>
  <c r="V137" i="161" s="1"/>
  <c r="J136" i="161"/>
  <c r="V136" i="161" s="1"/>
  <c r="W135" i="161"/>
  <c r="J135" i="161"/>
  <c r="V135" i="161" s="1"/>
  <c r="J134" i="161"/>
  <c r="W134" i="161" s="1"/>
  <c r="J133" i="161"/>
  <c r="J132" i="161"/>
  <c r="V132" i="161" s="1"/>
  <c r="V131" i="161"/>
  <c r="J131" i="161"/>
  <c r="W131" i="161" s="1"/>
  <c r="J130" i="161"/>
  <c r="W130" i="161" s="1"/>
  <c r="J121" i="161"/>
  <c r="V121" i="161" s="1"/>
  <c r="J120" i="161"/>
  <c r="V120" i="161" s="1"/>
  <c r="J119" i="161"/>
  <c r="W119" i="161" s="1"/>
  <c r="J118" i="161"/>
  <c r="J117" i="161"/>
  <c r="J116" i="161"/>
  <c r="V116" i="161" s="1"/>
  <c r="V115" i="161"/>
  <c r="J115" i="161"/>
  <c r="W115" i="161" s="1"/>
  <c r="J114" i="161"/>
  <c r="W114" i="161" s="1"/>
  <c r="J113" i="161"/>
  <c r="J112" i="161"/>
  <c r="J111" i="161"/>
  <c r="V111" i="161" s="1"/>
  <c r="J110" i="161"/>
  <c r="V110" i="161" s="1"/>
  <c r="J109" i="161"/>
  <c r="W109" i="161" s="1"/>
  <c r="J108" i="161"/>
  <c r="W108" i="161" s="1"/>
  <c r="J107" i="161"/>
  <c r="J106" i="161"/>
  <c r="J105" i="161"/>
  <c r="V105" i="161" s="1"/>
  <c r="V104" i="161"/>
  <c r="J104" i="161"/>
  <c r="W104" i="161" s="1"/>
  <c r="J103" i="161"/>
  <c r="W103" i="161" s="1"/>
  <c r="J102" i="161"/>
  <c r="J101" i="161"/>
  <c r="V101" i="161" s="1"/>
  <c r="W100" i="161"/>
  <c r="J100" i="161"/>
  <c r="V100" i="161" s="1"/>
  <c r="J99" i="161"/>
  <c r="W99" i="161" s="1"/>
  <c r="J90" i="161"/>
  <c r="V90" i="161" s="1"/>
  <c r="J89" i="161"/>
  <c r="W89" i="161" s="1"/>
  <c r="J88" i="161"/>
  <c r="W88" i="161" s="1"/>
  <c r="J87" i="161"/>
  <c r="J86" i="161"/>
  <c r="V86" i="161" s="1"/>
  <c r="J85" i="161"/>
  <c r="V85" i="161" s="1"/>
  <c r="J84" i="161"/>
  <c r="W84" i="161" s="1"/>
  <c r="J83" i="161"/>
  <c r="W83" i="161" s="1"/>
  <c r="J82" i="161"/>
  <c r="W82" i="161" s="1"/>
  <c r="J81" i="161"/>
  <c r="W81" i="161" s="1"/>
  <c r="J80" i="161"/>
  <c r="W80" i="161" s="1"/>
  <c r="J79" i="161"/>
  <c r="W79" i="161" s="1"/>
  <c r="J78" i="161"/>
  <c r="J77" i="161"/>
  <c r="J76" i="161"/>
  <c r="J75" i="161"/>
  <c r="V75" i="161" s="1"/>
  <c r="J74" i="161"/>
  <c r="V74" i="161" s="1"/>
  <c r="J73" i="161"/>
  <c r="V73" i="161" s="1"/>
  <c r="J72" i="161"/>
  <c r="W72" i="161" s="1"/>
  <c r="W71" i="161"/>
  <c r="J71" i="161"/>
  <c r="V71" i="161" s="1"/>
  <c r="J70" i="161"/>
  <c r="W70" i="161" s="1"/>
  <c r="W69" i="161"/>
  <c r="V69" i="161"/>
  <c r="J69" i="161"/>
  <c r="J68" i="161"/>
  <c r="W68" i="161" s="1"/>
  <c r="J59" i="161"/>
  <c r="V59" i="161" s="1"/>
  <c r="J58" i="161"/>
  <c r="W58" i="161" s="1"/>
  <c r="J57" i="161"/>
  <c r="W57" i="161" s="1"/>
  <c r="J56" i="161"/>
  <c r="W56" i="161" s="1"/>
  <c r="J55" i="161"/>
  <c r="V55" i="161" s="1"/>
  <c r="W54" i="161"/>
  <c r="J54" i="161"/>
  <c r="V54" i="161" s="1"/>
  <c r="W53" i="161"/>
  <c r="J53" i="161"/>
  <c r="V53" i="161" s="1"/>
  <c r="J52" i="161"/>
  <c r="J51" i="161"/>
  <c r="V50" i="161"/>
  <c r="J50" i="161"/>
  <c r="W50" i="161" s="1"/>
  <c r="J49" i="161"/>
  <c r="V49" i="161" s="1"/>
  <c r="J48" i="161"/>
  <c r="V48" i="161" s="1"/>
  <c r="J47" i="161"/>
  <c r="W47" i="161" s="1"/>
  <c r="J46" i="161"/>
  <c r="W46" i="161" s="1"/>
  <c r="J45" i="161"/>
  <c r="W45" i="161" s="1"/>
  <c r="J44" i="161"/>
  <c r="V44" i="161" s="1"/>
  <c r="J43" i="161"/>
  <c r="W43" i="161" s="1"/>
  <c r="J42" i="161"/>
  <c r="J41" i="161"/>
  <c r="V41" i="161" s="1"/>
  <c r="J40" i="161"/>
  <c r="V40" i="161" s="1"/>
  <c r="J39" i="161"/>
  <c r="V39" i="161" s="1"/>
  <c r="J38" i="161"/>
  <c r="W38" i="161" s="1"/>
  <c r="J37" i="161"/>
  <c r="W37" i="161" s="1"/>
  <c r="J28" i="161"/>
  <c r="W28" i="161" s="1"/>
  <c r="J27" i="161"/>
  <c r="V27" i="161" s="1"/>
  <c r="J26" i="161"/>
  <c r="V26" i="161" s="1"/>
  <c r="J25" i="161"/>
  <c r="W25" i="161" s="1"/>
  <c r="J24" i="161"/>
  <c r="W24" i="161" s="1"/>
  <c r="J23" i="161"/>
  <c r="W23" i="161" s="1"/>
  <c r="J22" i="161"/>
  <c r="V22" i="161" s="1"/>
  <c r="J21" i="161"/>
  <c r="W21" i="161" s="1"/>
  <c r="J20" i="161"/>
  <c r="W20" i="161" s="1"/>
  <c r="J19" i="161"/>
  <c r="W19" i="161" s="1"/>
  <c r="W18" i="161"/>
  <c r="J18" i="161"/>
  <c r="V18" i="161" s="1"/>
  <c r="J17" i="161"/>
  <c r="V17" i="161" s="1"/>
  <c r="J16" i="161"/>
  <c r="J15" i="161"/>
  <c r="W15" i="161" s="1"/>
  <c r="N14" i="161"/>
  <c r="J14" i="161"/>
  <c r="V14" i="161" s="1"/>
  <c r="J13" i="161"/>
  <c r="W13" i="161" s="1"/>
  <c r="N12" i="161"/>
  <c r="J12" i="161"/>
  <c r="V12" i="161" s="1"/>
  <c r="J11" i="161"/>
  <c r="N10" i="161"/>
  <c r="J10" i="161"/>
  <c r="V10" i="161" s="1"/>
  <c r="J9" i="161"/>
  <c r="N8" i="161"/>
  <c r="J8" i="161"/>
  <c r="J7" i="161"/>
  <c r="W7" i="161" s="1"/>
  <c r="N6" i="161"/>
  <c r="J6" i="161"/>
  <c r="V6" i="161" s="1"/>
  <c r="N4" i="161"/>
  <c r="H146" i="160"/>
  <c r="H118" i="160"/>
  <c r="J118" i="160" s="1"/>
  <c r="V118" i="160" s="1"/>
  <c r="H113" i="160"/>
  <c r="H111" i="160"/>
  <c r="H84" i="160"/>
  <c r="H83" i="160"/>
  <c r="H82" i="160"/>
  <c r="H81" i="160"/>
  <c r="H80" i="160"/>
  <c r="H52" i="160"/>
  <c r="H51" i="160"/>
  <c r="H48" i="160"/>
  <c r="H180" i="160"/>
  <c r="H178" i="160"/>
  <c r="H174" i="160"/>
  <c r="H171" i="160"/>
  <c r="H170" i="160"/>
  <c r="H169" i="160"/>
  <c r="H168" i="160"/>
  <c r="H167" i="160"/>
  <c r="H165" i="160"/>
  <c r="H163" i="160"/>
  <c r="H162" i="160"/>
  <c r="H161" i="160"/>
  <c r="J161" i="160" s="1"/>
  <c r="H138" i="160"/>
  <c r="H137" i="160"/>
  <c r="H136" i="160"/>
  <c r="H107" i="160"/>
  <c r="H78" i="160"/>
  <c r="H77" i="160"/>
  <c r="H75" i="160"/>
  <c r="H74" i="160"/>
  <c r="H72" i="160"/>
  <c r="H71" i="160"/>
  <c r="H70" i="160"/>
  <c r="H47" i="160"/>
  <c r="H46" i="160"/>
  <c r="J46" i="160" s="1"/>
  <c r="H42" i="160"/>
  <c r="H41" i="160"/>
  <c r="H38" i="160"/>
  <c r="H37" i="160"/>
  <c r="H26" i="160"/>
  <c r="H25" i="160"/>
  <c r="H24" i="160"/>
  <c r="H22" i="160"/>
  <c r="H21" i="160"/>
  <c r="H17" i="160"/>
  <c r="H16" i="160"/>
  <c r="H11" i="160"/>
  <c r="J11" i="160" s="1"/>
  <c r="H9" i="160"/>
  <c r="H8" i="160"/>
  <c r="J183" i="160"/>
  <c r="V183" i="160" s="1"/>
  <c r="J182" i="160"/>
  <c r="W182" i="160" s="1"/>
  <c r="J181" i="160"/>
  <c r="W181" i="160" s="1"/>
  <c r="J180" i="160"/>
  <c r="W180" i="160" s="1"/>
  <c r="J179" i="160"/>
  <c r="J178" i="160"/>
  <c r="V178" i="160" s="1"/>
  <c r="J177" i="160"/>
  <c r="W177" i="160" s="1"/>
  <c r="J176" i="160"/>
  <c r="W176" i="160" s="1"/>
  <c r="J175" i="160"/>
  <c r="J174" i="160"/>
  <c r="V174" i="160" s="1"/>
  <c r="J173" i="160"/>
  <c r="W173" i="160" s="1"/>
  <c r="J172" i="160"/>
  <c r="W172" i="160" s="1"/>
  <c r="J171" i="160"/>
  <c r="J170" i="160"/>
  <c r="J169" i="160"/>
  <c r="V169" i="160" s="1"/>
  <c r="J168" i="160"/>
  <c r="W168" i="160" s="1"/>
  <c r="J167" i="160"/>
  <c r="W167" i="160" s="1"/>
  <c r="J166" i="160"/>
  <c r="W166" i="160" s="1"/>
  <c r="J165" i="160"/>
  <c r="J164" i="160"/>
  <c r="J163" i="160"/>
  <c r="V163" i="160" s="1"/>
  <c r="J162" i="160"/>
  <c r="W162" i="160" s="1"/>
  <c r="W152" i="160"/>
  <c r="J152" i="160"/>
  <c r="V152" i="160" s="1"/>
  <c r="W151" i="160"/>
  <c r="V151" i="160"/>
  <c r="J151" i="160"/>
  <c r="J150" i="160"/>
  <c r="W150" i="160" s="1"/>
  <c r="J149" i="160"/>
  <c r="J148" i="160"/>
  <c r="V148" i="160" s="1"/>
  <c r="J147" i="160"/>
  <c r="W147" i="160" s="1"/>
  <c r="J146" i="160"/>
  <c r="V146" i="160" s="1"/>
  <c r="J145" i="160"/>
  <c r="W145" i="160" s="1"/>
  <c r="J144" i="160"/>
  <c r="W144" i="160" s="1"/>
  <c r="J143" i="160"/>
  <c r="J142" i="160"/>
  <c r="J141" i="160"/>
  <c r="V141" i="160" s="1"/>
  <c r="J140" i="160"/>
  <c r="V140" i="160" s="1"/>
  <c r="J139" i="160"/>
  <c r="W139" i="160" s="1"/>
  <c r="J138" i="160"/>
  <c r="J137" i="160"/>
  <c r="V137" i="160" s="1"/>
  <c r="J136" i="160"/>
  <c r="W136" i="160" s="1"/>
  <c r="J135" i="160"/>
  <c r="W135" i="160" s="1"/>
  <c r="J134" i="160"/>
  <c r="J133" i="160"/>
  <c r="V133" i="160" s="1"/>
  <c r="J132" i="160"/>
  <c r="V132" i="160" s="1"/>
  <c r="J131" i="160"/>
  <c r="W131" i="160" s="1"/>
  <c r="J130" i="160"/>
  <c r="W121" i="160"/>
  <c r="V121" i="160"/>
  <c r="J121" i="160"/>
  <c r="J120" i="160"/>
  <c r="W120" i="160" s="1"/>
  <c r="J119" i="160"/>
  <c r="J117" i="160"/>
  <c r="W117" i="160" s="1"/>
  <c r="J116" i="160"/>
  <c r="W116" i="160" s="1"/>
  <c r="J115" i="160"/>
  <c r="W115" i="160" s="1"/>
  <c r="J114" i="160"/>
  <c r="W114" i="160" s="1"/>
  <c r="J113" i="160"/>
  <c r="J112" i="160"/>
  <c r="J111" i="160"/>
  <c r="V111" i="160" s="1"/>
  <c r="J110" i="160"/>
  <c r="W110" i="160" s="1"/>
  <c r="W109" i="160"/>
  <c r="J109" i="160"/>
  <c r="V109" i="160" s="1"/>
  <c r="J108" i="160"/>
  <c r="W108" i="160" s="1"/>
  <c r="J107" i="160"/>
  <c r="J106" i="160"/>
  <c r="V106" i="160" s="1"/>
  <c r="J105" i="160"/>
  <c r="W105" i="160" s="1"/>
  <c r="J104" i="160"/>
  <c r="W104" i="160" s="1"/>
  <c r="J103" i="160"/>
  <c r="J102" i="160"/>
  <c r="V102" i="160" s="1"/>
  <c r="J101" i="160"/>
  <c r="V101" i="160" s="1"/>
  <c r="J100" i="160"/>
  <c r="V100" i="160" s="1"/>
  <c r="J99" i="160"/>
  <c r="W99" i="160" s="1"/>
  <c r="V90" i="160"/>
  <c r="J90" i="160"/>
  <c r="W90" i="160" s="1"/>
  <c r="J89" i="160"/>
  <c r="J88" i="160"/>
  <c r="V88" i="160" s="1"/>
  <c r="J87" i="160"/>
  <c r="W87" i="160" s="1"/>
  <c r="J86" i="160"/>
  <c r="W86" i="160" s="1"/>
  <c r="J85" i="160"/>
  <c r="J84" i="160"/>
  <c r="J83" i="160"/>
  <c r="J82" i="160"/>
  <c r="J81" i="160"/>
  <c r="V81" i="160" s="1"/>
  <c r="J80" i="160"/>
  <c r="V80" i="160" s="1"/>
  <c r="V79" i="160"/>
  <c r="J79" i="160"/>
  <c r="W79" i="160" s="1"/>
  <c r="J78" i="160"/>
  <c r="W78" i="160" s="1"/>
  <c r="J77" i="160"/>
  <c r="V77" i="160" s="1"/>
  <c r="J76" i="160"/>
  <c r="W76" i="160" s="1"/>
  <c r="J75" i="160"/>
  <c r="W75" i="160" s="1"/>
  <c r="J74" i="160"/>
  <c r="W74" i="160" s="1"/>
  <c r="J73" i="160"/>
  <c r="W73" i="160" s="1"/>
  <c r="J72" i="160"/>
  <c r="V72" i="160" s="1"/>
  <c r="J71" i="160"/>
  <c r="W71" i="160" s="1"/>
  <c r="J70" i="160"/>
  <c r="W70" i="160" s="1"/>
  <c r="J69" i="160"/>
  <c r="W69" i="160" s="1"/>
  <c r="J68" i="160"/>
  <c r="W68" i="160" s="1"/>
  <c r="J59" i="160"/>
  <c r="W59" i="160" s="1"/>
  <c r="W58" i="160"/>
  <c r="J58" i="160"/>
  <c r="V58" i="160" s="1"/>
  <c r="J57" i="160"/>
  <c r="W57" i="160" s="1"/>
  <c r="J56" i="160"/>
  <c r="V56" i="160" s="1"/>
  <c r="J55" i="160"/>
  <c r="J54" i="160"/>
  <c r="W54" i="160" s="1"/>
  <c r="J53" i="160"/>
  <c r="W53" i="160" s="1"/>
  <c r="J52" i="160"/>
  <c r="V52" i="160" s="1"/>
  <c r="J51" i="160"/>
  <c r="W51" i="160" s="1"/>
  <c r="J50" i="160"/>
  <c r="V50" i="160" s="1"/>
  <c r="V49" i="160"/>
  <c r="J49" i="160"/>
  <c r="W49" i="160" s="1"/>
  <c r="J48" i="160"/>
  <c r="W48" i="160" s="1"/>
  <c r="J47" i="160"/>
  <c r="J45" i="160"/>
  <c r="V45" i="160" s="1"/>
  <c r="J44" i="160"/>
  <c r="V44" i="160" s="1"/>
  <c r="J43" i="160"/>
  <c r="W43" i="160" s="1"/>
  <c r="V42" i="160"/>
  <c r="J42" i="160"/>
  <c r="W42" i="160" s="1"/>
  <c r="J41" i="160"/>
  <c r="W41" i="160" s="1"/>
  <c r="J40" i="160"/>
  <c r="V40" i="160" s="1"/>
  <c r="J39" i="160"/>
  <c r="W39" i="160" s="1"/>
  <c r="J38" i="160"/>
  <c r="V38" i="160" s="1"/>
  <c r="J37" i="160"/>
  <c r="W37" i="160" s="1"/>
  <c r="J28" i="160"/>
  <c r="V28" i="160" s="1"/>
  <c r="V27" i="160"/>
  <c r="J27" i="160"/>
  <c r="W27" i="160" s="1"/>
  <c r="J26" i="160"/>
  <c r="V26" i="160" s="1"/>
  <c r="J25" i="160"/>
  <c r="W25" i="160" s="1"/>
  <c r="J24" i="160"/>
  <c r="W24" i="160" s="1"/>
  <c r="J23" i="160"/>
  <c r="J22" i="160"/>
  <c r="W22" i="160" s="1"/>
  <c r="J21" i="160"/>
  <c r="V21" i="160" s="1"/>
  <c r="W20" i="160"/>
  <c r="J20" i="160"/>
  <c r="V20" i="160" s="1"/>
  <c r="J19" i="160"/>
  <c r="W19" i="160" s="1"/>
  <c r="J18" i="160"/>
  <c r="W18" i="160" s="1"/>
  <c r="J17" i="160"/>
  <c r="J16" i="160"/>
  <c r="W16" i="160" s="1"/>
  <c r="J15" i="160"/>
  <c r="W15" i="160" s="1"/>
  <c r="N14" i="160"/>
  <c r="J14" i="160"/>
  <c r="V14" i="160" s="1"/>
  <c r="J13" i="160"/>
  <c r="W13" i="160" s="1"/>
  <c r="N12" i="160"/>
  <c r="J12" i="160"/>
  <c r="W12" i="160" s="1"/>
  <c r="N10" i="160"/>
  <c r="J10" i="160"/>
  <c r="W10" i="160" s="1"/>
  <c r="J9" i="160"/>
  <c r="W9" i="160" s="1"/>
  <c r="N8" i="160"/>
  <c r="J8" i="160"/>
  <c r="V8" i="160" s="1"/>
  <c r="J7" i="160"/>
  <c r="V7" i="160" s="1"/>
  <c r="N6" i="160"/>
  <c r="J6" i="160"/>
  <c r="W6" i="160" s="1"/>
  <c r="N4" i="160"/>
  <c r="H55" i="159"/>
  <c r="H147" i="159"/>
  <c r="H145" i="159"/>
  <c r="H116" i="159"/>
  <c r="H115" i="159"/>
  <c r="H85" i="159"/>
  <c r="H84" i="159"/>
  <c r="H83" i="159"/>
  <c r="H54" i="159"/>
  <c r="H23" i="159"/>
  <c r="H171" i="159"/>
  <c r="H143" i="159"/>
  <c r="H113" i="159"/>
  <c r="H110" i="159"/>
  <c r="J110" i="159" s="1"/>
  <c r="H81" i="159"/>
  <c r="H78" i="159"/>
  <c r="H79" i="159"/>
  <c r="H49" i="159"/>
  <c r="H48" i="159"/>
  <c r="H17" i="159"/>
  <c r="H47" i="159"/>
  <c r="H77" i="159"/>
  <c r="H45" i="159"/>
  <c r="H76" i="159"/>
  <c r="H168" i="159"/>
  <c r="H165" i="159"/>
  <c r="J165" i="159" s="1"/>
  <c r="H11" i="159"/>
  <c r="H71" i="159"/>
  <c r="H102" i="159"/>
  <c r="H39" i="159"/>
  <c r="H101" i="159"/>
  <c r="H69" i="159"/>
  <c r="J69" i="159" s="1"/>
  <c r="W69" i="159" s="1"/>
  <c r="H38" i="159"/>
  <c r="H99" i="159"/>
  <c r="H68" i="159"/>
  <c r="H37" i="159"/>
  <c r="J183" i="159"/>
  <c r="J182" i="159"/>
  <c r="W182" i="159" s="1"/>
  <c r="J181" i="159"/>
  <c r="V181" i="159" s="1"/>
  <c r="J180" i="159"/>
  <c r="W180" i="159" s="1"/>
  <c r="J179" i="159"/>
  <c r="V179" i="159" s="1"/>
  <c r="J178" i="159"/>
  <c r="W178" i="159" s="1"/>
  <c r="J177" i="159"/>
  <c r="V177" i="159" s="1"/>
  <c r="J176" i="159"/>
  <c r="V176" i="159" s="1"/>
  <c r="J175" i="159"/>
  <c r="W175" i="159" s="1"/>
  <c r="W174" i="159"/>
  <c r="J174" i="159"/>
  <c r="V174" i="159" s="1"/>
  <c r="J173" i="159"/>
  <c r="W173" i="159" s="1"/>
  <c r="J172" i="159"/>
  <c r="W172" i="159" s="1"/>
  <c r="J171" i="159"/>
  <c r="V171" i="159" s="1"/>
  <c r="J170" i="159"/>
  <c r="W170" i="159" s="1"/>
  <c r="J169" i="159"/>
  <c r="W169" i="159" s="1"/>
  <c r="J168" i="159"/>
  <c r="W168" i="159" s="1"/>
  <c r="J167" i="159"/>
  <c r="V167" i="159" s="1"/>
  <c r="J166" i="159"/>
  <c r="W166" i="159" s="1"/>
  <c r="J164" i="159"/>
  <c r="W164" i="159" s="1"/>
  <c r="J163" i="159"/>
  <c r="V163" i="159" s="1"/>
  <c r="J162" i="159"/>
  <c r="W162" i="159" s="1"/>
  <c r="J161" i="159"/>
  <c r="W161" i="159" s="1"/>
  <c r="J152" i="159"/>
  <c r="V152" i="159" s="1"/>
  <c r="J151" i="159"/>
  <c r="W151" i="159" s="1"/>
  <c r="J150" i="159"/>
  <c r="V150" i="159" s="1"/>
  <c r="J149" i="159"/>
  <c r="W149" i="159" s="1"/>
  <c r="J148" i="159"/>
  <c r="V148" i="159" s="1"/>
  <c r="J147" i="159"/>
  <c r="W147" i="159" s="1"/>
  <c r="J146" i="159"/>
  <c r="V146" i="159" s="1"/>
  <c r="J145" i="159"/>
  <c r="W145" i="159" s="1"/>
  <c r="J144" i="159"/>
  <c r="V144" i="159" s="1"/>
  <c r="J143" i="159"/>
  <c r="W143" i="159" s="1"/>
  <c r="J142" i="159"/>
  <c r="W142" i="159" s="1"/>
  <c r="J141" i="159"/>
  <c r="V141" i="159" s="1"/>
  <c r="J140" i="159"/>
  <c r="W140" i="159" s="1"/>
  <c r="J139" i="159"/>
  <c r="V139" i="159" s="1"/>
  <c r="V138" i="159"/>
  <c r="J138" i="159"/>
  <c r="W138" i="159" s="1"/>
  <c r="J137" i="159"/>
  <c r="V137" i="159" s="1"/>
  <c r="J136" i="159"/>
  <c r="W136" i="159" s="1"/>
  <c r="J135" i="159"/>
  <c r="W135" i="159" s="1"/>
  <c r="J134" i="159"/>
  <c r="V134" i="159" s="1"/>
  <c r="V133" i="159"/>
  <c r="J133" i="159"/>
  <c r="W133" i="159" s="1"/>
  <c r="W132" i="159"/>
  <c r="J132" i="159"/>
  <c r="V132" i="159" s="1"/>
  <c r="J131" i="159"/>
  <c r="V131" i="159" s="1"/>
  <c r="J130" i="159"/>
  <c r="W130" i="159" s="1"/>
  <c r="J121" i="159"/>
  <c r="W121" i="159" s="1"/>
  <c r="J120" i="159"/>
  <c r="V120" i="159" s="1"/>
  <c r="J119" i="159"/>
  <c r="W119" i="159" s="1"/>
  <c r="J118" i="159"/>
  <c r="V118" i="159" s="1"/>
  <c r="J117" i="159"/>
  <c r="W117" i="159" s="1"/>
  <c r="V116" i="159"/>
  <c r="J116" i="159"/>
  <c r="W116" i="159" s="1"/>
  <c r="J115" i="159"/>
  <c r="V115" i="159" s="1"/>
  <c r="J114" i="159"/>
  <c r="V114" i="159" s="1"/>
  <c r="J113" i="159"/>
  <c r="W113" i="159" s="1"/>
  <c r="V112" i="159"/>
  <c r="J112" i="159"/>
  <c r="W112" i="159" s="1"/>
  <c r="J111" i="159"/>
  <c r="W111" i="159" s="1"/>
  <c r="J109" i="159"/>
  <c r="W109" i="159" s="1"/>
  <c r="V108" i="159"/>
  <c r="J108" i="159"/>
  <c r="W108" i="159" s="1"/>
  <c r="J107" i="159"/>
  <c r="J106" i="159"/>
  <c r="J105" i="159"/>
  <c r="W105" i="159" s="1"/>
  <c r="J104" i="159"/>
  <c r="V104" i="159" s="1"/>
  <c r="J103" i="159"/>
  <c r="W103" i="159" s="1"/>
  <c r="J102" i="159"/>
  <c r="W102" i="159" s="1"/>
  <c r="J101" i="159"/>
  <c r="W101" i="159" s="1"/>
  <c r="J100" i="159"/>
  <c r="W100" i="159" s="1"/>
  <c r="J99" i="159"/>
  <c r="W99" i="159" s="1"/>
  <c r="J90" i="159"/>
  <c r="W90" i="159" s="1"/>
  <c r="J89" i="159"/>
  <c r="V89" i="159" s="1"/>
  <c r="J88" i="159"/>
  <c r="W88" i="159" s="1"/>
  <c r="J87" i="159"/>
  <c r="V87" i="159" s="1"/>
  <c r="J86" i="159"/>
  <c r="W86" i="159" s="1"/>
  <c r="J85" i="159"/>
  <c r="W85" i="159" s="1"/>
  <c r="W84" i="159"/>
  <c r="J84" i="159"/>
  <c r="V84" i="159" s="1"/>
  <c r="J83" i="159"/>
  <c r="V83" i="159" s="1"/>
  <c r="J82" i="159"/>
  <c r="W82" i="159" s="1"/>
  <c r="J81" i="159"/>
  <c r="W81" i="159" s="1"/>
  <c r="J80" i="159"/>
  <c r="V79" i="159"/>
  <c r="J79" i="159"/>
  <c r="W79" i="159" s="1"/>
  <c r="J78" i="159"/>
  <c r="V78" i="159" s="1"/>
  <c r="J77" i="159"/>
  <c r="V77" i="159" s="1"/>
  <c r="J76" i="159"/>
  <c r="W76" i="159" s="1"/>
  <c r="J75" i="159"/>
  <c r="W75" i="159" s="1"/>
  <c r="J74" i="159"/>
  <c r="W74" i="159" s="1"/>
  <c r="J73" i="159"/>
  <c r="W73" i="159" s="1"/>
  <c r="J72" i="159"/>
  <c r="W72" i="159" s="1"/>
  <c r="W71" i="159"/>
  <c r="J71" i="159"/>
  <c r="V71" i="159" s="1"/>
  <c r="W70" i="159"/>
  <c r="J70" i="159"/>
  <c r="V70" i="159" s="1"/>
  <c r="J68" i="159"/>
  <c r="J59" i="159"/>
  <c r="V59" i="159" s="1"/>
  <c r="J58" i="159"/>
  <c r="V58" i="159" s="1"/>
  <c r="J57" i="159"/>
  <c r="V57" i="159" s="1"/>
  <c r="J56" i="159"/>
  <c r="W56" i="159" s="1"/>
  <c r="J55" i="159"/>
  <c r="V55" i="159" s="1"/>
  <c r="J54" i="159"/>
  <c r="V54" i="159" s="1"/>
  <c r="W53" i="159"/>
  <c r="V53" i="159"/>
  <c r="J53" i="159"/>
  <c r="J52" i="159"/>
  <c r="W52" i="159" s="1"/>
  <c r="J51" i="159"/>
  <c r="W51" i="159" s="1"/>
  <c r="J50" i="159"/>
  <c r="W50" i="159" s="1"/>
  <c r="J49" i="159"/>
  <c r="W49" i="159" s="1"/>
  <c r="J48" i="159"/>
  <c r="V48" i="159" s="1"/>
  <c r="J47" i="159"/>
  <c r="W47" i="159" s="1"/>
  <c r="J46" i="159"/>
  <c r="W46" i="159" s="1"/>
  <c r="J45" i="159"/>
  <c r="V45" i="159" s="1"/>
  <c r="J44" i="159"/>
  <c r="W44" i="159" s="1"/>
  <c r="J43" i="159"/>
  <c r="V43" i="159" s="1"/>
  <c r="J42" i="159"/>
  <c r="W42" i="159" s="1"/>
  <c r="J41" i="159"/>
  <c r="J40" i="159"/>
  <c r="J39" i="159"/>
  <c r="W39" i="159" s="1"/>
  <c r="J38" i="159"/>
  <c r="J37" i="159"/>
  <c r="V37" i="159" s="1"/>
  <c r="J28" i="159"/>
  <c r="V28" i="159" s="1"/>
  <c r="J27" i="159"/>
  <c r="W27" i="159" s="1"/>
  <c r="J26" i="159"/>
  <c r="V26" i="159" s="1"/>
  <c r="J25" i="159"/>
  <c r="W25" i="159" s="1"/>
  <c r="J24" i="159"/>
  <c r="W24" i="159" s="1"/>
  <c r="J23" i="159"/>
  <c r="W23" i="159" s="1"/>
  <c r="J22" i="159"/>
  <c r="W22" i="159" s="1"/>
  <c r="W21" i="159"/>
  <c r="J21" i="159"/>
  <c r="V21" i="159" s="1"/>
  <c r="J20" i="159"/>
  <c r="W20" i="159" s="1"/>
  <c r="J19" i="159"/>
  <c r="V19" i="159" s="1"/>
  <c r="J18" i="159"/>
  <c r="W18" i="159" s="1"/>
  <c r="J17" i="159"/>
  <c r="W17" i="159" s="1"/>
  <c r="J16" i="159"/>
  <c r="J15" i="159"/>
  <c r="W15" i="159" s="1"/>
  <c r="N14" i="159"/>
  <c r="J14" i="159"/>
  <c r="V14" i="159" s="1"/>
  <c r="J13" i="159"/>
  <c r="N12" i="159"/>
  <c r="J12" i="159"/>
  <c r="J11" i="159"/>
  <c r="W11" i="159" s="1"/>
  <c r="N10" i="159"/>
  <c r="J10" i="159"/>
  <c r="J9" i="159"/>
  <c r="W9" i="159" s="1"/>
  <c r="N8" i="159"/>
  <c r="J8" i="159"/>
  <c r="V8" i="159" s="1"/>
  <c r="J7" i="159"/>
  <c r="W7" i="159" s="1"/>
  <c r="N6" i="159"/>
  <c r="J6" i="159"/>
  <c r="N4" i="159"/>
  <c r="H177" i="158"/>
  <c r="H117" i="158"/>
  <c r="H114" i="158"/>
  <c r="H86" i="158"/>
  <c r="H84" i="158"/>
  <c r="H55" i="158"/>
  <c r="H143" i="158"/>
  <c r="H82" i="158"/>
  <c r="H24" i="158"/>
  <c r="H51" i="158"/>
  <c r="H173" i="158"/>
  <c r="H170" i="158"/>
  <c r="H111" i="158"/>
  <c r="H112" i="158"/>
  <c r="H110" i="158"/>
  <c r="H109" i="158"/>
  <c r="H81" i="158"/>
  <c r="H80" i="158"/>
  <c r="H77" i="158"/>
  <c r="H50" i="158"/>
  <c r="H47" i="158"/>
  <c r="H16" i="158"/>
  <c r="H44" i="158"/>
  <c r="H42" i="158"/>
  <c r="H38" i="158"/>
  <c r="H169" i="158"/>
  <c r="H136" i="158"/>
  <c r="H130" i="158"/>
  <c r="H76" i="158"/>
  <c r="H75" i="158"/>
  <c r="H74" i="158"/>
  <c r="H72" i="158"/>
  <c r="H71" i="158"/>
  <c r="H69" i="158"/>
  <c r="H68" i="158"/>
  <c r="H45" i="158"/>
  <c r="H41" i="158"/>
  <c r="H40" i="158"/>
  <c r="H13" i="158"/>
  <c r="H12" i="158"/>
  <c r="H10" i="158"/>
  <c r="H7" i="158"/>
  <c r="H6" i="158"/>
  <c r="W152" i="161" l="1"/>
  <c r="W59" i="161"/>
  <c r="W27" i="161"/>
  <c r="W120" i="161"/>
  <c r="V182" i="161"/>
  <c r="V151" i="161"/>
  <c r="W121" i="161"/>
  <c r="V89" i="161"/>
  <c r="W90" i="161"/>
  <c r="W26" i="161"/>
  <c r="V58" i="161"/>
  <c r="W85" i="161"/>
  <c r="W177" i="161"/>
  <c r="W22" i="161"/>
  <c r="V21" i="161"/>
  <c r="W176" i="161"/>
  <c r="V171" i="161"/>
  <c r="V145" i="161"/>
  <c r="W143" i="161"/>
  <c r="V109" i="161"/>
  <c r="V79" i="161"/>
  <c r="V166" i="161"/>
  <c r="W139" i="161"/>
  <c r="W136" i="161"/>
  <c r="W101" i="161"/>
  <c r="W44" i="161"/>
  <c r="W39" i="161"/>
  <c r="V38" i="161"/>
  <c r="W6" i="161"/>
  <c r="V20" i="161"/>
  <c r="W10" i="161"/>
  <c r="W12" i="161"/>
  <c r="V23" i="161"/>
  <c r="V37" i="161"/>
  <c r="W48" i="161"/>
  <c r="V45" i="161"/>
  <c r="V47" i="161"/>
  <c r="W41" i="161"/>
  <c r="V56" i="161"/>
  <c r="V70" i="161"/>
  <c r="W86" i="161"/>
  <c r="W73" i="161"/>
  <c r="V83" i="161"/>
  <c r="W105" i="161"/>
  <c r="W110" i="161"/>
  <c r="W111" i="161"/>
  <c r="W116" i="161"/>
  <c r="W137" i="161"/>
  <c r="V142" i="161"/>
  <c r="V146" i="161"/>
  <c r="V150" i="161"/>
  <c r="W148" i="161"/>
  <c r="W132" i="161"/>
  <c r="V165" i="161"/>
  <c r="W172" i="161"/>
  <c r="V11" i="161"/>
  <c r="W11" i="161"/>
  <c r="W52" i="161"/>
  <c r="V52" i="161"/>
  <c r="W113" i="161"/>
  <c r="V113" i="161"/>
  <c r="V8" i="161"/>
  <c r="W8" i="161"/>
  <c r="W78" i="161"/>
  <c r="V78" i="161"/>
  <c r="W107" i="161"/>
  <c r="V107" i="161"/>
  <c r="V9" i="161"/>
  <c r="W9" i="161"/>
  <c r="V16" i="161"/>
  <c r="W16" i="161"/>
  <c r="W51" i="161"/>
  <c r="V51" i="161"/>
  <c r="W118" i="161"/>
  <c r="V118" i="161"/>
  <c r="V42" i="161"/>
  <c r="W42" i="161"/>
  <c r="W162" i="161"/>
  <c r="V162" i="161"/>
  <c r="W175" i="161"/>
  <c r="V175" i="161"/>
  <c r="W14" i="161"/>
  <c r="V25" i="161"/>
  <c r="V28" i="161"/>
  <c r="W40" i="161"/>
  <c r="V43" i="161"/>
  <c r="V46" i="161"/>
  <c r="J60" i="161"/>
  <c r="W75" i="161"/>
  <c r="V82" i="161"/>
  <c r="W87" i="161"/>
  <c r="V87" i="161"/>
  <c r="J91" i="161"/>
  <c r="W102" i="161"/>
  <c r="V102" i="161"/>
  <c r="W106" i="161"/>
  <c r="V106" i="161"/>
  <c r="W149" i="161"/>
  <c r="V149" i="161"/>
  <c r="V167" i="161"/>
  <c r="V170" i="161"/>
  <c r="W180" i="161"/>
  <c r="V180" i="161"/>
  <c r="V7" i="161"/>
  <c r="V13" i="161"/>
  <c r="N16" i="161"/>
  <c r="V19" i="161"/>
  <c r="V24" i="161"/>
  <c r="J29" i="161"/>
  <c r="W49" i="161"/>
  <c r="W55" i="161"/>
  <c r="V57" i="161"/>
  <c r="V72" i="161"/>
  <c r="W76" i="161"/>
  <c r="V76" i="161"/>
  <c r="V81" i="161"/>
  <c r="V138" i="161"/>
  <c r="W140" i="161"/>
  <c r="V140" i="161"/>
  <c r="W144" i="161"/>
  <c r="V144" i="161"/>
  <c r="W181" i="161"/>
  <c r="V181" i="161"/>
  <c r="W77" i="161"/>
  <c r="V77" i="161"/>
  <c r="W17" i="161"/>
  <c r="V108" i="161"/>
  <c r="W112" i="161"/>
  <c r="V112" i="161"/>
  <c r="V114" i="161"/>
  <c r="J122" i="161"/>
  <c r="W133" i="161"/>
  <c r="V133" i="161"/>
  <c r="J153" i="161"/>
  <c r="V164" i="161"/>
  <c r="V15" i="161"/>
  <c r="V68" i="161"/>
  <c r="W74" i="161"/>
  <c r="V80" i="161"/>
  <c r="V84" i="161"/>
  <c r="V88" i="161"/>
  <c r="V99" i="161"/>
  <c r="V103" i="161"/>
  <c r="W117" i="161"/>
  <c r="V117" i="161"/>
  <c r="V119" i="161"/>
  <c r="V130" i="161"/>
  <c r="V134" i="161"/>
  <c r="W161" i="161"/>
  <c r="V161" i="161"/>
  <c r="J184" i="161"/>
  <c r="W163" i="161"/>
  <c r="V163" i="161"/>
  <c r="V169" i="161"/>
  <c r="W174" i="161"/>
  <c r="V174" i="161"/>
  <c r="W178" i="161"/>
  <c r="V173" i="161"/>
  <c r="V179" i="161"/>
  <c r="V147" i="160"/>
  <c r="V117" i="160"/>
  <c r="W111" i="160"/>
  <c r="W88" i="160"/>
  <c r="V57" i="160"/>
  <c r="V51" i="160"/>
  <c r="V181" i="160"/>
  <c r="V177" i="160"/>
  <c r="W174" i="160"/>
  <c r="V167" i="160"/>
  <c r="V162" i="160"/>
  <c r="W140" i="160"/>
  <c r="V136" i="160"/>
  <c r="W133" i="160"/>
  <c r="V105" i="160"/>
  <c r="V75" i="160"/>
  <c r="V71" i="160"/>
  <c r="V70" i="160"/>
  <c r="W46" i="160"/>
  <c r="V46" i="160"/>
  <c r="V43" i="160"/>
  <c r="V37" i="160"/>
  <c r="V19" i="160"/>
  <c r="W7" i="160"/>
  <c r="V6" i="160"/>
  <c r="W163" i="160"/>
  <c r="V168" i="160"/>
  <c r="V173" i="160"/>
  <c r="V180" i="160"/>
  <c r="W169" i="160"/>
  <c r="V172" i="160"/>
  <c r="W178" i="160"/>
  <c r="W132" i="160"/>
  <c r="W141" i="160"/>
  <c r="V144" i="160"/>
  <c r="W146" i="160"/>
  <c r="W137" i="160"/>
  <c r="W148" i="160"/>
  <c r="W100" i="160"/>
  <c r="V115" i="160"/>
  <c r="V104" i="160"/>
  <c r="V108" i="160"/>
  <c r="V99" i="160"/>
  <c r="W106" i="160"/>
  <c r="W118" i="160"/>
  <c r="V69" i="160"/>
  <c r="W80" i="160"/>
  <c r="V87" i="160"/>
  <c r="N16" i="160"/>
  <c r="V68" i="160"/>
  <c r="W40" i="160"/>
  <c r="W52" i="160"/>
  <c r="J60" i="160"/>
  <c r="V25" i="160"/>
  <c r="V18" i="160"/>
  <c r="V24" i="160"/>
  <c r="W8" i="160"/>
  <c r="V16" i="160"/>
  <c r="V22" i="160"/>
  <c r="W23" i="160"/>
  <c r="V23" i="160"/>
  <c r="V84" i="160"/>
  <c r="W84" i="160"/>
  <c r="V113" i="160"/>
  <c r="W113" i="160"/>
  <c r="W55" i="160"/>
  <c r="V55" i="160"/>
  <c r="W17" i="160"/>
  <c r="V17" i="160"/>
  <c r="W47" i="160"/>
  <c r="V47" i="160"/>
  <c r="V165" i="160"/>
  <c r="W165" i="160"/>
  <c r="W11" i="160"/>
  <c r="V11" i="160"/>
  <c r="V143" i="160"/>
  <c r="W143" i="160"/>
  <c r="V13" i="160"/>
  <c r="W14" i="160"/>
  <c r="W28" i="160"/>
  <c r="W38" i="160"/>
  <c r="W50" i="160"/>
  <c r="W56" i="160"/>
  <c r="J91" i="160"/>
  <c r="V73" i="160"/>
  <c r="V76" i="160"/>
  <c r="W77" i="160"/>
  <c r="W101" i="160"/>
  <c r="V116" i="160"/>
  <c r="V120" i="160"/>
  <c r="V145" i="160"/>
  <c r="V171" i="160"/>
  <c r="W171" i="160"/>
  <c r="V175" i="160"/>
  <c r="W175" i="160"/>
  <c r="V179" i="160"/>
  <c r="W179" i="160"/>
  <c r="J29" i="160"/>
  <c r="V9" i="160"/>
  <c r="V10" i="160"/>
  <c r="V12" i="160"/>
  <c r="V83" i="160"/>
  <c r="W83" i="160"/>
  <c r="V85" i="160"/>
  <c r="W85" i="160"/>
  <c r="V89" i="160"/>
  <c r="W89" i="160"/>
  <c r="V130" i="160"/>
  <c r="W130" i="160"/>
  <c r="V134" i="160"/>
  <c r="W134" i="160"/>
  <c r="V138" i="160"/>
  <c r="W138" i="160"/>
  <c r="V142" i="160"/>
  <c r="W142" i="160"/>
  <c r="V149" i="160"/>
  <c r="W149" i="160"/>
  <c r="J153" i="160"/>
  <c r="V164" i="160"/>
  <c r="W164" i="160"/>
  <c r="V166" i="160"/>
  <c r="V15" i="160"/>
  <c r="W21" i="160"/>
  <c r="V39" i="160"/>
  <c r="W45" i="160"/>
  <c r="V48" i="160"/>
  <c r="V54" i="160"/>
  <c r="W72" i="160"/>
  <c r="V74" i="160"/>
  <c r="V78" i="160"/>
  <c r="W81" i="160"/>
  <c r="J122" i="160"/>
  <c r="W102" i="160"/>
  <c r="V110" i="160"/>
  <c r="V112" i="160"/>
  <c r="W112" i="160"/>
  <c r="V114" i="160"/>
  <c r="V119" i="160"/>
  <c r="W119" i="160"/>
  <c r="W161" i="160"/>
  <c r="J184" i="160"/>
  <c r="V170" i="160"/>
  <c r="W170" i="160"/>
  <c r="V176" i="160"/>
  <c r="W26" i="160"/>
  <c r="V41" i="160"/>
  <c r="W44" i="160"/>
  <c r="V53" i="160"/>
  <c r="V59" i="160"/>
  <c r="V82" i="160"/>
  <c r="W82" i="160"/>
  <c r="V86" i="160"/>
  <c r="V103" i="160"/>
  <c r="W103" i="160"/>
  <c r="V107" i="160"/>
  <c r="W107" i="160"/>
  <c r="V131" i="160"/>
  <c r="V135" i="160"/>
  <c r="V139" i="160"/>
  <c r="V150" i="160"/>
  <c r="V161" i="160"/>
  <c r="V182" i="160"/>
  <c r="W183" i="160"/>
  <c r="V119" i="159"/>
  <c r="W57" i="159"/>
  <c r="W89" i="159"/>
  <c r="W58" i="159"/>
  <c r="W28" i="159"/>
  <c r="V149" i="159"/>
  <c r="V180" i="159"/>
  <c r="W181" i="159"/>
  <c r="V182" i="159"/>
  <c r="V121" i="159"/>
  <c r="W118" i="159"/>
  <c r="W120" i="159"/>
  <c r="W87" i="159"/>
  <c r="V90" i="159"/>
  <c r="V27" i="159"/>
  <c r="V25" i="159"/>
  <c r="V145" i="159"/>
  <c r="V151" i="159"/>
  <c r="W148" i="159"/>
  <c r="W150" i="159"/>
  <c r="W152" i="159"/>
  <c r="V140" i="159"/>
  <c r="W110" i="159"/>
  <c r="V110" i="159"/>
  <c r="V82" i="159"/>
  <c r="V49" i="159"/>
  <c r="V170" i="159"/>
  <c r="W139" i="159"/>
  <c r="W45" i="159"/>
  <c r="V76" i="159"/>
  <c r="V168" i="159"/>
  <c r="W137" i="159"/>
  <c r="V75" i="159"/>
  <c r="V44" i="159"/>
  <c r="W167" i="159"/>
  <c r="V105" i="159"/>
  <c r="V73" i="159"/>
  <c r="V135" i="159"/>
  <c r="V165" i="159"/>
  <c r="W165" i="159"/>
  <c r="W134" i="159"/>
  <c r="V103" i="159"/>
  <c r="W8" i="159"/>
  <c r="V39" i="159"/>
  <c r="W131" i="159"/>
  <c r="V162" i="159"/>
  <c r="V164" i="159"/>
  <c r="V172" i="159"/>
  <c r="W176" i="159"/>
  <c r="V178" i="159"/>
  <c r="V166" i="159"/>
  <c r="V175" i="159"/>
  <c r="W163" i="159"/>
  <c r="W177" i="159"/>
  <c r="W179" i="159"/>
  <c r="W141" i="159"/>
  <c r="V143" i="159"/>
  <c r="V147" i="159"/>
  <c r="V142" i="159"/>
  <c r="W146" i="159"/>
  <c r="V99" i="159"/>
  <c r="V102" i="159"/>
  <c r="W114" i="159"/>
  <c r="V109" i="159"/>
  <c r="V111" i="159"/>
  <c r="V113" i="159"/>
  <c r="V72" i="159"/>
  <c r="W77" i="159"/>
  <c r="V86" i="159"/>
  <c r="W83" i="159"/>
  <c r="V85" i="159"/>
  <c r="N16" i="159"/>
  <c r="V52" i="159"/>
  <c r="W43" i="159"/>
  <c r="V46" i="159"/>
  <c r="W48" i="159"/>
  <c r="W37" i="159"/>
  <c r="W55" i="159"/>
  <c r="V51" i="159"/>
  <c r="W54" i="159"/>
  <c r="V15" i="159"/>
  <c r="V20" i="159"/>
  <c r="V24" i="159"/>
  <c r="V9" i="159"/>
  <c r="V11" i="159"/>
  <c r="V18" i="159"/>
  <c r="W19" i="159"/>
  <c r="V23" i="159"/>
  <c r="V38" i="159"/>
  <c r="W38" i="159"/>
  <c r="J29" i="159"/>
  <c r="W6" i="159"/>
  <c r="V6" i="159"/>
  <c r="W106" i="159"/>
  <c r="V106" i="159"/>
  <c r="V13" i="159"/>
  <c r="W13" i="159"/>
  <c r="W41" i="159"/>
  <c r="V41" i="159"/>
  <c r="W10" i="159"/>
  <c r="V10" i="159"/>
  <c r="V12" i="159"/>
  <c r="W12" i="159"/>
  <c r="W68" i="159"/>
  <c r="V68" i="159"/>
  <c r="J91" i="159"/>
  <c r="W80" i="159"/>
  <c r="V80" i="159"/>
  <c r="W107" i="159"/>
  <c r="V107" i="159"/>
  <c r="V16" i="159"/>
  <c r="W16" i="159"/>
  <c r="W40" i="159"/>
  <c r="V40" i="159"/>
  <c r="V7" i="159"/>
  <c r="V17" i="159"/>
  <c r="V42" i="159"/>
  <c r="V47" i="159"/>
  <c r="V50" i="159"/>
  <c r="V56" i="159"/>
  <c r="W59" i="159"/>
  <c r="V69" i="159"/>
  <c r="V74" i="159"/>
  <c r="W78" i="159"/>
  <c r="V81" i="159"/>
  <c r="V88" i="159"/>
  <c r="V100" i="159"/>
  <c r="V101" i="159"/>
  <c r="W115" i="159"/>
  <c r="V117" i="159"/>
  <c r="V136" i="159"/>
  <c r="V169" i="159"/>
  <c r="W171" i="159"/>
  <c r="V173" i="159"/>
  <c r="W14" i="159"/>
  <c r="V22" i="159"/>
  <c r="W26" i="159"/>
  <c r="J60" i="159"/>
  <c r="W104" i="159"/>
  <c r="V130" i="159"/>
  <c r="J153" i="159"/>
  <c r="W144" i="159"/>
  <c r="J184" i="159"/>
  <c r="V161" i="159"/>
  <c r="J122" i="159"/>
  <c r="V183" i="159"/>
  <c r="W183" i="159"/>
  <c r="H103" i="158"/>
  <c r="H107" i="158"/>
  <c r="H106" i="158"/>
  <c r="H101" i="158"/>
  <c r="J183" i="158"/>
  <c r="V183" i="158" s="1"/>
  <c r="J182" i="158"/>
  <c r="W182" i="158" s="1"/>
  <c r="W181" i="158"/>
  <c r="J181" i="158"/>
  <c r="V181" i="158" s="1"/>
  <c r="W180" i="158"/>
  <c r="V180" i="158"/>
  <c r="J180" i="158"/>
  <c r="J179" i="158"/>
  <c r="V179" i="158" s="1"/>
  <c r="J178" i="158"/>
  <c r="V178" i="158" s="1"/>
  <c r="J177" i="158"/>
  <c r="W177" i="158" s="1"/>
  <c r="J176" i="158"/>
  <c r="V176" i="158" s="1"/>
  <c r="J175" i="158"/>
  <c r="W175" i="158" s="1"/>
  <c r="J174" i="158"/>
  <c r="V174" i="158" s="1"/>
  <c r="J173" i="158"/>
  <c r="V173" i="158" s="1"/>
  <c r="J172" i="158"/>
  <c r="J171" i="158"/>
  <c r="J170" i="158"/>
  <c r="W170" i="158" s="1"/>
  <c r="J169" i="158"/>
  <c r="V169" i="158" s="1"/>
  <c r="J168" i="158"/>
  <c r="W167" i="158"/>
  <c r="J167" i="158"/>
  <c r="V167" i="158" s="1"/>
  <c r="J166" i="158"/>
  <c r="V166" i="158" s="1"/>
  <c r="J165" i="158"/>
  <c r="V165" i="158" s="1"/>
  <c r="J164" i="158"/>
  <c r="W164" i="158" s="1"/>
  <c r="J163" i="158"/>
  <c r="V163" i="158" s="1"/>
  <c r="J162" i="158"/>
  <c r="J161" i="158"/>
  <c r="J152" i="158"/>
  <c r="V152" i="158" s="1"/>
  <c r="J151" i="158"/>
  <c r="W151" i="158" s="1"/>
  <c r="J150" i="158"/>
  <c r="V150" i="158" s="1"/>
  <c r="W149" i="158"/>
  <c r="V149" i="158"/>
  <c r="J149" i="158"/>
  <c r="J148" i="158"/>
  <c r="V148" i="158" s="1"/>
  <c r="J147" i="158"/>
  <c r="W147" i="158" s="1"/>
  <c r="J146" i="158"/>
  <c r="V146" i="158" s="1"/>
  <c r="J145" i="158"/>
  <c r="V145" i="158" s="1"/>
  <c r="J144" i="158"/>
  <c r="V144" i="158" s="1"/>
  <c r="J143" i="158"/>
  <c r="V143" i="158" s="1"/>
  <c r="J142" i="158"/>
  <c r="V142" i="158" s="1"/>
  <c r="J141" i="158"/>
  <c r="W141" i="158" s="1"/>
  <c r="J140" i="158"/>
  <c r="V140" i="158" s="1"/>
  <c r="J139" i="158"/>
  <c r="W139" i="158" s="1"/>
  <c r="J138" i="158"/>
  <c r="V138" i="158" s="1"/>
  <c r="J137" i="158"/>
  <c r="W137" i="158" s="1"/>
  <c r="J136" i="158"/>
  <c r="V136" i="158" s="1"/>
  <c r="W135" i="158"/>
  <c r="J135" i="158"/>
  <c r="V135" i="158" s="1"/>
  <c r="J134" i="158"/>
  <c r="W134" i="158" s="1"/>
  <c r="J133" i="158"/>
  <c r="V133" i="158" s="1"/>
  <c r="J132" i="158"/>
  <c r="W132" i="158" s="1"/>
  <c r="J131" i="158"/>
  <c r="V131" i="158" s="1"/>
  <c r="V130" i="158"/>
  <c r="J130" i="158"/>
  <c r="W130" i="158" s="1"/>
  <c r="J121" i="158"/>
  <c r="W121" i="158" s="1"/>
  <c r="W120" i="158"/>
  <c r="J120" i="158"/>
  <c r="V120" i="158" s="1"/>
  <c r="W119" i="158"/>
  <c r="V119" i="158"/>
  <c r="J119" i="158"/>
  <c r="J118" i="158"/>
  <c r="V118" i="158" s="1"/>
  <c r="J117" i="158"/>
  <c r="W117" i="158" s="1"/>
  <c r="J116" i="158"/>
  <c r="W116" i="158" s="1"/>
  <c r="J115" i="158"/>
  <c r="V115" i="158" s="1"/>
  <c r="V114" i="158"/>
  <c r="J114" i="158"/>
  <c r="W114" i="158" s="1"/>
  <c r="J113" i="158"/>
  <c r="V113" i="158" s="1"/>
  <c r="J112" i="158"/>
  <c r="J111" i="158"/>
  <c r="W111" i="158" s="1"/>
  <c r="W110" i="158"/>
  <c r="V110" i="158"/>
  <c r="J110" i="158"/>
  <c r="J109" i="158"/>
  <c r="V109" i="158" s="1"/>
  <c r="J108" i="158"/>
  <c r="V108" i="158" s="1"/>
  <c r="J107" i="158"/>
  <c r="W107" i="158" s="1"/>
  <c r="V106" i="158"/>
  <c r="J106" i="158"/>
  <c r="W106" i="158" s="1"/>
  <c r="J105" i="158"/>
  <c r="W105" i="158" s="1"/>
  <c r="J104" i="158"/>
  <c r="V104" i="158" s="1"/>
  <c r="J103" i="158"/>
  <c r="W103" i="158" s="1"/>
  <c r="J102" i="158"/>
  <c r="J101" i="158"/>
  <c r="J100" i="158"/>
  <c r="J99" i="158"/>
  <c r="W90" i="158"/>
  <c r="J90" i="158"/>
  <c r="V90" i="158" s="1"/>
  <c r="J89" i="158"/>
  <c r="V89" i="158" s="1"/>
  <c r="J88" i="158"/>
  <c r="W88" i="158" s="1"/>
  <c r="J87" i="158"/>
  <c r="W87" i="158" s="1"/>
  <c r="J86" i="158"/>
  <c r="V86" i="158" s="1"/>
  <c r="J85" i="158"/>
  <c r="V85" i="158" s="1"/>
  <c r="J84" i="158"/>
  <c r="J83" i="158"/>
  <c r="J82" i="158"/>
  <c r="W82" i="158" s="1"/>
  <c r="J81" i="158"/>
  <c r="J80" i="158"/>
  <c r="J79" i="158"/>
  <c r="J78" i="158"/>
  <c r="J77" i="158"/>
  <c r="J76" i="158"/>
  <c r="J75" i="158"/>
  <c r="W74" i="158"/>
  <c r="J74" i="158"/>
  <c r="V74" i="158" s="1"/>
  <c r="J73" i="158"/>
  <c r="J72" i="158"/>
  <c r="W72" i="158" s="1"/>
  <c r="J71" i="158"/>
  <c r="V71" i="158" s="1"/>
  <c r="J70" i="158"/>
  <c r="V70" i="158" s="1"/>
  <c r="J69" i="158"/>
  <c r="V69" i="158" s="1"/>
  <c r="J68" i="158"/>
  <c r="V68" i="158" s="1"/>
  <c r="J59" i="158"/>
  <c r="V59" i="158" s="1"/>
  <c r="J58" i="158"/>
  <c r="V58" i="158" s="1"/>
  <c r="J57" i="158"/>
  <c r="V57" i="158" s="1"/>
  <c r="J56" i="158"/>
  <c r="W56" i="158" s="1"/>
  <c r="J55" i="158"/>
  <c r="V55" i="158" s="1"/>
  <c r="J54" i="158"/>
  <c r="J53" i="158"/>
  <c r="J52" i="158"/>
  <c r="V52" i="158" s="1"/>
  <c r="J51" i="158"/>
  <c r="W51" i="158" s="1"/>
  <c r="J50" i="158"/>
  <c r="V50" i="158" s="1"/>
  <c r="J49" i="158"/>
  <c r="J48" i="158"/>
  <c r="W48" i="158" s="1"/>
  <c r="J47" i="158"/>
  <c r="J46" i="158"/>
  <c r="W46" i="158" s="1"/>
  <c r="J45" i="158"/>
  <c r="W45" i="158" s="1"/>
  <c r="J44" i="158"/>
  <c r="V44" i="158" s="1"/>
  <c r="J43" i="158"/>
  <c r="W43" i="158" s="1"/>
  <c r="J42" i="158"/>
  <c r="W42" i="158" s="1"/>
  <c r="J41" i="158"/>
  <c r="V41" i="158" s="1"/>
  <c r="J40" i="158"/>
  <c r="V40" i="158" s="1"/>
  <c r="J39" i="158"/>
  <c r="J38" i="158"/>
  <c r="W38" i="158" s="1"/>
  <c r="J37" i="158"/>
  <c r="W37" i="158" s="1"/>
  <c r="J28" i="158"/>
  <c r="V28" i="158" s="1"/>
  <c r="J27" i="158"/>
  <c r="W27" i="158" s="1"/>
  <c r="W26" i="158"/>
  <c r="V26" i="158"/>
  <c r="J26" i="158"/>
  <c r="W25" i="158"/>
  <c r="V25" i="158"/>
  <c r="J25" i="158"/>
  <c r="J24" i="158"/>
  <c r="J23" i="158"/>
  <c r="W23" i="158" s="1"/>
  <c r="J22" i="158"/>
  <c r="W22" i="158" s="1"/>
  <c r="J21" i="158"/>
  <c r="V21" i="158" s="1"/>
  <c r="J20" i="158"/>
  <c r="J19" i="158"/>
  <c r="W19" i="158" s="1"/>
  <c r="J18" i="158"/>
  <c r="V18" i="158" s="1"/>
  <c r="J17" i="158"/>
  <c r="W17" i="158" s="1"/>
  <c r="J16" i="158"/>
  <c r="W16" i="158" s="1"/>
  <c r="J15" i="158"/>
  <c r="W15" i="158" s="1"/>
  <c r="N14" i="158"/>
  <c r="J14" i="158"/>
  <c r="V14" i="158" s="1"/>
  <c r="J13" i="158"/>
  <c r="N12" i="158"/>
  <c r="J12" i="158"/>
  <c r="J11" i="158"/>
  <c r="N10" i="158"/>
  <c r="J10" i="158"/>
  <c r="W10" i="158" s="1"/>
  <c r="J9" i="158"/>
  <c r="W9" i="158" s="1"/>
  <c r="N8" i="158"/>
  <c r="J8" i="158"/>
  <c r="W8" i="158" s="1"/>
  <c r="J7" i="158"/>
  <c r="W7" i="158" s="1"/>
  <c r="N6" i="158"/>
  <c r="J6" i="158"/>
  <c r="N4" i="158"/>
  <c r="H54" i="157"/>
  <c r="H53" i="157"/>
  <c r="H52" i="157"/>
  <c r="H84" i="157"/>
  <c r="H83" i="157"/>
  <c r="H81" i="157"/>
  <c r="H115" i="157"/>
  <c r="H144" i="157"/>
  <c r="H179" i="157"/>
  <c r="H174" i="157"/>
  <c r="H172" i="157"/>
  <c r="H171" i="157"/>
  <c r="H168" i="157"/>
  <c r="H166" i="157"/>
  <c r="H162" i="157"/>
  <c r="H161" i="157"/>
  <c r="H143" i="157"/>
  <c r="H135" i="157"/>
  <c r="H112" i="157"/>
  <c r="H102" i="157"/>
  <c r="H101" i="157"/>
  <c r="H100" i="157"/>
  <c r="H99" i="157"/>
  <c r="H80" i="157"/>
  <c r="H79" i="157"/>
  <c r="H78" i="157"/>
  <c r="H77" i="157"/>
  <c r="H76" i="157"/>
  <c r="H75" i="157"/>
  <c r="H73" i="157"/>
  <c r="H71" i="157"/>
  <c r="H70" i="157"/>
  <c r="H69" i="157"/>
  <c r="J69" i="157" s="1"/>
  <c r="V69" i="157" s="1"/>
  <c r="H49" i="157"/>
  <c r="H47" i="157"/>
  <c r="H39" i="157"/>
  <c r="H8" i="157"/>
  <c r="H6" i="157"/>
  <c r="W183" i="157"/>
  <c r="J183" i="157"/>
  <c r="V183" i="157" s="1"/>
  <c r="V182" i="157"/>
  <c r="J182" i="157"/>
  <c r="W182" i="157" s="1"/>
  <c r="J181" i="157"/>
  <c r="W180" i="157"/>
  <c r="V180" i="157"/>
  <c r="J180" i="157"/>
  <c r="J179" i="157"/>
  <c r="V179" i="157" s="1"/>
  <c r="J178" i="157"/>
  <c r="W178" i="157" s="1"/>
  <c r="J177" i="157"/>
  <c r="J176" i="157"/>
  <c r="J175" i="157"/>
  <c r="W175" i="157" s="1"/>
  <c r="J174" i="157"/>
  <c r="V174" i="157" s="1"/>
  <c r="J173" i="157"/>
  <c r="W173" i="157" s="1"/>
  <c r="J172" i="157"/>
  <c r="J171" i="157"/>
  <c r="J170" i="157"/>
  <c r="V170" i="157" s="1"/>
  <c r="J169" i="157"/>
  <c r="V169" i="157" s="1"/>
  <c r="J168" i="157"/>
  <c r="W168" i="157" s="1"/>
  <c r="J167" i="157"/>
  <c r="J166" i="157"/>
  <c r="V166" i="157" s="1"/>
  <c r="J165" i="157"/>
  <c r="V165" i="157" s="1"/>
  <c r="J164" i="157"/>
  <c r="V164" i="157" s="1"/>
  <c r="J163" i="157"/>
  <c r="W163" i="157" s="1"/>
  <c r="J162" i="157"/>
  <c r="W162" i="157" s="1"/>
  <c r="J161" i="157"/>
  <c r="V152" i="157"/>
  <c r="J152" i="157"/>
  <c r="W152" i="157" s="1"/>
  <c r="W151" i="157"/>
  <c r="J151" i="157"/>
  <c r="V151" i="157" s="1"/>
  <c r="V150" i="157"/>
  <c r="J150" i="157"/>
  <c r="W150" i="157" s="1"/>
  <c r="J149" i="157"/>
  <c r="J148" i="157"/>
  <c r="W148" i="157" s="1"/>
  <c r="J147" i="157"/>
  <c r="V147" i="157" s="1"/>
  <c r="J146" i="157"/>
  <c r="W146" i="157" s="1"/>
  <c r="J145" i="157"/>
  <c r="J144" i="157"/>
  <c r="W144" i="157" s="1"/>
  <c r="J143" i="157"/>
  <c r="V143" i="157" s="1"/>
  <c r="J142" i="157"/>
  <c r="W142" i="157" s="1"/>
  <c r="J141" i="157"/>
  <c r="W141" i="157" s="1"/>
  <c r="J140" i="157"/>
  <c r="V139" i="157"/>
  <c r="J139" i="157"/>
  <c r="W139" i="157" s="1"/>
  <c r="J138" i="157"/>
  <c r="V138" i="157" s="1"/>
  <c r="W137" i="157"/>
  <c r="J137" i="157"/>
  <c r="V137" i="157" s="1"/>
  <c r="J136" i="157"/>
  <c r="W136" i="157" s="1"/>
  <c r="J135" i="157"/>
  <c r="J134" i="157"/>
  <c r="W134" i="157" s="1"/>
  <c r="J133" i="157"/>
  <c r="V133" i="157" s="1"/>
  <c r="J132" i="157"/>
  <c r="W132" i="157" s="1"/>
  <c r="J131" i="157"/>
  <c r="V130" i="157"/>
  <c r="J130" i="157"/>
  <c r="W130" i="157" s="1"/>
  <c r="V121" i="157"/>
  <c r="J121" i="157"/>
  <c r="W121" i="157" s="1"/>
  <c r="J120" i="157"/>
  <c r="V119" i="157"/>
  <c r="J119" i="157"/>
  <c r="W119" i="157" s="1"/>
  <c r="W118" i="157"/>
  <c r="J118" i="157"/>
  <c r="V118" i="157" s="1"/>
  <c r="J117" i="157"/>
  <c r="W117" i="157" s="1"/>
  <c r="J116" i="157"/>
  <c r="W116" i="157" s="1"/>
  <c r="J115" i="157"/>
  <c r="J114" i="157"/>
  <c r="W114" i="157" s="1"/>
  <c r="J113" i="157"/>
  <c r="V113" i="157" s="1"/>
  <c r="J112" i="157"/>
  <c r="V112" i="157" s="1"/>
  <c r="J111" i="157"/>
  <c r="W111" i="157" s="1"/>
  <c r="J110" i="157"/>
  <c r="J109" i="157"/>
  <c r="J108" i="157"/>
  <c r="J107" i="157"/>
  <c r="W107" i="157" s="1"/>
  <c r="J106" i="157"/>
  <c r="V106" i="157" s="1"/>
  <c r="J105" i="157"/>
  <c r="W105" i="157" s="1"/>
  <c r="J104" i="157"/>
  <c r="J103" i="157"/>
  <c r="J102" i="157"/>
  <c r="W102" i="157" s="1"/>
  <c r="J101" i="157"/>
  <c r="V101" i="157" s="1"/>
  <c r="J100" i="157"/>
  <c r="W100" i="157" s="1"/>
  <c r="J99" i="157"/>
  <c r="V99" i="157" s="1"/>
  <c r="V90" i="157"/>
  <c r="J90" i="157"/>
  <c r="W90" i="157" s="1"/>
  <c r="W89" i="157"/>
  <c r="J89" i="157"/>
  <c r="V89" i="157" s="1"/>
  <c r="V88" i="157"/>
  <c r="J88" i="157"/>
  <c r="W88" i="157" s="1"/>
  <c r="J87" i="157"/>
  <c r="J86" i="157"/>
  <c r="J85" i="157"/>
  <c r="W85" i="157" s="1"/>
  <c r="J84" i="157"/>
  <c r="V84" i="157" s="1"/>
  <c r="J83" i="157"/>
  <c r="V83" i="157" s="1"/>
  <c r="W82" i="157"/>
  <c r="J82" i="157"/>
  <c r="V82" i="157" s="1"/>
  <c r="J81" i="157"/>
  <c r="V81" i="157" s="1"/>
  <c r="J80" i="157"/>
  <c r="V80" i="157" s="1"/>
  <c r="J79" i="157"/>
  <c r="V79" i="157" s="1"/>
  <c r="J78" i="157"/>
  <c r="V78" i="157" s="1"/>
  <c r="J77" i="157"/>
  <c r="V77" i="157" s="1"/>
  <c r="J76" i="157"/>
  <c r="V76" i="157" s="1"/>
  <c r="J75" i="157"/>
  <c r="V75" i="157" s="1"/>
  <c r="V74" i="157"/>
  <c r="J74" i="157"/>
  <c r="W74" i="157" s="1"/>
  <c r="J73" i="157"/>
  <c r="J72" i="157"/>
  <c r="W72" i="157" s="1"/>
  <c r="J71" i="157"/>
  <c r="V71" i="157" s="1"/>
  <c r="J70" i="157"/>
  <c r="V70" i="157" s="1"/>
  <c r="J68" i="157"/>
  <c r="V68" i="157" s="1"/>
  <c r="J59" i="157"/>
  <c r="V58" i="157"/>
  <c r="J58" i="157"/>
  <c r="W58" i="157" s="1"/>
  <c r="W57" i="157"/>
  <c r="J57" i="157"/>
  <c r="V57" i="157" s="1"/>
  <c r="V56" i="157"/>
  <c r="J56" i="157"/>
  <c r="W56" i="157" s="1"/>
  <c r="J55" i="157"/>
  <c r="J54" i="157"/>
  <c r="J53" i="157"/>
  <c r="W53" i="157" s="1"/>
  <c r="J52" i="157"/>
  <c r="V52" i="157" s="1"/>
  <c r="J51" i="157"/>
  <c r="W51" i="157" s="1"/>
  <c r="J50" i="157"/>
  <c r="W50" i="157" s="1"/>
  <c r="J49" i="157"/>
  <c r="J48" i="157"/>
  <c r="J47" i="157"/>
  <c r="W47" i="157" s="1"/>
  <c r="J46" i="157"/>
  <c r="V46" i="157" s="1"/>
  <c r="J45" i="157"/>
  <c r="W45" i="157" s="1"/>
  <c r="J44" i="157"/>
  <c r="W44" i="157" s="1"/>
  <c r="J43" i="157"/>
  <c r="W43" i="157" s="1"/>
  <c r="J42" i="157"/>
  <c r="W42" i="157" s="1"/>
  <c r="J41" i="157"/>
  <c r="J40" i="157"/>
  <c r="J39" i="157"/>
  <c r="J38" i="157"/>
  <c r="J37" i="157"/>
  <c r="W28" i="157"/>
  <c r="J28" i="157"/>
  <c r="V28" i="157" s="1"/>
  <c r="V27" i="157"/>
  <c r="J27" i="157"/>
  <c r="W27" i="157" s="1"/>
  <c r="J26" i="157"/>
  <c r="V25" i="157"/>
  <c r="J25" i="157"/>
  <c r="W25" i="157" s="1"/>
  <c r="J24" i="157"/>
  <c r="V24" i="157" s="1"/>
  <c r="J23" i="157"/>
  <c r="W23" i="157" s="1"/>
  <c r="J22" i="157"/>
  <c r="W22" i="157" s="1"/>
  <c r="J21" i="157"/>
  <c r="J20" i="157"/>
  <c r="J19" i="157"/>
  <c r="W19" i="157" s="1"/>
  <c r="J18" i="157"/>
  <c r="V18" i="157" s="1"/>
  <c r="J17" i="157"/>
  <c r="V17" i="157" s="1"/>
  <c r="J16" i="157"/>
  <c r="W16" i="157" s="1"/>
  <c r="J15" i="157"/>
  <c r="W15" i="157" s="1"/>
  <c r="N14" i="157"/>
  <c r="J14" i="157"/>
  <c r="V14" i="157" s="1"/>
  <c r="J13" i="157"/>
  <c r="V13" i="157" s="1"/>
  <c r="N12" i="157"/>
  <c r="J12" i="157"/>
  <c r="V12" i="157" s="1"/>
  <c r="J11" i="157"/>
  <c r="W11" i="157" s="1"/>
  <c r="N10" i="157"/>
  <c r="J10" i="157"/>
  <c r="V10" i="157" s="1"/>
  <c r="J9" i="157"/>
  <c r="W9" i="157" s="1"/>
  <c r="N8" i="157"/>
  <c r="J8" i="157"/>
  <c r="J7" i="157"/>
  <c r="N6" i="157"/>
  <c r="J6" i="157"/>
  <c r="N4" i="157"/>
  <c r="H117" i="156"/>
  <c r="H86" i="156"/>
  <c r="H54" i="156"/>
  <c r="H23" i="156"/>
  <c r="H84" i="156"/>
  <c r="H176" i="156"/>
  <c r="H83" i="156"/>
  <c r="H21" i="156"/>
  <c r="H51" i="156"/>
  <c r="H82" i="156"/>
  <c r="H113" i="156"/>
  <c r="H81" i="156"/>
  <c r="H80" i="156"/>
  <c r="H142" i="156"/>
  <c r="H110" i="156"/>
  <c r="H79" i="156"/>
  <c r="H48" i="156"/>
  <c r="H171" i="156"/>
  <c r="H78" i="156"/>
  <c r="W25" i="156"/>
  <c r="J23" i="156"/>
  <c r="W23" i="156" s="1"/>
  <c r="J24" i="156"/>
  <c r="V24" i="156" s="1"/>
  <c r="J25" i="156"/>
  <c r="V25" i="156" s="1"/>
  <c r="W91" i="161" l="1"/>
  <c r="P8" i="161" s="1"/>
  <c r="W60" i="161"/>
  <c r="P6" i="161" s="1"/>
  <c r="V29" i="161"/>
  <c r="O4" i="161" s="1"/>
  <c r="R4" i="161" s="1"/>
  <c r="W29" i="161"/>
  <c r="P4" i="161" s="1"/>
  <c r="V60" i="161"/>
  <c r="O6" i="161" s="1"/>
  <c r="W122" i="161"/>
  <c r="P10" i="161" s="1"/>
  <c r="W153" i="161"/>
  <c r="P12" i="161" s="1"/>
  <c r="V91" i="161"/>
  <c r="O8" i="161" s="1"/>
  <c r="V184" i="161"/>
  <c r="O14" i="161" s="1"/>
  <c r="V122" i="161"/>
  <c r="O10" i="161" s="1"/>
  <c r="W184" i="161"/>
  <c r="P14" i="161" s="1"/>
  <c r="V153" i="161"/>
  <c r="O12" i="161" s="1"/>
  <c r="V91" i="160"/>
  <c r="O8" i="160" s="1"/>
  <c r="R8" i="160" s="1"/>
  <c r="V122" i="160"/>
  <c r="O10" i="160" s="1"/>
  <c r="W122" i="160"/>
  <c r="P10" i="160" s="1"/>
  <c r="W91" i="160"/>
  <c r="P8" i="160" s="1"/>
  <c r="W60" i="160"/>
  <c r="P6" i="160" s="1"/>
  <c r="V60" i="160"/>
  <c r="O6" i="160" s="1"/>
  <c r="R6" i="160" s="1"/>
  <c r="V29" i="160"/>
  <c r="O4" i="160" s="1"/>
  <c r="R4" i="160" s="1"/>
  <c r="W29" i="160"/>
  <c r="P4" i="160" s="1"/>
  <c r="Q4" i="160" s="1"/>
  <c r="V184" i="160"/>
  <c r="O14" i="160" s="1"/>
  <c r="W153" i="160"/>
  <c r="P12" i="160" s="1"/>
  <c r="W184" i="160"/>
  <c r="P14" i="160" s="1"/>
  <c r="V153" i="160"/>
  <c r="O12" i="160" s="1"/>
  <c r="W153" i="159"/>
  <c r="P12" i="159" s="1"/>
  <c r="V184" i="159"/>
  <c r="O14" i="159" s="1"/>
  <c r="W122" i="159"/>
  <c r="P10" i="159" s="1"/>
  <c r="W60" i="159"/>
  <c r="P6" i="159" s="1"/>
  <c r="W184" i="159"/>
  <c r="P14" i="159" s="1"/>
  <c r="V122" i="159"/>
  <c r="O10" i="159" s="1"/>
  <c r="R10" i="159" s="1"/>
  <c r="W29" i="159"/>
  <c r="P4" i="159" s="1"/>
  <c r="W91" i="159"/>
  <c r="P8" i="159" s="1"/>
  <c r="V91" i="159"/>
  <c r="O8" i="159" s="1"/>
  <c r="R14" i="159"/>
  <c r="V153" i="159"/>
  <c r="O12" i="159" s="1"/>
  <c r="V29" i="159"/>
  <c r="O4" i="159" s="1"/>
  <c r="V60" i="159"/>
  <c r="O6" i="159" s="1"/>
  <c r="W150" i="158"/>
  <c r="W145" i="158"/>
  <c r="W115" i="158"/>
  <c r="W86" i="158"/>
  <c r="V87" i="158"/>
  <c r="W58" i="158"/>
  <c r="W59" i="158"/>
  <c r="W55" i="158"/>
  <c r="V51" i="158"/>
  <c r="W52" i="158"/>
  <c r="W21" i="158"/>
  <c r="V139" i="158"/>
  <c r="W109" i="158"/>
  <c r="V17" i="158"/>
  <c r="W136" i="158"/>
  <c r="V134" i="158"/>
  <c r="W131" i="158"/>
  <c r="V72" i="158"/>
  <c r="V45" i="158"/>
  <c r="W41" i="158"/>
  <c r="V37" i="158"/>
  <c r="J29" i="158"/>
  <c r="V105" i="158"/>
  <c r="W176" i="158"/>
  <c r="W163" i="158"/>
  <c r="V175" i="158"/>
  <c r="W169" i="158"/>
  <c r="W140" i="158"/>
  <c r="W146" i="158"/>
  <c r="J153" i="158"/>
  <c r="V116" i="158"/>
  <c r="V42" i="158"/>
  <c r="V46" i="158"/>
  <c r="V16" i="158"/>
  <c r="V10" i="158"/>
  <c r="V22" i="158"/>
  <c r="V7" i="158"/>
  <c r="V9" i="158"/>
  <c r="V15" i="158"/>
  <c r="W18" i="158"/>
  <c r="N16" i="158"/>
  <c r="V6" i="158"/>
  <c r="V8" i="158"/>
  <c r="W11" i="158"/>
  <c r="V11" i="158"/>
  <c r="V13" i="158"/>
  <c r="W13" i="158"/>
  <c r="V20" i="158"/>
  <c r="W20" i="158"/>
  <c r="V24" i="158"/>
  <c r="W24" i="158"/>
  <c r="W53" i="158"/>
  <c r="V53" i="158"/>
  <c r="W75" i="158"/>
  <c r="V75" i="158"/>
  <c r="W79" i="158"/>
  <c r="V79" i="158"/>
  <c r="W83" i="158"/>
  <c r="V83" i="158"/>
  <c r="W101" i="158"/>
  <c r="V101" i="158"/>
  <c r="W162" i="158"/>
  <c r="V162" i="158"/>
  <c r="W100" i="158"/>
  <c r="V100" i="158"/>
  <c r="W112" i="158"/>
  <c r="V112" i="158"/>
  <c r="W161" i="158"/>
  <c r="V161" i="158"/>
  <c r="J184" i="158"/>
  <c r="W172" i="158"/>
  <c r="V172" i="158"/>
  <c r="W6" i="158"/>
  <c r="W12" i="158"/>
  <c r="V12" i="158"/>
  <c r="J60" i="158"/>
  <c r="W39" i="158"/>
  <c r="V39" i="158"/>
  <c r="W47" i="158"/>
  <c r="V47" i="158"/>
  <c r="W54" i="158"/>
  <c r="V54" i="158"/>
  <c r="W73" i="158"/>
  <c r="V73" i="158"/>
  <c r="W76" i="158"/>
  <c r="V76" i="158"/>
  <c r="W80" i="158"/>
  <c r="V80" i="158"/>
  <c r="W84" i="158"/>
  <c r="V84" i="158"/>
  <c r="W102" i="158"/>
  <c r="V102" i="158"/>
  <c r="W49" i="158"/>
  <c r="V49" i="158"/>
  <c r="W78" i="158"/>
  <c r="V78" i="158"/>
  <c r="W77" i="158"/>
  <c r="V77" i="158"/>
  <c r="W81" i="158"/>
  <c r="V81" i="158"/>
  <c r="J122" i="158"/>
  <c r="W99" i="158"/>
  <c r="V99" i="158"/>
  <c r="W168" i="158"/>
  <c r="V168" i="158"/>
  <c r="W171" i="158"/>
  <c r="V171" i="158"/>
  <c r="W14" i="158"/>
  <c r="V19" i="158"/>
  <c r="V23" i="158"/>
  <c r="V27" i="158"/>
  <c r="W28" i="158"/>
  <c r="V38" i="158"/>
  <c r="W40" i="158"/>
  <c r="V43" i="158"/>
  <c r="W44" i="158"/>
  <c r="V48" i="158"/>
  <c r="W50" i="158"/>
  <c r="V56" i="158"/>
  <c r="W57" i="158"/>
  <c r="W68" i="158"/>
  <c r="W69" i="158"/>
  <c r="W70" i="158"/>
  <c r="W71" i="158"/>
  <c r="V82" i="158"/>
  <c r="W85" i="158"/>
  <c r="V88" i="158"/>
  <c r="W89" i="158"/>
  <c r="J91" i="158"/>
  <c r="V103" i="158"/>
  <c r="W104" i="158"/>
  <c r="V107" i="158"/>
  <c r="W108" i="158"/>
  <c r="V111" i="158"/>
  <c r="W113" i="158"/>
  <c r="V117" i="158"/>
  <c r="W118" i="158"/>
  <c r="V121" i="158"/>
  <c r="V132" i="158"/>
  <c r="W133" i="158"/>
  <c r="V137" i="158"/>
  <c r="W138" i="158"/>
  <c r="V141" i="158"/>
  <c r="W142" i="158"/>
  <c r="W143" i="158"/>
  <c r="W144" i="158"/>
  <c r="V147" i="158"/>
  <c r="W148" i="158"/>
  <c r="V151" i="158"/>
  <c r="W152" i="158"/>
  <c r="V164" i="158"/>
  <c r="W165" i="158"/>
  <c r="W166" i="158"/>
  <c r="V170" i="158"/>
  <c r="W173" i="158"/>
  <c r="W174" i="158"/>
  <c r="V177" i="158"/>
  <c r="W178" i="158"/>
  <c r="W179" i="158"/>
  <c r="V182" i="158"/>
  <c r="W183" i="158"/>
  <c r="W84" i="157"/>
  <c r="V114" i="157"/>
  <c r="V144" i="157"/>
  <c r="V175" i="157"/>
  <c r="V173" i="157"/>
  <c r="W170" i="157"/>
  <c r="W166" i="157"/>
  <c r="W143" i="157"/>
  <c r="W138" i="157"/>
  <c r="V134" i="157"/>
  <c r="W112" i="157"/>
  <c r="W80" i="157"/>
  <c r="W78" i="157"/>
  <c r="W76" i="157"/>
  <c r="W46" i="157"/>
  <c r="V15" i="157"/>
  <c r="V11" i="157"/>
  <c r="V9" i="157"/>
  <c r="W165" i="157"/>
  <c r="W169" i="157"/>
  <c r="W174" i="157"/>
  <c r="V163" i="157"/>
  <c r="V178" i="157"/>
  <c r="V162" i="157"/>
  <c r="W164" i="157"/>
  <c r="V168" i="157"/>
  <c r="W179" i="157"/>
  <c r="W133" i="157"/>
  <c r="W147" i="157"/>
  <c r="V136" i="157"/>
  <c r="V132" i="157"/>
  <c r="V141" i="157"/>
  <c r="V146" i="157"/>
  <c r="V148" i="157"/>
  <c r="V102" i="157"/>
  <c r="V107" i="157"/>
  <c r="V111" i="157"/>
  <c r="W113" i="157"/>
  <c r="W101" i="157"/>
  <c r="W106" i="157"/>
  <c r="V116" i="157"/>
  <c r="V105" i="157"/>
  <c r="W68" i="157"/>
  <c r="W70" i="157"/>
  <c r="V72" i="157"/>
  <c r="J91" i="157"/>
  <c r="W75" i="157"/>
  <c r="W77" i="157"/>
  <c r="W79" i="157"/>
  <c r="W81" i="157"/>
  <c r="W83" i="157"/>
  <c r="V85" i="157"/>
  <c r="W69" i="157"/>
  <c r="W71" i="157"/>
  <c r="W52" i="157"/>
  <c r="V47" i="157"/>
  <c r="V50" i="157"/>
  <c r="V42" i="157"/>
  <c r="V53" i="157"/>
  <c r="W18" i="157"/>
  <c r="W14" i="157"/>
  <c r="W24" i="157"/>
  <c r="W17" i="157"/>
  <c r="V19" i="157"/>
  <c r="V22" i="157"/>
  <c r="W7" i="157"/>
  <c r="V7" i="157"/>
  <c r="W8" i="157"/>
  <c r="V8" i="157"/>
  <c r="W59" i="157"/>
  <c r="V59" i="157"/>
  <c r="W145" i="157"/>
  <c r="V145" i="157"/>
  <c r="W10" i="157"/>
  <c r="W20" i="157"/>
  <c r="V20" i="157"/>
  <c r="J60" i="157"/>
  <c r="W37" i="157"/>
  <c r="V37" i="157"/>
  <c r="W39" i="157"/>
  <c r="V39" i="157"/>
  <c r="W41" i="157"/>
  <c r="V41" i="157"/>
  <c r="V43" i="157"/>
  <c r="V45" i="157"/>
  <c r="W55" i="157"/>
  <c r="V55" i="157"/>
  <c r="W86" i="157"/>
  <c r="V86" i="157"/>
  <c r="V100" i="157"/>
  <c r="W110" i="157"/>
  <c r="V110" i="157"/>
  <c r="W135" i="157"/>
  <c r="V135" i="157"/>
  <c r="W167" i="157"/>
  <c r="V167" i="157"/>
  <c r="W171" i="157"/>
  <c r="V171" i="157"/>
  <c r="J29" i="157"/>
  <c r="W12" i="157"/>
  <c r="W26" i="157"/>
  <c r="V26" i="157"/>
  <c r="W161" i="157"/>
  <c r="J184" i="157"/>
  <c r="V161" i="157"/>
  <c r="N16" i="157"/>
  <c r="V6" i="157"/>
  <c r="V16" i="157"/>
  <c r="W48" i="157"/>
  <c r="V48" i="157"/>
  <c r="W87" i="157"/>
  <c r="V87" i="157"/>
  <c r="J122" i="157"/>
  <c r="W103" i="157"/>
  <c r="V103" i="157"/>
  <c r="W108" i="157"/>
  <c r="V108" i="157"/>
  <c r="W131" i="157"/>
  <c r="V131" i="157"/>
  <c r="J153" i="157"/>
  <c r="W172" i="157"/>
  <c r="V172" i="157"/>
  <c r="W176" i="157"/>
  <c r="V176" i="157"/>
  <c r="W54" i="157"/>
  <c r="V54" i="157"/>
  <c r="W120" i="157"/>
  <c r="V120" i="157"/>
  <c r="W6" i="157"/>
  <c r="W13" i="157"/>
  <c r="W21" i="157"/>
  <c r="V21" i="157"/>
  <c r="V23" i="157"/>
  <c r="W38" i="157"/>
  <c r="V38" i="157"/>
  <c r="W40" i="157"/>
  <c r="V40" i="157"/>
  <c r="V44" i="157"/>
  <c r="W49" i="157"/>
  <c r="V49" i="157"/>
  <c r="V51" i="157"/>
  <c r="W73" i="157"/>
  <c r="V73" i="157"/>
  <c r="W104" i="157"/>
  <c r="V104" i="157"/>
  <c r="W109" i="157"/>
  <c r="V109" i="157"/>
  <c r="W115" i="157"/>
  <c r="V115" i="157"/>
  <c r="V117" i="157"/>
  <c r="W140" i="157"/>
  <c r="V140" i="157"/>
  <c r="V142" i="157"/>
  <c r="W149" i="157"/>
  <c r="V149" i="157"/>
  <c r="W177" i="157"/>
  <c r="V177" i="157"/>
  <c r="W181" i="157"/>
  <c r="V181" i="157"/>
  <c r="W99" i="157"/>
  <c r="W24" i="156"/>
  <c r="V23" i="156"/>
  <c r="H138" i="156"/>
  <c r="H108" i="156"/>
  <c r="H77" i="156"/>
  <c r="H76" i="156"/>
  <c r="H45" i="156"/>
  <c r="Q4" i="161" l="1"/>
  <c r="P16" i="161"/>
  <c r="Q6" i="161"/>
  <c r="R6" i="161"/>
  <c r="O16" i="161"/>
  <c r="R16" i="161" s="1"/>
  <c r="P18" i="161" s="1"/>
  <c r="R12" i="161"/>
  <c r="Q12" i="161"/>
  <c r="R8" i="161"/>
  <c r="Q8" i="161"/>
  <c r="R14" i="161"/>
  <c r="Q14" i="161"/>
  <c r="R10" i="161"/>
  <c r="Q10" i="161"/>
  <c r="Q6" i="160"/>
  <c r="Q10" i="160"/>
  <c r="R10" i="160"/>
  <c r="Q8" i="160"/>
  <c r="P16" i="160"/>
  <c r="O16" i="160"/>
  <c r="R16" i="160" s="1"/>
  <c r="P18" i="160" s="1"/>
  <c r="Q12" i="160"/>
  <c r="R12" i="160"/>
  <c r="R14" i="160"/>
  <c r="Q14" i="160"/>
  <c r="Q14" i="159"/>
  <c r="Q10" i="159"/>
  <c r="P16" i="159"/>
  <c r="R12" i="159"/>
  <c r="Q12" i="159"/>
  <c r="R6" i="159"/>
  <c r="Q6" i="159"/>
  <c r="O16" i="159"/>
  <c r="R16" i="159" s="1"/>
  <c r="P18" i="159" s="1"/>
  <c r="Q4" i="159"/>
  <c r="R4" i="159"/>
  <c r="R8" i="159"/>
  <c r="Q8" i="159"/>
  <c r="V153" i="158"/>
  <c r="O12" i="158" s="1"/>
  <c r="W153" i="158"/>
  <c r="P12" i="158" s="1"/>
  <c r="Q12" i="158" s="1"/>
  <c r="V122" i="158"/>
  <c r="O10" i="158" s="1"/>
  <c r="R10" i="158" s="1"/>
  <c r="V91" i="158"/>
  <c r="O8" i="158" s="1"/>
  <c r="R8" i="158" s="1"/>
  <c r="V60" i="158"/>
  <c r="O6" i="158" s="1"/>
  <c r="W60" i="158"/>
  <c r="P6" i="158" s="1"/>
  <c r="R12" i="158"/>
  <c r="W122" i="158"/>
  <c r="P10" i="158" s="1"/>
  <c r="W29" i="158"/>
  <c r="P4" i="158" s="1"/>
  <c r="V184" i="158"/>
  <c r="O14" i="158" s="1"/>
  <c r="W91" i="158"/>
  <c r="P8" i="158" s="1"/>
  <c r="W184" i="158"/>
  <c r="P14" i="158" s="1"/>
  <c r="V29" i="158"/>
  <c r="O4" i="158" s="1"/>
  <c r="V153" i="157"/>
  <c r="O12" i="157" s="1"/>
  <c r="R12" i="157" s="1"/>
  <c r="V91" i="157"/>
  <c r="O8" i="157" s="1"/>
  <c r="R8" i="157" s="1"/>
  <c r="W153" i="157"/>
  <c r="P12" i="157" s="1"/>
  <c r="Q12" i="157" s="1"/>
  <c r="V122" i="157"/>
  <c r="O10" i="157" s="1"/>
  <c r="R10" i="157" s="1"/>
  <c r="W91" i="157"/>
  <c r="P8" i="157" s="1"/>
  <c r="W29" i="157"/>
  <c r="P4" i="157" s="1"/>
  <c r="V29" i="157"/>
  <c r="O4" i="157" s="1"/>
  <c r="W184" i="157"/>
  <c r="P14" i="157" s="1"/>
  <c r="V184" i="157"/>
  <c r="O14" i="157" s="1"/>
  <c r="W60" i="157"/>
  <c r="P6" i="157" s="1"/>
  <c r="W122" i="157"/>
  <c r="P10" i="157" s="1"/>
  <c r="V60" i="157"/>
  <c r="O6" i="157" s="1"/>
  <c r="H44" i="156"/>
  <c r="H43" i="156"/>
  <c r="J43" i="156" s="1"/>
  <c r="H13" i="156"/>
  <c r="H12" i="156"/>
  <c r="J12" i="156" s="1"/>
  <c r="H10" i="156"/>
  <c r="H41" i="156"/>
  <c r="J41" i="156" s="1"/>
  <c r="W41" i="156" s="1"/>
  <c r="H103" i="156"/>
  <c r="H165" i="156"/>
  <c r="J165" i="156" s="1"/>
  <c r="W165" i="156" s="1"/>
  <c r="H71" i="156"/>
  <c r="H40" i="156"/>
  <c r="H9" i="156"/>
  <c r="H8" i="156"/>
  <c r="J8" i="156" s="1"/>
  <c r="H39" i="156"/>
  <c r="H70" i="156"/>
  <c r="J70" i="156" s="1"/>
  <c r="V70" i="156" s="1"/>
  <c r="H163" i="156"/>
  <c r="H100" i="156"/>
  <c r="J100" i="156" s="1"/>
  <c r="W100" i="156" s="1"/>
  <c r="H69" i="156"/>
  <c r="H38" i="156"/>
  <c r="J38" i="156" s="1"/>
  <c r="V38" i="156" s="1"/>
  <c r="H7" i="156"/>
  <c r="J7" i="156" s="1"/>
  <c r="W7" i="156" s="1"/>
  <c r="H161" i="156"/>
  <c r="J161" i="156" s="1"/>
  <c r="H6" i="156"/>
  <c r="N14" i="156"/>
  <c r="J183" i="156"/>
  <c r="W183" i="156" s="1"/>
  <c r="J182" i="156"/>
  <c r="J181" i="156"/>
  <c r="V181" i="156" s="1"/>
  <c r="J180" i="156"/>
  <c r="W180" i="156" s="1"/>
  <c r="J179" i="156"/>
  <c r="W179" i="156" s="1"/>
  <c r="J178" i="156"/>
  <c r="V178" i="156" s="1"/>
  <c r="J177" i="156"/>
  <c r="W177" i="156" s="1"/>
  <c r="J176" i="156"/>
  <c r="V176" i="156" s="1"/>
  <c r="J175" i="156"/>
  <c r="V175" i="156" s="1"/>
  <c r="J174" i="156"/>
  <c r="J173" i="156"/>
  <c r="J172" i="156"/>
  <c r="V172" i="156" s="1"/>
  <c r="J171" i="156"/>
  <c r="V171" i="156" s="1"/>
  <c r="J170" i="156"/>
  <c r="J169" i="156"/>
  <c r="W169" i="156" s="1"/>
  <c r="J168" i="156"/>
  <c r="W168" i="156" s="1"/>
  <c r="J167" i="156"/>
  <c r="W167" i="156" s="1"/>
  <c r="J166" i="156"/>
  <c r="W166" i="156" s="1"/>
  <c r="J164" i="156"/>
  <c r="J163" i="156"/>
  <c r="V163" i="156" s="1"/>
  <c r="J162" i="156"/>
  <c r="V162" i="156" s="1"/>
  <c r="J152" i="156"/>
  <c r="W152" i="156" s="1"/>
  <c r="J151" i="156"/>
  <c r="W151" i="156" s="1"/>
  <c r="J150" i="156"/>
  <c r="J149" i="156"/>
  <c r="V149" i="156" s="1"/>
  <c r="J148" i="156"/>
  <c r="W148" i="156" s="1"/>
  <c r="J147" i="156"/>
  <c r="V147" i="156" s="1"/>
  <c r="J146" i="156"/>
  <c r="W146" i="156" s="1"/>
  <c r="J145" i="156"/>
  <c r="V145" i="156" s="1"/>
  <c r="J144" i="156"/>
  <c r="J143" i="156"/>
  <c r="V143" i="156" s="1"/>
  <c r="J142" i="156"/>
  <c r="V142" i="156" s="1"/>
  <c r="J141" i="156"/>
  <c r="V141" i="156" s="1"/>
  <c r="J140" i="156"/>
  <c r="W140" i="156" s="1"/>
  <c r="J139" i="156"/>
  <c r="J138" i="156"/>
  <c r="J137" i="156"/>
  <c r="J136" i="156"/>
  <c r="V136" i="156" s="1"/>
  <c r="J135" i="156"/>
  <c r="J134" i="156"/>
  <c r="V134" i="156" s="1"/>
  <c r="J133" i="156"/>
  <c r="W133" i="156" s="1"/>
  <c r="J132" i="156"/>
  <c r="W132" i="156" s="1"/>
  <c r="J131" i="156"/>
  <c r="V131" i="156" s="1"/>
  <c r="J130" i="156"/>
  <c r="J121" i="156"/>
  <c r="J120" i="156"/>
  <c r="J119" i="156"/>
  <c r="V119" i="156" s="1"/>
  <c r="J118" i="156"/>
  <c r="V118" i="156" s="1"/>
  <c r="J117" i="156"/>
  <c r="V117" i="156" s="1"/>
  <c r="J116" i="156"/>
  <c r="J115" i="156"/>
  <c r="W115" i="156" s="1"/>
  <c r="J114" i="156"/>
  <c r="W114" i="156" s="1"/>
  <c r="J113" i="156"/>
  <c r="J112" i="156"/>
  <c r="J111" i="156"/>
  <c r="J110" i="156"/>
  <c r="J109" i="156"/>
  <c r="V109" i="156" s="1"/>
  <c r="J108" i="156"/>
  <c r="J107" i="156"/>
  <c r="J106" i="156"/>
  <c r="V106" i="156" s="1"/>
  <c r="J105" i="156"/>
  <c r="J104" i="156"/>
  <c r="W104" i="156" s="1"/>
  <c r="J103" i="156"/>
  <c r="V103" i="156" s="1"/>
  <c r="J102" i="156"/>
  <c r="W102" i="156" s="1"/>
  <c r="J101" i="156"/>
  <c r="J99" i="156"/>
  <c r="W99" i="156" s="1"/>
  <c r="J90" i="156"/>
  <c r="V90" i="156" s="1"/>
  <c r="J89" i="156"/>
  <c r="W89" i="156" s="1"/>
  <c r="J88" i="156"/>
  <c r="V88" i="156" s="1"/>
  <c r="J87" i="156"/>
  <c r="W87" i="156" s="1"/>
  <c r="J86" i="156"/>
  <c r="V86" i="156" s="1"/>
  <c r="J85" i="156"/>
  <c r="V85" i="156" s="1"/>
  <c r="J84" i="156"/>
  <c r="W84" i="156" s="1"/>
  <c r="J83" i="156"/>
  <c r="J82" i="156"/>
  <c r="W82" i="156" s="1"/>
  <c r="J81" i="156"/>
  <c r="V81" i="156" s="1"/>
  <c r="J80" i="156"/>
  <c r="J79" i="156"/>
  <c r="W79" i="156" s="1"/>
  <c r="J78" i="156"/>
  <c r="J77" i="156"/>
  <c r="J76" i="156"/>
  <c r="J75" i="156"/>
  <c r="V75" i="156" s="1"/>
  <c r="J74" i="156"/>
  <c r="J73" i="156"/>
  <c r="W73" i="156" s="1"/>
  <c r="J72" i="156"/>
  <c r="V72" i="156" s="1"/>
  <c r="J71" i="156"/>
  <c r="V71" i="156" s="1"/>
  <c r="J69" i="156"/>
  <c r="V69" i="156" s="1"/>
  <c r="J68" i="156"/>
  <c r="J59" i="156"/>
  <c r="J58" i="156"/>
  <c r="V58" i="156" s="1"/>
  <c r="J57" i="156"/>
  <c r="J56" i="156"/>
  <c r="J55" i="156"/>
  <c r="W55" i="156" s="1"/>
  <c r="J54" i="156"/>
  <c r="J53" i="156"/>
  <c r="J52" i="156"/>
  <c r="V52" i="156" s="1"/>
  <c r="J51" i="156"/>
  <c r="V51" i="156" s="1"/>
  <c r="J50" i="156"/>
  <c r="V50" i="156" s="1"/>
  <c r="J49" i="156"/>
  <c r="V49" i="156" s="1"/>
  <c r="J48" i="156"/>
  <c r="W48" i="156" s="1"/>
  <c r="J47" i="156"/>
  <c r="J46" i="156"/>
  <c r="J45" i="156"/>
  <c r="W45" i="156" s="1"/>
  <c r="J44" i="156"/>
  <c r="W44" i="156" s="1"/>
  <c r="J42" i="156"/>
  <c r="W42" i="156" s="1"/>
  <c r="J40" i="156"/>
  <c r="W40" i="156" s="1"/>
  <c r="J39" i="156"/>
  <c r="J37" i="156"/>
  <c r="W37" i="156" s="1"/>
  <c r="J28" i="156"/>
  <c r="V28" i="156" s="1"/>
  <c r="J27" i="156"/>
  <c r="W27" i="156" s="1"/>
  <c r="J26" i="156"/>
  <c r="V26" i="156" s="1"/>
  <c r="J22" i="156"/>
  <c r="W22" i="156" s="1"/>
  <c r="J21" i="156"/>
  <c r="V21" i="156" s="1"/>
  <c r="J20" i="156"/>
  <c r="J19" i="156"/>
  <c r="W19" i="156" s="1"/>
  <c r="J18" i="156"/>
  <c r="W18" i="156" s="1"/>
  <c r="J17" i="156"/>
  <c r="J16" i="156"/>
  <c r="W16" i="156" s="1"/>
  <c r="J15" i="156"/>
  <c r="W15" i="156" s="1"/>
  <c r="J14" i="156"/>
  <c r="V14" i="156" s="1"/>
  <c r="J13" i="156"/>
  <c r="N12" i="156"/>
  <c r="J11" i="156"/>
  <c r="V11" i="156" s="1"/>
  <c r="N10" i="156"/>
  <c r="J10" i="156"/>
  <c r="J9" i="156"/>
  <c r="V9" i="156" s="1"/>
  <c r="N8" i="156"/>
  <c r="N6" i="156"/>
  <c r="J6" i="156"/>
  <c r="N4" i="156"/>
  <c r="H170" i="155"/>
  <c r="H133" i="155"/>
  <c r="H230" i="155"/>
  <c r="H198" i="155"/>
  <c r="H197" i="155"/>
  <c r="H168" i="155"/>
  <c r="H167" i="155"/>
  <c r="H131" i="155"/>
  <c r="H130" i="155"/>
  <c r="Q16" i="161" l="1"/>
  <c r="Q16" i="160"/>
  <c r="Q16" i="159"/>
  <c r="Q8" i="158"/>
  <c r="Q6" i="158"/>
  <c r="R6" i="158"/>
  <c r="Q10" i="158"/>
  <c r="P16" i="158"/>
  <c r="O16" i="158"/>
  <c r="R16" i="158" s="1"/>
  <c r="P18" i="158" s="1"/>
  <c r="Q4" i="158"/>
  <c r="R4" i="158"/>
  <c r="R14" i="158"/>
  <c r="Q14" i="158"/>
  <c r="Q10" i="157"/>
  <c r="Q8" i="157"/>
  <c r="R4" i="157"/>
  <c r="Q4" i="157"/>
  <c r="O16" i="157"/>
  <c r="R16" i="157" s="1"/>
  <c r="P18" i="157" s="1"/>
  <c r="P16" i="157"/>
  <c r="R14" i="157"/>
  <c r="Q14" i="157"/>
  <c r="R6" i="157"/>
  <c r="Q6" i="157"/>
  <c r="V89" i="156"/>
  <c r="V87" i="156"/>
  <c r="W90" i="156"/>
  <c r="W88" i="156"/>
  <c r="N16" i="156"/>
  <c r="W117" i="156"/>
  <c r="W51" i="156"/>
  <c r="W142" i="156"/>
  <c r="W171" i="156"/>
  <c r="W178" i="156"/>
  <c r="W49" i="156"/>
  <c r="W70" i="156"/>
  <c r="V73" i="156"/>
  <c r="W103" i="156"/>
  <c r="W109" i="156"/>
  <c r="W57" i="156"/>
  <c r="V57" i="156"/>
  <c r="W116" i="156"/>
  <c r="V116" i="156"/>
  <c r="W130" i="156"/>
  <c r="V130" i="156"/>
  <c r="V8" i="156"/>
  <c r="W8" i="156"/>
  <c r="W20" i="156"/>
  <c r="V20" i="156"/>
  <c r="V27" i="156"/>
  <c r="W59" i="156"/>
  <c r="V59" i="156"/>
  <c r="W101" i="156"/>
  <c r="V101" i="156"/>
  <c r="V107" i="156"/>
  <c r="W107" i="156"/>
  <c r="V110" i="156"/>
  <c r="W110" i="156"/>
  <c r="V120" i="156"/>
  <c r="W120" i="156"/>
  <c r="V137" i="156"/>
  <c r="W137" i="156"/>
  <c r="W47" i="156"/>
  <c r="V47" i="156"/>
  <c r="W56" i="156"/>
  <c r="V56" i="156"/>
  <c r="W76" i="156"/>
  <c r="V76" i="156"/>
  <c r="W111" i="156"/>
  <c r="V111" i="156"/>
  <c r="W170" i="156"/>
  <c r="V170" i="156"/>
  <c r="V41" i="156"/>
  <c r="V55" i="156"/>
  <c r="V79" i="156"/>
  <c r="V82" i="156"/>
  <c r="V84" i="156"/>
  <c r="V104" i="156"/>
  <c r="V114" i="156"/>
  <c r="V146" i="156"/>
  <c r="V152" i="156"/>
  <c r="V179" i="156"/>
  <c r="W26" i="156"/>
  <c r="W75" i="156"/>
  <c r="W134" i="156"/>
  <c r="W172" i="156"/>
  <c r="V48" i="156"/>
  <c r="V45" i="156"/>
  <c r="W11" i="156"/>
  <c r="W9" i="156"/>
  <c r="V113" i="156"/>
  <c r="W113" i="156"/>
  <c r="V135" i="156"/>
  <c r="W135" i="156"/>
  <c r="J184" i="156"/>
  <c r="V161" i="156"/>
  <c r="W161" i="156"/>
  <c r="V164" i="156"/>
  <c r="W164" i="156"/>
  <c r="V173" i="156"/>
  <c r="W173" i="156"/>
  <c r="W17" i="156"/>
  <c r="V17" i="156"/>
  <c r="V39" i="156"/>
  <c r="W39" i="156"/>
  <c r="W54" i="156"/>
  <c r="V54" i="156"/>
  <c r="V78" i="156"/>
  <c r="W78" i="156"/>
  <c r="W10" i="156"/>
  <c r="V10" i="156"/>
  <c r="W12" i="156"/>
  <c r="V12" i="156"/>
  <c r="W74" i="156"/>
  <c r="V74" i="156"/>
  <c r="V174" i="156"/>
  <c r="W174" i="156"/>
  <c r="W13" i="156"/>
  <c r="V13" i="156"/>
  <c r="W46" i="156"/>
  <c r="V46" i="156"/>
  <c r="W80" i="156"/>
  <c r="V80" i="156"/>
  <c r="W139" i="156"/>
  <c r="V139" i="156"/>
  <c r="V7" i="156"/>
  <c r="W14" i="156"/>
  <c r="V19" i="156"/>
  <c r="V22" i="156"/>
  <c r="V100" i="156"/>
  <c r="W106" i="156"/>
  <c r="W121" i="156"/>
  <c r="V121" i="156"/>
  <c r="V133" i="156"/>
  <c r="W138" i="156"/>
  <c r="V138" i="156"/>
  <c r="W141" i="156"/>
  <c r="W162" i="156"/>
  <c r="V166" i="156"/>
  <c r="V180" i="156"/>
  <c r="V37" i="156"/>
  <c r="V44" i="156"/>
  <c r="W69" i="156"/>
  <c r="W81" i="156"/>
  <c r="V83" i="156"/>
  <c r="W83" i="156"/>
  <c r="W85" i="156"/>
  <c r="V99" i="156"/>
  <c r="V105" i="156"/>
  <c r="W105" i="156"/>
  <c r="J122" i="156"/>
  <c r="W143" i="156"/>
  <c r="W145" i="156"/>
  <c r="V151" i="156"/>
  <c r="V168" i="156"/>
  <c r="V183" i="156"/>
  <c r="V43" i="156"/>
  <c r="W43" i="156"/>
  <c r="W53" i="156"/>
  <c r="V53" i="156"/>
  <c r="V77" i="156"/>
  <c r="W77" i="156"/>
  <c r="V112" i="156"/>
  <c r="W112" i="156"/>
  <c r="W150" i="156"/>
  <c r="V150" i="156"/>
  <c r="W182" i="156"/>
  <c r="V182" i="156"/>
  <c r="J29" i="156"/>
  <c r="V16" i="156"/>
  <c r="W28" i="156"/>
  <c r="W38" i="156"/>
  <c r="J60" i="156"/>
  <c r="W72" i="156"/>
  <c r="W86" i="156"/>
  <c r="W108" i="156"/>
  <c r="V108" i="156"/>
  <c r="W119" i="156"/>
  <c r="W131" i="156"/>
  <c r="W136" i="156"/>
  <c r="V148" i="156"/>
  <c r="V169" i="156"/>
  <c r="W175" i="156"/>
  <c r="V177" i="156"/>
  <c r="V6" i="156"/>
  <c r="V40" i="156"/>
  <c r="V42" i="156"/>
  <c r="W50" i="156"/>
  <c r="W6" i="156"/>
  <c r="V15" i="156"/>
  <c r="V18" i="156"/>
  <c r="W21" i="156"/>
  <c r="W52" i="156"/>
  <c r="W58" i="156"/>
  <c r="W68" i="156"/>
  <c r="J91" i="156"/>
  <c r="V68" i="156"/>
  <c r="W71" i="156"/>
  <c r="V102" i="156"/>
  <c r="V115" i="156"/>
  <c r="W118" i="156"/>
  <c r="V132" i="156"/>
  <c r="V140" i="156"/>
  <c r="W144" i="156"/>
  <c r="V144" i="156"/>
  <c r="W147" i="156"/>
  <c r="W149" i="156"/>
  <c r="J153" i="156"/>
  <c r="W163" i="156"/>
  <c r="V165" i="156"/>
  <c r="V167" i="156"/>
  <c r="W176" i="156"/>
  <c r="W181" i="156"/>
  <c r="H100" i="155"/>
  <c r="H98" i="155"/>
  <c r="H94" i="155"/>
  <c r="H226" i="155"/>
  <c r="H225" i="155"/>
  <c r="H224" i="155"/>
  <c r="H223" i="155"/>
  <c r="H190" i="155"/>
  <c r="H220" i="155"/>
  <c r="H219" i="155"/>
  <c r="H218" i="155"/>
  <c r="H189" i="155"/>
  <c r="H163" i="155"/>
  <c r="H124" i="155"/>
  <c r="H92" i="155"/>
  <c r="H90" i="155"/>
  <c r="H84" i="155"/>
  <c r="H160" i="155"/>
  <c r="H17" i="155"/>
  <c r="H14" i="155"/>
  <c r="H13" i="155"/>
  <c r="H12" i="155"/>
  <c r="H80" i="155"/>
  <c r="H78" i="155"/>
  <c r="H76" i="155"/>
  <c r="H74" i="155"/>
  <c r="H72" i="155"/>
  <c r="H70" i="155"/>
  <c r="H69" i="155"/>
  <c r="H66" i="155"/>
  <c r="H122" i="155"/>
  <c r="H118" i="155"/>
  <c r="H115" i="155"/>
  <c r="H157" i="155"/>
  <c r="H152" i="155"/>
  <c r="H156" i="155"/>
  <c r="H154" i="155"/>
  <c r="H151" i="155"/>
  <c r="H150" i="155"/>
  <c r="H187" i="155"/>
  <c r="H186" i="155"/>
  <c r="H185" i="155"/>
  <c r="H216" i="155"/>
  <c r="H214" i="155"/>
  <c r="H183" i="155"/>
  <c r="H213" i="155"/>
  <c r="H182" i="155"/>
  <c r="H181" i="155"/>
  <c r="H212" i="155"/>
  <c r="H211" i="155"/>
  <c r="Q16" i="158" l="1"/>
  <c r="Q16" i="157"/>
  <c r="W153" i="156"/>
  <c r="P12" i="156" s="1"/>
  <c r="V153" i="156"/>
  <c r="O12" i="156" s="1"/>
  <c r="W91" i="156"/>
  <c r="P8" i="156" s="1"/>
  <c r="W122" i="156"/>
  <c r="P10" i="156" s="1"/>
  <c r="W60" i="156"/>
  <c r="P6" i="156" s="1"/>
  <c r="W184" i="156"/>
  <c r="P14" i="156" s="1"/>
  <c r="V91" i="156"/>
  <c r="O8" i="156" s="1"/>
  <c r="V184" i="156"/>
  <c r="O14" i="156" s="1"/>
  <c r="W29" i="156"/>
  <c r="P4" i="156" s="1"/>
  <c r="V29" i="156"/>
  <c r="O4" i="156" s="1"/>
  <c r="V122" i="156"/>
  <c r="O10" i="156" s="1"/>
  <c r="V60" i="156"/>
  <c r="O6" i="156" s="1"/>
  <c r="H62" i="155"/>
  <c r="H60" i="155"/>
  <c r="H10" i="155"/>
  <c r="J233" i="155"/>
  <c r="J232" i="155"/>
  <c r="V232" i="155" s="1"/>
  <c r="J231" i="155"/>
  <c r="V231" i="155" s="1"/>
  <c r="J230" i="155"/>
  <c r="W230" i="155" s="1"/>
  <c r="J229" i="155"/>
  <c r="J228" i="155"/>
  <c r="V228" i="155" s="1"/>
  <c r="J227" i="155"/>
  <c r="V227" i="155" s="1"/>
  <c r="J226" i="155"/>
  <c r="W226" i="155" s="1"/>
  <c r="J225" i="155"/>
  <c r="J224" i="155"/>
  <c r="V224" i="155" s="1"/>
  <c r="J223" i="155"/>
  <c r="V223" i="155" s="1"/>
  <c r="J222" i="155"/>
  <c r="W222" i="155" s="1"/>
  <c r="J221" i="155"/>
  <c r="J220" i="155"/>
  <c r="V220" i="155" s="1"/>
  <c r="J219" i="155"/>
  <c r="V219" i="155" s="1"/>
  <c r="J218" i="155"/>
  <c r="W218" i="155" s="1"/>
  <c r="J217" i="155"/>
  <c r="J216" i="155"/>
  <c r="W216" i="155" s="1"/>
  <c r="J215" i="155"/>
  <c r="W215" i="155" s="1"/>
  <c r="V214" i="155"/>
  <c r="J214" i="155"/>
  <c r="W214" i="155" s="1"/>
  <c r="J213" i="155"/>
  <c r="W212" i="155"/>
  <c r="V212" i="155"/>
  <c r="J212" i="155"/>
  <c r="J211" i="155"/>
  <c r="J202" i="155"/>
  <c r="W201" i="155"/>
  <c r="J201" i="155"/>
  <c r="V201" i="155" s="1"/>
  <c r="J200" i="155"/>
  <c r="W200" i="155" s="1"/>
  <c r="J199" i="155"/>
  <c r="W199" i="155" s="1"/>
  <c r="J198" i="155"/>
  <c r="J197" i="155"/>
  <c r="W197" i="155" s="1"/>
  <c r="J196" i="155"/>
  <c r="V196" i="155" s="1"/>
  <c r="J195" i="155"/>
  <c r="W195" i="155" s="1"/>
  <c r="J194" i="155"/>
  <c r="J193" i="155"/>
  <c r="V193" i="155" s="1"/>
  <c r="J192" i="155"/>
  <c r="W192" i="155" s="1"/>
  <c r="J191" i="155"/>
  <c r="W191" i="155" s="1"/>
  <c r="J190" i="155"/>
  <c r="J189" i="155"/>
  <c r="V189" i="155" s="1"/>
  <c r="J188" i="155"/>
  <c r="V188" i="155" s="1"/>
  <c r="J187" i="155"/>
  <c r="W187" i="155" s="1"/>
  <c r="J186" i="155"/>
  <c r="J185" i="155"/>
  <c r="V185" i="155" s="1"/>
  <c r="J184" i="155"/>
  <c r="W184" i="155" s="1"/>
  <c r="J183" i="155"/>
  <c r="W183" i="155" s="1"/>
  <c r="J182" i="155"/>
  <c r="J181" i="155"/>
  <c r="J180" i="155"/>
  <c r="W171" i="155"/>
  <c r="V171" i="155"/>
  <c r="J171" i="155"/>
  <c r="J170" i="155"/>
  <c r="W170" i="155" s="1"/>
  <c r="J169" i="155"/>
  <c r="J168" i="155"/>
  <c r="W168" i="155" s="1"/>
  <c r="J167" i="155"/>
  <c r="W167" i="155" s="1"/>
  <c r="J166" i="155"/>
  <c r="W166" i="155" s="1"/>
  <c r="J165" i="155"/>
  <c r="W165" i="155" s="1"/>
  <c r="J164" i="155"/>
  <c r="J163" i="155"/>
  <c r="J162" i="155"/>
  <c r="J161" i="155"/>
  <c r="J160" i="155"/>
  <c r="J159" i="155"/>
  <c r="W159" i="155" s="1"/>
  <c r="J158" i="155"/>
  <c r="W158" i="155" s="1"/>
  <c r="J157" i="155"/>
  <c r="W157" i="155" s="1"/>
  <c r="J156" i="155"/>
  <c r="J155" i="155"/>
  <c r="J154" i="155"/>
  <c r="V154" i="155" s="1"/>
  <c r="J153" i="155"/>
  <c r="V153" i="155" s="1"/>
  <c r="J152" i="155"/>
  <c r="W152" i="155" s="1"/>
  <c r="J151" i="155"/>
  <c r="W151" i="155" s="1"/>
  <c r="J150" i="155"/>
  <c r="W150" i="155" s="1"/>
  <c r="J149" i="155"/>
  <c r="J140" i="155"/>
  <c r="W140" i="155" s="1"/>
  <c r="J139" i="155"/>
  <c r="V139" i="155" s="1"/>
  <c r="J138" i="155"/>
  <c r="W138" i="155" s="1"/>
  <c r="J137" i="155"/>
  <c r="J136" i="155"/>
  <c r="V136" i="155" s="1"/>
  <c r="J135" i="155"/>
  <c r="J134" i="155"/>
  <c r="J133" i="155"/>
  <c r="J132" i="155"/>
  <c r="J131" i="155"/>
  <c r="J130" i="155"/>
  <c r="W130" i="155" s="1"/>
  <c r="J129" i="155"/>
  <c r="J128" i="155"/>
  <c r="V128" i="155" s="1"/>
  <c r="W127" i="155"/>
  <c r="V127" i="155"/>
  <c r="J127" i="155"/>
  <c r="J126" i="155"/>
  <c r="W126" i="155" s="1"/>
  <c r="J125" i="155"/>
  <c r="W125" i="155" s="1"/>
  <c r="W124" i="155"/>
  <c r="J124" i="155"/>
  <c r="V124" i="155" s="1"/>
  <c r="J123" i="155"/>
  <c r="W123" i="155" s="1"/>
  <c r="J122" i="155"/>
  <c r="J121" i="155"/>
  <c r="W121" i="155" s="1"/>
  <c r="J120" i="155"/>
  <c r="W120" i="155" s="1"/>
  <c r="J119" i="155"/>
  <c r="V119" i="155" s="1"/>
  <c r="J118" i="155"/>
  <c r="W118" i="155" s="1"/>
  <c r="J117" i="155"/>
  <c r="W117" i="155" s="1"/>
  <c r="J116" i="155"/>
  <c r="J115" i="155"/>
  <c r="J114" i="155"/>
  <c r="J113" i="155"/>
  <c r="J112" i="155"/>
  <c r="V112" i="155" s="1"/>
  <c r="J103" i="155"/>
  <c r="W103" i="155" s="1"/>
  <c r="J102" i="155"/>
  <c r="J101" i="155"/>
  <c r="W101" i="155" s="1"/>
  <c r="J100" i="155"/>
  <c r="W100" i="155" s="1"/>
  <c r="J99" i="155"/>
  <c r="W99" i="155" s="1"/>
  <c r="J98" i="155"/>
  <c r="J97" i="155"/>
  <c r="J96" i="155"/>
  <c r="W96" i="155" s="1"/>
  <c r="J95" i="155"/>
  <c r="V95" i="155" s="1"/>
  <c r="W94" i="155"/>
  <c r="J94" i="155"/>
  <c r="V94" i="155" s="1"/>
  <c r="J93" i="155"/>
  <c r="W93" i="155" s="1"/>
  <c r="J92" i="155"/>
  <c r="W92" i="155" s="1"/>
  <c r="W91" i="155"/>
  <c r="J91" i="155"/>
  <c r="V91" i="155" s="1"/>
  <c r="J90" i="155"/>
  <c r="W90" i="155" s="1"/>
  <c r="J89" i="155"/>
  <c r="W89" i="155" s="1"/>
  <c r="J88" i="155"/>
  <c r="J87" i="155"/>
  <c r="W87" i="155" s="1"/>
  <c r="W86" i="155"/>
  <c r="J86" i="155"/>
  <c r="V86" i="155" s="1"/>
  <c r="J85" i="155"/>
  <c r="W85" i="155" s="1"/>
  <c r="J84" i="155"/>
  <c r="W84" i="155" s="1"/>
  <c r="J83" i="155"/>
  <c r="W83" i="155" s="1"/>
  <c r="J82" i="155"/>
  <c r="W82" i="155" s="1"/>
  <c r="J81" i="155"/>
  <c r="J80" i="155"/>
  <c r="J79" i="155"/>
  <c r="V79" i="155" s="1"/>
  <c r="J78" i="155"/>
  <c r="W78" i="155" s="1"/>
  <c r="J77" i="155"/>
  <c r="W77" i="155" s="1"/>
  <c r="J76" i="155"/>
  <c r="J75" i="155"/>
  <c r="W75" i="155" s="1"/>
  <c r="J74" i="155"/>
  <c r="W74" i="155" s="1"/>
  <c r="J73" i="155"/>
  <c r="W73" i="155" s="1"/>
  <c r="J72" i="155"/>
  <c r="V72" i="155" s="1"/>
  <c r="J71" i="155"/>
  <c r="W71" i="155" s="1"/>
  <c r="J70" i="155"/>
  <c r="W70" i="155" s="1"/>
  <c r="J69" i="155"/>
  <c r="J68" i="155"/>
  <c r="V68" i="155" s="1"/>
  <c r="J67" i="155"/>
  <c r="V67" i="155" s="1"/>
  <c r="J66" i="155"/>
  <c r="W66" i="155" s="1"/>
  <c r="J65" i="155"/>
  <c r="W65" i="155" s="1"/>
  <c r="J64" i="155"/>
  <c r="W64" i="155" s="1"/>
  <c r="J63" i="155"/>
  <c r="J62" i="155"/>
  <c r="J61" i="155"/>
  <c r="V61" i="155" s="1"/>
  <c r="J60" i="155"/>
  <c r="W51" i="155"/>
  <c r="J51" i="155"/>
  <c r="V51" i="155" s="1"/>
  <c r="J50" i="155"/>
  <c r="W50" i="155" s="1"/>
  <c r="J49" i="155"/>
  <c r="J48" i="155"/>
  <c r="V48" i="155" s="1"/>
  <c r="J47" i="155"/>
  <c r="W47" i="155" s="1"/>
  <c r="J46" i="155"/>
  <c r="W46" i="155" s="1"/>
  <c r="J45" i="155"/>
  <c r="W45" i="155" s="1"/>
  <c r="J44" i="155"/>
  <c r="W44" i="155" s="1"/>
  <c r="J43" i="155"/>
  <c r="W43" i="155" s="1"/>
  <c r="J42" i="155"/>
  <c r="J41" i="155"/>
  <c r="W41" i="155" s="1"/>
  <c r="J40" i="155"/>
  <c r="W40" i="155" s="1"/>
  <c r="J39" i="155"/>
  <c r="W39" i="155" s="1"/>
  <c r="J38" i="155"/>
  <c r="W38" i="155" s="1"/>
  <c r="J37" i="155"/>
  <c r="W37" i="155" s="1"/>
  <c r="J36" i="155"/>
  <c r="W36" i="155" s="1"/>
  <c r="J35" i="155"/>
  <c r="W35" i="155" s="1"/>
  <c r="J34" i="155"/>
  <c r="W34" i="155" s="1"/>
  <c r="J33" i="155"/>
  <c r="J32" i="155"/>
  <c r="J31" i="155"/>
  <c r="W31" i="155" s="1"/>
  <c r="J30" i="155"/>
  <c r="V30" i="155" s="1"/>
  <c r="J29" i="155"/>
  <c r="W29" i="155" s="1"/>
  <c r="J28" i="155"/>
  <c r="W28" i="155" s="1"/>
  <c r="J27" i="155"/>
  <c r="W27" i="155" s="1"/>
  <c r="J26" i="155"/>
  <c r="V26" i="155" s="1"/>
  <c r="J25" i="155"/>
  <c r="V25" i="155" s="1"/>
  <c r="J24" i="155"/>
  <c r="W24" i="155" s="1"/>
  <c r="J23" i="155"/>
  <c r="W23" i="155" s="1"/>
  <c r="J22" i="155"/>
  <c r="W22" i="155" s="1"/>
  <c r="J21" i="155"/>
  <c r="V21" i="155" s="1"/>
  <c r="J20" i="155"/>
  <c r="W20" i="155" s="1"/>
  <c r="J19" i="155"/>
  <c r="W19" i="155" s="1"/>
  <c r="J18" i="155"/>
  <c r="J17" i="155"/>
  <c r="W17" i="155" s="1"/>
  <c r="J16" i="155"/>
  <c r="V16" i="155" s="1"/>
  <c r="J15" i="155"/>
  <c r="W15" i="155" s="1"/>
  <c r="N14" i="155"/>
  <c r="J14" i="155"/>
  <c r="W14" i="155" s="1"/>
  <c r="J13" i="155"/>
  <c r="W13" i="155" s="1"/>
  <c r="N12" i="155"/>
  <c r="J12" i="155"/>
  <c r="V12" i="155" s="1"/>
  <c r="J11" i="155"/>
  <c r="W11" i="155" s="1"/>
  <c r="N10" i="155"/>
  <c r="J10" i="155"/>
  <c r="W10" i="155" s="1"/>
  <c r="J9" i="155"/>
  <c r="N8" i="155"/>
  <c r="J8" i="155"/>
  <c r="W8" i="155" s="1"/>
  <c r="J7" i="155"/>
  <c r="W7" i="155" s="1"/>
  <c r="N6" i="155"/>
  <c r="J6" i="155"/>
  <c r="N4" i="155"/>
  <c r="R6" i="156" l="1"/>
  <c r="Q6" i="156"/>
  <c r="R8" i="156"/>
  <c r="Q8" i="156"/>
  <c r="R12" i="156"/>
  <c r="Q12" i="156"/>
  <c r="R14" i="156"/>
  <c r="Q14" i="156"/>
  <c r="O16" i="156"/>
  <c r="R16" i="156" s="1"/>
  <c r="P18" i="156" s="1"/>
  <c r="P16" i="156"/>
  <c r="R10" i="156"/>
  <c r="Q10" i="156"/>
  <c r="R4" i="156"/>
  <c r="Q4" i="156"/>
  <c r="W231" i="155"/>
  <c r="V200" i="155"/>
  <c r="V103" i="155"/>
  <c r="V101" i="155"/>
  <c r="V140" i="155"/>
  <c r="W139" i="155"/>
  <c r="W136" i="155"/>
  <c r="W153" i="155"/>
  <c r="V170" i="155"/>
  <c r="W48" i="155"/>
  <c r="V168" i="155"/>
  <c r="W154" i="155"/>
  <c r="V43" i="155"/>
  <c r="W95" i="155"/>
  <c r="V138" i="155"/>
  <c r="W223" i="155"/>
  <c r="V191" i="155"/>
  <c r="W227" i="155"/>
  <c r="W189" i="155"/>
  <c r="W196" i="155"/>
  <c r="V165" i="155"/>
  <c r="W128" i="155"/>
  <c r="V90" i="155"/>
  <c r="V85" i="155"/>
  <c r="V83" i="155"/>
  <c r="W25" i="155"/>
  <c r="V46" i="155"/>
  <c r="V39" i="155"/>
  <c r="V44" i="155"/>
  <c r="V27" i="155"/>
  <c r="V41" i="155"/>
  <c r="V24" i="155"/>
  <c r="W26" i="155"/>
  <c r="V77" i="155"/>
  <c r="V75" i="155"/>
  <c r="W72" i="155"/>
  <c r="V66" i="155"/>
  <c r="W119" i="155"/>
  <c r="V118" i="155"/>
  <c r="V157" i="155"/>
  <c r="V159" i="155"/>
  <c r="V151" i="155"/>
  <c r="W219" i="155"/>
  <c r="V187" i="155"/>
  <c r="W185" i="155"/>
  <c r="V184" i="155"/>
  <c r="V216" i="155"/>
  <c r="V218" i="155"/>
  <c r="V222" i="155"/>
  <c r="J234" i="155"/>
  <c r="V215" i="155"/>
  <c r="W220" i="155"/>
  <c r="W224" i="155"/>
  <c r="W228" i="155"/>
  <c r="W232" i="155"/>
  <c r="V226" i="155"/>
  <c r="V230" i="155"/>
  <c r="V195" i="155"/>
  <c r="V183" i="155"/>
  <c r="W188" i="155"/>
  <c r="V192" i="155"/>
  <c r="W193" i="155"/>
  <c r="V197" i="155"/>
  <c r="V199" i="155"/>
  <c r="W112" i="155"/>
  <c r="V211" i="155"/>
  <c r="W211" i="155"/>
  <c r="V150" i="155"/>
  <c r="V152" i="155"/>
  <c r="V158" i="155"/>
  <c r="V167" i="155"/>
  <c r="V166" i="155"/>
  <c r="V121" i="155"/>
  <c r="V123" i="155"/>
  <c r="V126" i="155"/>
  <c r="V120" i="155"/>
  <c r="V125" i="155"/>
  <c r="V117" i="155"/>
  <c r="V130" i="155"/>
  <c r="V93" i="155"/>
  <c r="V100" i="155"/>
  <c r="V65" i="155"/>
  <c r="V71" i="155"/>
  <c r="V74" i="155"/>
  <c r="V73" i="155"/>
  <c r="V78" i="155"/>
  <c r="W79" i="155"/>
  <c r="V82" i="155"/>
  <c r="V84" i="155"/>
  <c r="V87" i="155"/>
  <c r="V89" i="155"/>
  <c r="V92" i="155"/>
  <c r="V96" i="155"/>
  <c r="W68" i="155"/>
  <c r="V64" i="155"/>
  <c r="W67" i="155"/>
  <c r="V99" i="155"/>
  <c r="W12" i="155"/>
  <c r="V17" i="155"/>
  <c r="V20" i="155"/>
  <c r="V22" i="155"/>
  <c r="V29" i="155"/>
  <c r="V31" i="155"/>
  <c r="V40" i="155"/>
  <c r="V45" i="155"/>
  <c r="W16" i="155"/>
  <c r="W21" i="155"/>
  <c r="W30" i="155"/>
  <c r="W18" i="155"/>
  <c r="V18" i="155"/>
  <c r="W32" i="155"/>
  <c r="V32" i="155"/>
  <c r="W33" i="155"/>
  <c r="V33" i="155"/>
  <c r="W9" i="155"/>
  <c r="V9" i="155"/>
  <c r="V11" i="155"/>
  <c r="N16" i="155"/>
  <c r="J104" i="155"/>
  <c r="V60" i="155"/>
  <c r="V62" i="155"/>
  <c r="W62" i="155"/>
  <c r="W80" i="155"/>
  <c r="V80" i="155"/>
  <c r="V88" i="155"/>
  <c r="W88" i="155"/>
  <c r="V114" i="155"/>
  <c r="W114" i="155"/>
  <c r="V116" i="155"/>
  <c r="W116" i="155"/>
  <c r="W155" i="155"/>
  <c r="V155" i="155"/>
  <c r="V162" i="155"/>
  <c r="W162" i="155"/>
  <c r="V164" i="155"/>
  <c r="W164" i="155"/>
  <c r="W181" i="155"/>
  <c r="V181" i="155"/>
  <c r="V194" i="155"/>
  <c r="W194" i="155"/>
  <c r="J52" i="155"/>
  <c r="V7" i="155"/>
  <c r="V6" i="155"/>
  <c r="W6" i="155"/>
  <c r="V8" i="155"/>
  <c r="V10" i="155"/>
  <c r="V15" i="155"/>
  <c r="V19" i="155"/>
  <c r="V23" i="155"/>
  <c r="V28" i="155"/>
  <c r="V34" i="155"/>
  <c r="V35" i="155"/>
  <c r="V36" i="155"/>
  <c r="V37" i="155"/>
  <c r="V47" i="155"/>
  <c r="V49" i="155"/>
  <c r="W49" i="155"/>
  <c r="W60" i="155"/>
  <c r="V70" i="155"/>
  <c r="V81" i="155"/>
  <c r="W81" i="155"/>
  <c r="W97" i="155"/>
  <c r="V97" i="155"/>
  <c r="V122" i="155"/>
  <c r="W122" i="155"/>
  <c r="J172" i="155"/>
  <c r="V149" i="155"/>
  <c r="W149" i="155"/>
  <c r="V156" i="155"/>
  <c r="W156" i="155"/>
  <c r="V169" i="155"/>
  <c r="W169" i="155"/>
  <c r="V182" i="155"/>
  <c r="W182" i="155"/>
  <c r="V198" i="155"/>
  <c r="W198" i="155"/>
  <c r="V13" i="155"/>
  <c r="V14" i="155"/>
  <c r="V42" i="155"/>
  <c r="W42" i="155"/>
  <c r="V63" i="155"/>
  <c r="W63" i="155"/>
  <c r="V98" i="155"/>
  <c r="W98" i="155"/>
  <c r="V113" i="155"/>
  <c r="W113" i="155"/>
  <c r="V115" i="155"/>
  <c r="W115" i="155"/>
  <c r="V129" i="155"/>
  <c r="W129" i="155"/>
  <c r="V137" i="155"/>
  <c r="W137" i="155"/>
  <c r="W160" i="155"/>
  <c r="V160" i="155"/>
  <c r="V163" i="155"/>
  <c r="W163" i="155"/>
  <c r="V186" i="155"/>
  <c r="W186" i="155"/>
  <c r="V202" i="155"/>
  <c r="W202" i="155"/>
  <c r="V213" i="155"/>
  <c r="W213" i="155"/>
  <c r="V38" i="155"/>
  <c r="V50" i="155"/>
  <c r="W61" i="155"/>
  <c r="V69" i="155"/>
  <c r="W69" i="155"/>
  <c r="V76" i="155"/>
  <c r="W76" i="155"/>
  <c r="V102" i="155"/>
  <c r="W102" i="155"/>
  <c r="J141" i="155"/>
  <c r="W161" i="155"/>
  <c r="V161" i="155"/>
  <c r="J203" i="155"/>
  <c r="W180" i="155"/>
  <c r="V180" i="155"/>
  <c r="V190" i="155"/>
  <c r="W190" i="155"/>
  <c r="V217" i="155"/>
  <c r="W217" i="155"/>
  <c r="V221" i="155"/>
  <c r="W221" i="155"/>
  <c r="V225" i="155"/>
  <c r="W225" i="155"/>
  <c r="V229" i="155"/>
  <c r="W229" i="155"/>
  <c r="V233" i="155"/>
  <c r="W233" i="155"/>
  <c r="Q16" i="156" l="1"/>
  <c r="V234" i="155"/>
  <c r="O14" i="155" s="1"/>
  <c r="R14" i="155" s="1"/>
  <c r="W234" i="155"/>
  <c r="P14" i="155" s="1"/>
  <c r="V203" i="155"/>
  <c r="O12" i="155" s="1"/>
  <c r="R12" i="155" s="1"/>
  <c r="W141" i="155"/>
  <c r="P8" i="155" s="1"/>
  <c r="V141" i="155"/>
  <c r="O8" i="155" s="1"/>
  <c r="R8" i="155" s="1"/>
  <c r="W52" i="155"/>
  <c r="P4" i="155" s="1"/>
  <c r="V52" i="155"/>
  <c r="O4" i="155" s="1"/>
  <c r="V104" i="155"/>
  <c r="O6" i="155" s="1"/>
  <c r="R6" i="155" s="1"/>
  <c r="W104" i="155"/>
  <c r="P6" i="155" s="1"/>
  <c r="V172" i="155"/>
  <c r="O10" i="155" s="1"/>
  <c r="W203" i="155"/>
  <c r="P12" i="155" s="1"/>
  <c r="W172" i="155"/>
  <c r="P10" i="155" s="1"/>
  <c r="Q14" i="155" l="1"/>
  <c r="P16" i="155"/>
  <c r="O16" i="155"/>
  <c r="R16" i="155" s="1"/>
  <c r="P18" i="155" s="1"/>
  <c r="R4" i="155"/>
  <c r="Q4" i="155"/>
  <c r="R10" i="155"/>
  <c r="Q10" i="155"/>
  <c r="Q16" i="155" l="1"/>
  <c r="H132" i="154"/>
  <c r="H47" i="154"/>
  <c r="H46" i="154"/>
  <c r="H97" i="154"/>
  <c r="H131" i="154"/>
  <c r="H45" i="154"/>
  <c r="H167" i="154"/>
  <c r="H95" i="154"/>
  <c r="H164" i="154"/>
  <c r="H127" i="154"/>
  <c r="H94" i="154"/>
  <c r="H93" i="154"/>
  <c r="H92" i="154"/>
  <c r="H91" i="154"/>
  <c r="H40" i="154"/>
  <c r="H37" i="154"/>
  <c r="H36" i="154"/>
  <c r="H163" i="154"/>
  <c r="H126" i="154"/>
  <c r="H35" i="154"/>
  <c r="H33" i="154"/>
  <c r="H32" i="154"/>
  <c r="H86" i="154"/>
  <c r="H125" i="154"/>
  <c r="H84" i="154"/>
  <c r="H181" i="154"/>
  <c r="H161" i="154"/>
  <c r="H160" i="154"/>
  <c r="H83" i="154"/>
  <c r="H26" i="154"/>
  <c r="H80" i="154"/>
  <c r="H180" i="154"/>
  <c r="H120" i="154"/>
  <c r="H74" i="154"/>
  <c r="H119" i="154"/>
  <c r="H155" i="154"/>
  <c r="H73" i="154"/>
  <c r="H19" i="154"/>
  <c r="H18" i="154"/>
  <c r="H71" i="154"/>
  <c r="H68" i="154"/>
  <c r="H116" i="154"/>
  <c r="H152" i="154" l="1"/>
  <c r="H115" i="154"/>
  <c r="H67" i="154"/>
  <c r="H114" i="154"/>
  <c r="J114" i="154" s="1"/>
  <c r="H151" i="154"/>
  <c r="H63" i="154"/>
  <c r="H9" i="154"/>
  <c r="H61" i="154"/>
  <c r="J61" i="154" s="1"/>
  <c r="W61" i="154" s="1"/>
  <c r="H149" i="154"/>
  <c r="H60" i="154"/>
  <c r="J233" i="154"/>
  <c r="W233" i="154" s="1"/>
  <c r="J232" i="154"/>
  <c r="J231" i="154"/>
  <c r="W231" i="154" s="1"/>
  <c r="W230" i="154"/>
  <c r="V230" i="154"/>
  <c r="J230" i="154"/>
  <c r="V229" i="154"/>
  <c r="J229" i="154"/>
  <c r="W229" i="154" s="1"/>
  <c r="J228" i="154"/>
  <c r="V227" i="154"/>
  <c r="J227" i="154"/>
  <c r="W227" i="154" s="1"/>
  <c r="J226" i="154"/>
  <c r="W226" i="154" s="1"/>
  <c r="J225" i="154"/>
  <c r="W225" i="154" s="1"/>
  <c r="J224" i="154"/>
  <c r="W223" i="154"/>
  <c r="J223" i="154"/>
  <c r="V223" i="154" s="1"/>
  <c r="V222" i="154"/>
  <c r="J222" i="154"/>
  <c r="W222" i="154" s="1"/>
  <c r="V221" i="154"/>
  <c r="J221" i="154"/>
  <c r="W221" i="154" s="1"/>
  <c r="J220" i="154"/>
  <c r="W219" i="154"/>
  <c r="V219" i="154"/>
  <c r="J219" i="154"/>
  <c r="W218" i="154"/>
  <c r="J218" i="154"/>
  <c r="V218" i="154" s="1"/>
  <c r="J217" i="154"/>
  <c r="W217" i="154" s="1"/>
  <c r="J216" i="154"/>
  <c r="W216" i="154" s="1"/>
  <c r="J215" i="154"/>
  <c r="W215" i="154" s="1"/>
  <c r="J214" i="154"/>
  <c r="V214" i="154" s="1"/>
  <c r="J213" i="154"/>
  <c r="W213" i="154" s="1"/>
  <c r="J212" i="154"/>
  <c r="W212" i="154" s="1"/>
  <c r="J211" i="154"/>
  <c r="W202" i="154"/>
  <c r="V202" i="154"/>
  <c r="J202" i="154"/>
  <c r="W201" i="154"/>
  <c r="J201" i="154"/>
  <c r="V201" i="154" s="1"/>
  <c r="J200" i="154"/>
  <c r="W200" i="154" s="1"/>
  <c r="J199" i="154"/>
  <c r="J198" i="154"/>
  <c r="W198" i="154" s="1"/>
  <c r="W197" i="154"/>
  <c r="V197" i="154"/>
  <c r="J197" i="154"/>
  <c r="V196" i="154"/>
  <c r="J196" i="154"/>
  <c r="W196" i="154" s="1"/>
  <c r="J195" i="154"/>
  <c r="V194" i="154"/>
  <c r="J194" i="154"/>
  <c r="W194" i="154" s="1"/>
  <c r="J193" i="154"/>
  <c r="W193" i="154" s="1"/>
  <c r="J192" i="154"/>
  <c r="W192" i="154" s="1"/>
  <c r="J191" i="154"/>
  <c r="W190" i="154"/>
  <c r="J190" i="154"/>
  <c r="V190" i="154" s="1"/>
  <c r="J189" i="154"/>
  <c r="V189" i="154" s="1"/>
  <c r="J188" i="154"/>
  <c r="W188" i="154" s="1"/>
  <c r="J187" i="154"/>
  <c r="J186" i="154"/>
  <c r="W186" i="154" s="1"/>
  <c r="J185" i="154"/>
  <c r="W185" i="154" s="1"/>
  <c r="V184" i="154"/>
  <c r="J184" i="154"/>
  <c r="W184" i="154" s="1"/>
  <c r="J183" i="154"/>
  <c r="J182" i="154"/>
  <c r="J181" i="154"/>
  <c r="J180" i="154"/>
  <c r="J171" i="154"/>
  <c r="V171" i="154" s="1"/>
  <c r="J170" i="154"/>
  <c r="W170" i="154" s="1"/>
  <c r="J169" i="154"/>
  <c r="J168" i="154"/>
  <c r="V168" i="154" s="1"/>
  <c r="V167" i="154"/>
  <c r="J167" i="154"/>
  <c r="W167" i="154" s="1"/>
  <c r="J166" i="154"/>
  <c r="W166" i="154" s="1"/>
  <c r="J165" i="154"/>
  <c r="J164" i="154"/>
  <c r="W164" i="154" s="1"/>
  <c r="J163" i="154"/>
  <c r="V163" i="154" s="1"/>
  <c r="J162" i="154"/>
  <c r="W162" i="154" s="1"/>
  <c r="J161" i="154"/>
  <c r="J160" i="154"/>
  <c r="J159" i="154"/>
  <c r="J158" i="154"/>
  <c r="W158" i="154" s="1"/>
  <c r="J157" i="154"/>
  <c r="W157" i="154" s="1"/>
  <c r="W156" i="154"/>
  <c r="J156" i="154"/>
  <c r="V156" i="154" s="1"/>
  <c r="J155" i="154"/>
  <c r="V155" i="154" s="1"/>
  <c r="J154" i="154"/>
  <c r="W154" i="154" s="1"/>
  <c r="J153" i="154"/>
  <c r="J152" i="154"/>
  <c r="W152" i="154" s="1"/>
  <c r="J151" i="154"/>
  <c r="V151" i="154" s="1"/>
  <c r="J150" i="154"/>
  <c r="W150" i="154" s="1"/>
  <c r="J149" i="154"/>
  <c r="J140" i="154"/>
  <c r="W140" i="154" s="1"/>
  <c r="V139" i="154"/>
  <c r="J139" i="154"/>
  <c r="W139" i="154" s="1"/>
  <c r="J138" i="154"/>
  <c r="V137" i="154"/>
  <c r="J137" i="154"/>
  <c r="W137" i="154" s="1"/>
  <c r="J136" i="154"/>
  <c r="V136" i="154" s="1"/>
  <c r="J135" i="154"/>
  <c r="J134" i="154"/>
  <c r="J133" i="154"/>
  <c r="J132" i="154"/>
  <c r="J131" i="154"/>
  <c r="J130" i="154"/>
  <c r="W130" i="154" s="1"/>
  <c r="J129" i="154"/>
  <c r="W129" i="154" s="1"/>
  <c r="J128" i="154"/>
  <c r="J127" i="154"/>
  <c r="V127" i="154" s="1"/>
  <c r="J126" i="154"/>
  <c r="W126" i="154" s="1"/>
  <c r="J125" i="154"/>
  <c r="W125" i="154" s="1"/>
  <c r="J124" i="154"/>
  <c r="W124" i="154" s="1"/>
  <c r="J123" i="154"/>
  <c r="J122" i="154"/>
  <c r="V122" i="154" s="1"/>
  <c r="J121" i="154"/>
  <c r="W121" i="154" s="1"/>
  <c r="J120" i="154"/>
  <c r="W120" i="154" s="1"/>
  <c r="J119" i="154"/>
  <c r="V119" i="154" s="1"/>
  <c r="J118" i="154"/>
  <c r="W118" i="154" s="1"/>
  <c r="J117" i="154"/>
  <c r="W117" i="154" s="1"/>
  <c r="J116" i="154"/>
  <c r="J115" i="154"/>
  <c r="V115" i="154" s="1"/>
  <c r="J113" i="154"/>
  <c r="W113" i="154" s="1"/>
  <c r="J112" i="154"/>
  <c r="J103" i="154"/>
  <c r="V103" i="154" s="1"/>
  <c r="J102" i="154"/>
  <c r="W102" i="154" s="1"/>
  <c r="J101" i="154"/>
  <c r="J100" i="154"/>
  <c r="W100" i="154" s="1"/>
  <c r="J99" i="154"/>
  <c r="V99" i="154" s="1"/>
  <c r="J98" i="154"/>
  <c r="W98" i="154" s="1"/>
  <c r="J97" i="154"/>
  <c r="J96" i="154"/>
  <c r="W96" i="154" s="1"/>
  <c r="J95" i="154"/>
  <c r="V95" i="154" s="1"/>
  <c r="J94" i="154"/>
  <c r="W94" i="154" s="1"/>
  <c r="J93" i="154"/>
  <c r="J92" i="154"/>
  <c r="W92" i="154" s="1"/>
  <c r="J91" i="154"/>
  <c r="W91" i="154" s="1"/>
  <c r="J90" i="154"/>
  <c r="W90" i="154" s="1"/>
  <c r="J89" i="154"/>
  <c r="W89" i="154" s="1"/>
  <c r="J88" i="154"/>
  <c r="J87" i="154"/>
  <c r="V87" i="154" s="1"/>
  <c r="J86" i="154"/>
  <c r="V86" i="154" s="1"/>
  <c r="J85" i="154"/>
  <c r="V85" i="154" s="1"/>
  <c r="J84" i="154"/>
  <c r="V84" i="154" s="1"/>
  <c r="J83" i="154"/>
  <c r="V83" i="154" s="1"/>
  <c r="J82" i="154"/>
  <c r="V82" i="154" s="1"/>
  <c r="J81" i="154"/>
  <c r="W81" i="154" s="1"/>
  <c r="J80" i="154"/>
  <c r="V80" i="154" s="1"/>
  <c r="J79" i="154"/>
  <c r="W79" i="154" s="1"/>
  <c r="J78" i="154"/>
  <c r="J77" i="154"/>
  <c r="V77" i="154" s="1"/>
  <c r="J76" i="154"/>
  <c r="V76" i="154" s="1"/>
  <c r="J75" i="154"/>
  <c r="W75" i="154" s="1"/>
  <c r="J74" i="154"/>
  <c r="V74" i="154" s="1"/>
  <c r="J73" i="154"/>
  <c r="W73" i="154" s="1"/>
  <c r="J72" i="154"/>
  <c r="W72" i="154" s="1"/>
  <c r="J71" i="154"/>
  <c r="J70" i="154"/>
  <c r="V70" i="154" s="1"/>
  <c r="J69" i="154"/>
  <c r="W69" i="154" s="1"/>
  <c r="J68" i="154"/>
  <c r="W68" i="154" s="1"/>
  <c r="J67" i="154"/>
  <c r="J66" i="154"/>
  <c r="V66" i="154" s="1"/>
  <c r="J65" i="154"/>
  <c r="W65" i="154" s="1"/>
  <c r="J64" i="154"/>
  <c r="W64" i="154" s="1"/>
  <c r="J63" i="154"/>
  <c r="W63" i="154" s="1"/>
  <c r="J62" i="154"/>
  <c r="J60" i="154"/>
  <c r="J51" i="154"/>
  <c r="V51" i="154" s="1"/>
  <c r="J50" i="154"/>
  <c r="W50" i="154" s="1"/>
  <c r="W49" i="154"/>
  <c r="J49" i="154"/>
  <c r="V49" i="154" s="1"/>
  <c r="J48" i="154"/>
  <c r="V48" i="154" s="1"/>
  <c r="J47" i="154"/>
  <c r="W47" i="154" s="1"/>
  <c r="J46" i="154"/>
  <c r="W46" i="154" s="1"/>
  <c r="J45" i="154"/>
  <c r="V45" i="154" s="1"/>
  <c r="J44" i="154"/>
  <c r="W44" i="154" s="1"/>
  <c r="W43" i="154"/>
  <c r="J43" i="154"/>
  <c r="V43" i="154" s="1"/>
  <c r="J42" i="154"/>
  <c r="V42" i="154" s="1"/>
  <c r="J41" i="154"/>
  <c r="W41" i="154" s="1"/>
  <c r="J40" i="154"/>
  <c r="W40" i="154" s="1"/>
  <c r="J39" i="154"/>
  <c r="W39" i="154" s="1"/>
  <c r="J38" i="154"/>
  <c r="W38" i="154" s="1"/>
  <c r="J37" i="154"/>
  <c r="W37" i="154" s="1"/>
  <c r="J36" i="154"/>
  <c r="J35" i="154"/>
  <c r="J34" i="154"/>
  <c r="W34" i="154" s="1"/>
  <c r="J33" i="154"/>
  <c r="W33" i="154" s="1"/>
  <c r="J32" i="154"/>
  <c r="V32" i="154" s="1"/>
  <c r="J31" i="154"/>
  <c r="W31" i="154" s="1"/>
  <c r="J30" i="154"/>
  <c r="W30" i="154" s="1"/>
  <c r="J29" i="154"/>
  <c r="W29" i="154" s="1"/>
  <c r="J28" i="154"/>
  <c r="W28" i="154" s="1"/>
  <c r="J27" i="154"/>
  <c r="W27" i="154" s="1"/>
  <c r="J26" i="154"/>
  <c r="V26" i="154" s="1"/>
  <c r="J25" i="154"/>
  <c r="V25" i="154" s="1"/>
  <c r="J24" i="154"/>
  <c r="W24" i="154" s="1"/>
  <c r="J23" i="154"/>
  <c r="J22" i="154"/>
  <c r="V22" i="154" s="1"/>
  <c r="J21" i="154"/>
  <c r="W21" i="154" s="1"/>
  <c r="J20" i="154"/>
  <c r="W20" i="154" s="1"/>
  <c r="J19" i="154"/>
  <c r="V19" i="154" s="1"/>
  <c r="J18" i="154"/>
  <c r="W18" i="154" s="1"/>
  <c r="J17" i="154"/>
  <c r="W17" i="154" s="1"/>
  <c r="J16" i="154"/>
  <c r="J15" i="154"/>
  <c r="N14" i="154"/>
  <c r="J14" i="154"/>
  <c r="W14" i="154" s="1"/>
  <c r="J13" i="154"/>
  <c r="W13" i="154" s="1"/>
  <c r="N12" i="154"/>
  <c r="J12" i="154"/>
  <c r="W12" i="154" s="1"/>
  <c r="J11" i="154"/>
  <c r="N10" i="154"/>
  <c r="J10" i="154"/>
  <c r="W10" i="154" s="1"/>
  <c r="J9" i="154"/>
  <c r="W9" i="154" s="1"/>
  <c r="N8" i="154"/>
  <c r="J8" i="154"/>
  <c r="V8" i="154" s="1"/>
  <c r="J7" i="154"/>
  <c r="V7" i="154" s="1"/>
  <c r="N6" i="154"/>
  <c r="J6" i="154"/>
  <c r="N4" i="154"/>
  <c r="H127" i="153"/>
  <c r="H90" i="153"/>
  <c r="H87" i="153"/>
  <c r="H86" i="153"/>
  <c r="H36" i="153"/>
  <c r="H35" i="153"/>
  <c r="H32" i="153"/>
  <c r="V114" i="154" l="1"/>
  <c r="W114" i="154"/>
  <c r="V39" i="154"/>
  <c r="W51" i="154"/>
  <c r="W115" i="154"/>
  <c r="V193" i="154"/>
  <c r="V198" i="154"/>
  <c r="V200" i="154"/>
  <c r="V226" i="154"/>
  <c r="V231" i="154"/>
  <c r="V233" i="154"/>
  <c r="W8" i="154"/>
  <c r="W84" i="154"/>
  <c r="W103" i="154"/>
  <c r="V192" i="154"/>
  <c r="V225" i="154"/>
  <c r="W214" i="154"/>
  <c r="V217" i="154"/>
  <c r="W189" i="154"/>
  <c r="W99" i="154"/>
  <c r="W168" i="154"/>
  <c r="V164" i="154"/>
  <c r="V166" i="154"/>
  <c r="W171" i="154"/>
  <c r="V170" i="154"/>
  <c r="V129" i="154"/>
  <c r="W95" i="154"/>
  <c r="V40" i="154"/>
  <c r="V44" i="154"/>
  <c r="V46" i="154"/>
  <c r="W48" i="154"/>
  <c r="V92" i="154"/>
  <c r="V91" i="154"/>
  <c r="V96" i="154"/>
  <c r="V100" i="154"/>
  <c r="V94" i="154"/>
  <c r="V130" i="154"/>
  <c r="W136" i="154"/>
  <c r="V140" i="154"/>
  <c r="V29" i="154"/>
  <c r="W26" i="154"/>
  <c r="W80" i="154"/>
  <c r="V121" i="154"/>
  <c r="W77" i="154"/>
  <c r="V75" i="154"/>
  <c r="W74" i="154"/>
  <c r="W119" i="154"/>
  <c r="W155" i="154"/>
  <c r="V118" i="154"/>
  <c r="V73" i="154"/>
  <c r="W70" i="154"/>
  <c r="V69" i="154"/>
  <c r="V213" i="154"/>
  <c r="V216" i="154"/>
  <c r="V215" i="154"/>
  <c r="V212" i="154"/>
  <c r="V186" i="154"/>
  <c r="V188" i="154"/>
  <c r="V185" i="154"/>
  <c r="W66" i="154"/>
  <c r="V64" i="154"/>
  <c r="W151" i="154"/>
  <c r="V61" i="154"/>
  <c r="V150" i="154"/>
  <c r="V158" i="154"/>
  <c r="V152" i="154"/>
  <c r="V154" i="154"/>
  <c r="V157" i="154"/>
  <c r="W163" i="154"/>
  <c r="V162" i="154"/>
  <c r="V120" i="154"/>
  <c r="V126" i="154"/>
  <c r="N16" i="154"/>
  <c r="V125" i="154"/>
  <c r="V79" i="154"/>
  <c r="W82" i="154"/>
  <c r="V90" i="154"/>
  <c r="V81" i="154"/>
  <c r="W86" i="154"/>
  <c r="V89" i="154"/>
  <c r="V28" i="154"/>
  <c r="V34" i="154"/>
  <c r="V21" i="154"/>
  <c r="W22" i="154"/>
  <c r="V27" i="154"/>
  <c r="V33" i="154"/>
  <c r="V16" i="154"/>
  <c r="W16" i="154"/>
  <c r="V23" i="154"/>
  <c r="W23" i="154"/>
  <c r="V36" i="154"/>
  <c r="W36" i="154"/>
  <c r="W62" i="154"/>
  <c r="V62" i="154"/>
  <c r="W11" i="154"/>
  <c r="V11" i="154"/>
  <c r="W15" i="154"/>
  <c r="V15" i="154"/>
  <c r="V35" i="154"/>
  <c r="W35" i="154"/>
  <c r="J52" i="154"/>
  <c r="J104" i="154"/>
  <c r="V60" i="154"/>
  <c r="W181" i="154"/>
  <c r="V181" i="154"/>
  <c r="W191" i="154"/>
  <c r="V191" i="154"/>
  <c r="W232" i="154"/>
  <c r="V232" i="154"/>
  <c r="V6" i="154"/>
  <c r="V12" i="154"/>
  <c r="V13" i="154"/>
  <c r="V20" i="154"/>
  <c r="V31" i="154"/>
  <c r="V38" i="154"/>
  <c r="W60" i="154"/>
  <c r="V63" i="154"/>
  <c r="W78" i="154"/>
  <c r="V78" i="154"/>
  <c r="W83" i="154"/>
  <c r="W87" i="154"/>
  <c r="V113" i="154"/>
  <c r="V124" i="154"/>
  <c r="W127" i="154"/>
  <c r="W149" i="154"/>
  <c r="J172" i="154"/>
  <c r="V149" i="154"/>
  <c r="W160" i="154"/>
  <c r="V160" i="154"/>
  <c r="W169" i="154"/>
  <c r="V169" i="154"/>
  <c r="W182" i="154"/>
  <c r="V182" i="154"/>
  <c r="W195" i="154"/>
  <c r="V195" i="154"/>
  <c r="J234" i="154"/>
  <c r="W211" i="154"/>
  <c r="V211" i="154"/>
  <c r="W220" i="154"/>
  <c r="V220" i="154"/>
  <c r="W6" i="154"/>
  <c r="W7" i="154"/>
  <c r="V9" i="154"/>
  <c r="V10" i="154"/>
  <c r="V14" i="154"/>
  <c r="V17" i="154"/>
  <c r="V18" i="154"/>
  <c r="W19" i="154"/>
  <c r="V24" i="154"/>
  <c r="W25" i="154"/>
  <c r="V30" i="154"/>
  <c r="W32" i="154"/>
  <c r="V37" i="154"/>
  <c r="V41" i="154"/>
  <c r="W42" i="154"/>
  <c r="W45" i="154"/>
  <c r="V47" i="154"/>
  <c r="V50" i="154"/>
  <c r="V65" i="154"/>
  <c r="V72" i="154"/>
  <c r="W76" i="154"/>
  <c r="W88" i="154"/>
  <c r="V88" i="154"/>
  <c r="W93" i="154"/>
  <c r="V93" i="154"/>
  <c r="V102" i="154"/>
  <c r="V117" i="154"/>
  <c r="W122" i="154"/>
  <c r="W128" i="154"/>
  <c r="V128" i="154"/>
  <c r="W153" i="154"/>
  <c r="V153" i="154"/>
  <c r="W183" i="154"/>
  <c r="V183" i="154"/>
  <c r="W199" i="154"/>
  <c r="V199" i="154"/>
  <c r="W224" i="154"/>
  <c r="V224" i="154"/>
  <c r="W71" i="154"/>
  <c r="V71" i="154"/>
  <c r="W101" i="154"/>
  <c r="V101" i="154"/>
  <c r="W116" i="154"/>
  <c r="V116" i="154"/>
  <c r="W165" i="154"/>
  <c r="V165" i="154"/>
  <c r="V68" i="154"/>
  <c r="W85" i="154"/>
  <c r="V98" i="154"/>
  <c r="W67" i="154"/>
  <c r="V67" i="154"/>
  <c r="W97" i="154"/>
  <c r="V97" i="154"/>
  <c r="W112" i="154"/>
  <c r="J141" i="154"/>
  <c r="V112" i="154"/>
  <c r="W123" i="154"/>
  <c r="V123" i="154"/>
  <c r="W138" i="154"/>
  <c r="V138" i="154"/>
  <c r="W159" i="154"/>
  <c r="V159" i="154"/>
  <c r="W161" i="154"/>
  <c r="V161" i="154"/>
  <c r="W180" i="154"/>
  <c r="V180" i="154"/>
  <c r="W187" i="154"/>
  <c r="V187" i="154"/>
  <c r="J203" i="154"/>
  <c r="W228" i="154"/>
  <c r="V228" i="154"/>
  <c r="H218" i="153"/>
  <c r="H217" i="153"/>
  <c r="H216" i="153"/>
  <c r="H161" i="153"/>
  <c r="H160" i="153"/>
  <c r="H122" i="153"/>
  <c r="H85" i="153"/>
  <c r="H84" i="153"/>
  <c r="H83" i="153"/>
  <c r="H82" i="153"/>
  <c r="H28" i="153"/>
  <c r="H27" i="153"/>
  <c r="V234" i="154" l="1"/>
  <c r="O14" i="154" s="1"/>
  <c r="W203" i="154"/>
  <c r="P12" i="154" s="1"/>
  <c r="W52" i="154"/>
  <c r="P4" i="154" s="1"/>
  <c r="R14" i="154"/>
  <c r="V141" i="154"/>
  <c r="O8" i="154" s="1"/>
  <c r="R8" i="154" s="1"/>
  <c r="W104" i="154"/>
  <c r="P6" i="154" s="1"/>
  <c r="V52" i="154"/>
  <c r="O4" i="154" s="1"/>
  <c r="W234" i="154"/>
  <c r="P14" i="154" s="1"/>
  <c r="Q14" i="154" s="1"/>
  <c r="W172" i="154"/>
  <c r="P10" i="154" s="1"/>
  <c r="V203" i="154"/>
  <c r="O12" i="154" s="1"/>
  <c r="R12" i="154" s="1"/>
  <c r="W141" i="154"/>
  <c r="V172" i="154"/>
  <c r="O10" i="154" s="1"/>
  <c r="V104" i="154"/>
  <c r="O6" i="154" s="1"/>
  <c r="R6" i="154" s="1"/>
  <c r="N14" i="153"/>
  <c r="N12" i="153"/>
  <c r="H23" i="153"/>
  <c r="H20" i="153"/>
  <c r="J20" i="153" s="1"/>
  <c r="V20" i="153" s="1"/>
  <c r="H77" i="153"/>
  <c r="H76" i="153"/>
  <c r="H120" i="153"/>
  <c r="J120" i="153" s="1"/>
  <c r="H157" i="153"/>
  <c r="H74" i="153"/>
  <c r="H119" i="153"/>
  <c r="J119" i="153" s="1"/>
  <c r="W119" i="153" s="1"/>
  <c r="H156" i="153"/>
  <c r="J156" i="153" s="1"/>
  <c r="H215" i="153"/>
  <c r="H16" i="153"/>
  <c r="J16" i="153" s="1"/>
  <c r="W16" i="153" s="1"/>
  <c r="H15" i="153"/>
  <c r="J15" i="153" s="1"/>
  <c r="V15" i="153" s="1"/>
  <c r="H14" i="153"/>
  <c r="H182" i="153"/>
  <c r="J182" i="153" s="1"/>
  <c r="H213" i="153"/>
  <c r="J213" i="153" s="1"/>
  <c r="H13" i="153"/>
  <c r="J13" i="153" s="1"/>
  <c r="W13" i="153" s="1"/>
  <c r="H64" i="153"/>
  <c r="J64" i="153" s="1"/>
  <c r="V64" i="153" s="1"/>
  <c r="H11" i="153"/>
  <c r="H63" i="153"/>
  <c r="H62" i="153"/>
  <c r="J62" i="153" s="1"/>
  <c r="V62" i="153" s="1"/>
  <c r="H181" i="153"/>
  <c r="H211" i="153"/>
  <c r="H180" i="153"/>
  <c r="J180" i="153" s="1"/>
  <c r="H7" i="153"/>
  <c r="J7" i="153" s="1"/>
  <c r="V7" i="153" s="1"/>
  <c r="J233" i="153"/>
  <c r="J232" i="153"/>
  <c r="J231" i="153"/>
  <c r="J230" i="153"/>
  <c r="J229" i="153"/>
  <c r="J228" i="153"/>
  <c r="J227" i="153"/>
  <c r="J226" i="153"/>
  <c r="J225" i="153"/>
  <c r="J224" i="153"/>
  <c r="J223" i="153"/>
  <c r="J222" i="153"/>
  <c r="J221" i="153"/>
  <c r="J220" i="153"/>
  <c r="J219" i="153"/>
  <c r="J218" i="153"/>
  <c r="J217" i="153"/>
  <c r="J216" i="153"/>
  <c r="J215" i="153"/>
  <c r="J214" i="153"/>
  <c r="J212" i="153"/>
  <c r="J211" i="153"/>
  <c r="J202" i="153"/>
  <c r="J201" i="153"/>
  <c r="J200" i="153"/>
  <c r="J199" i="153"/>
  <c r="J198" i="153"/>
  <c r="J197" i="153"/>
  <c r="J196" i="153"/>
  <c r="J195" i="153"/>
  <c r="J194" i="153"/>
  <c r="J193" i="153"/>
  <c r="J192" i="153"/>
  <c r="J191" i="153"/>
  <c r="J190" i="153"/>
  <c r="J189" i="153"/>
  <c r="J188" i="153"/>
  <c r="J187" i="153"/>
  <c r="J186" i="153"/>
  <c r="J185" i="153"/>
  <c r="J184" i="153"/>
  <c r="J183" i="153"/>
  <c r="J181" i="153"/>
  <c r="V171" i="153"/>
  <c r="J171" i="153"/>
  <c r="W171" i="153" s="1"/>
  <c r="J170" i="153"/>
  <c r="V170" i="153" s="1"/>
  <c r="J169" i="153"/>
  <c r="V169" i="153" s="1"/>
  <c r="J168" i="153"/>
  <c r="J167" i="153"/>
  <c r="V167" i="153" s="1"/>
  <c r="J166" i="153"/>
  <c r="V166" i="153" s="1"/>
  <c r="J165" i="153"/>
  <c r="W165" i="153" s="1"/>
  <c r="J164" i="153"/>
  <c r="V164" i="153" s="1"/>
  <c r="J163" i="153"/>
  <c r="J162" i="153"/>
  <c r="V162" i="153" s="1"/>
  <c r="J161" i="153"/>
  <c r="V161" i="153" s="1"/>
  <c r="J160" i="153"/>
  <c r="V160" i="153" s="1"/>
  <c r="J159" i="153"/>
  <c r="W159" i="153" s="1"/>
  <c r="J158" i="153"/>
  <c r="J157" i="153"/>
  <c r="V157" i="153" s="1"/>
  <c r="J155" i="153"/>
  <c r="W155" i="153" s="1"/>
  <c r="J154" i="153"/>
  <c r="J153" i="153"/>
  <c r="J152" i="153"/>
  <c r="J151" i="153"/>
  <c r="J150" i="153"/>
  <c r="V150" i="153" s="1"/>
  <c r="J149" i="153"/>
  <c r="J140" i="153"/>
  <c r="J139" i="153"/>
  <c r="V139" i="153" s="1"/>
  <c r="J138" i="153"/>
  <c r="V138" i="153" s="1"/>
  <c r="J137" i="153"/>
  <c r="W137" i="153" s="1"/>
  <c r="J136" i="153"/>
  <c r="J135" i="153"/>
  <c r="J134" i="153"/>
  <c r="J133" i="153"/>
  <c r="J132" i="153"/>
  <c r="J131" i="153"/>
  <c r="J130" i="153"/>
  <c r="J129" i="153"/>
  <c r="V129" i="153" s="1"/>
  <c r="J128" i="153"/>
  <c r="V128" i="153" s="1"/>
  <c r="J127" i="153"/>
  <c r="W127" i="153" s="1"/>
  <c r="J126" i="153"/>
  <c r="J125" i="153"/>
  <c r="J124" i="153"/>
  <c r="V124" i="153" s="1"/>
  <c r="J123" i="153"/>
  <c r="V123" i="153" s="1"/>
  <c r="J122" i="153"/>
  <c r="W122" i="153" s="1"/>
  <c r="J121" i="153"/>
  <c r="W121" i="153" s="1"/>
  <c r="J118" i="153"/>
  <c r="V118" i="153" s="1"/>
  <c r="J117" i="153"/>
  <c r="W117" i="153" s="1"/>
  <c r="J116" i="153"/>
  <c r="J115" i="153"/>
  <c r="W115" i="153" s="1"/>
  <c r="J114" i="153"/>
  <c r="V114" i="153" s="1"/>
  <c r="J113" i="153"/>
  <c r="V113" i="153" s="1"/>
  <c r="J112" i="153"/>
  <c r="J103" i="153"/>
  <c r="J102" i="153"/>
  <c r="V102" i="153" s="1"/>
  <c r="J101" i="153"/>
  <c r="V101" i="153" s="1"/>
  <c r="J100" i="153"/>
  <c r="V100" i="153" s="1"/>
  <c r="J99" i="153"/>
  <c r="W99" i="153" s="1"/>
  <c r="J98" i="153"/>
  <c r="J97" i="153"/>
  <c r="J96" i="153"/>
  <c r="J95" i="153"/>
  <c r="V95" i="153" s="1"/>
  <c r="J94" i="153"/>
  <c r="V94" i="153" s="1"/>
  <c r="J93" i="153"/>
  <c r="W93" i="153" s="1"/>
  <c r="J92" i="153"/>
  <c r="W92" i="153" s="1"/>
  <c r="J91" i="153"/>
  <c r="V91" i="153" s="1"/>
  <c r="J90" i="153"/>
  <c r="W90" i="153" s="1"/>
  <c r="J89" i="153"/>
  <c r="W89" i="153" s="1"/>
  <c r="J88" i="153"/>
  <c r="V88" i="153" s="1"/>
  <c r="J87" i="153"/>
  <c r="V87" i="153" s="1"/>
  <c r="J86" i="153"/>
  <c r="W86" i="153" s="1"/>
  <c r="J85" i="153"/>
  <c r="V85" i="153" s="1"/>
  <c r="J84" i="153"/>
  <c r="W84" i="153" s="1"/>
  <c r="J83" i="153"/>
  <c r="W83" i="153" s="1"/>
  <c r="J82" i="153"/>
  <c r="V82" i="153" s="1"/>
  <c r="J81" i="153"/>
  <c r="W81" i="153" s="1"/>
  <c r="J80" i="153"/>
  <c r="V80" i="153" s="1"/>
  <c r="J79" i="153"/>
  <c r="W79" i="153" s="1"/>
  <c r="J78" i="153"/>
  <c r="V78" i="153" s="1"/>
  <c r="J77" i="153"/>
  <c r="V77" i="153" s="1"/>
  <c r="J76" i="153"/>
  <c r="W76" i="153" s="1"/>
  <c r="J75" i="153"/>
  <c r="W75" i="153" s="1"/>
  <c r="J74" i="153"/>
  <c r="V74" i="153" s="1"/>
  <c r="J73" i="153"/>
  <c r="V73" i="153" s="1"/>
  <c r="V72" i="153"/>
  <c r="J72" i="153"/>
  <c r="W72" i="153" s="1"/>
  <c r="J71" i="153"/>
  <c r="V71" i="153" s="1"/>
  <c r="J70" i="153"/>
  <c r="V70" i="153" s="1"/>
  <c r="J69" i="153"/>
  <c r="V69" i="153" s="1"/>
  <c r="J68" i="153"/>
  <c r="W68" i="153" s="1"/>
  <c r="J67" i="153"/>
  <c r="V67" i="153" s="1"/>
  <c r="J66" i="153"/>
  <c r="W66" i="153" s="1"/>
  <c r="J65" i="153"/>
  <c r="W65" i="153" s="1"/>
  <c r="J63" i="153"/>
  <c r="W63" i="153" s="1"/>
  <c r="J61" i="153"/>
  <c r="W61" i="153" s="1"/>
  <c r="J60" i="153"/>
  <c r="W60" i="153" s="1"/>
  <c r="J51" i="153"/>
  <c r="W51" i="153" s="1"/>
  <c r="J50" i="153"/>
  <c r="V50" i="153" s="1"/>
  <c r="J49" i="153"/>
  <c r="W49" i="153" s="1"/>
  <c r="J48" i="153"/>
  <c r="V48" i="153" s="1"/>
  <c r="J47" i="153"/>
  <c r="V47" i="153" s="1"/>
  <c r="J46" i="153"/>
  <c r="V46" i="153" s="1"/>
  <c r="J45" i="153"/>
  <c r="V45" i="153" s="1"/>
  <c r="J44" i="153"/>
  <c r="V44" i="153" s="1"/>
  <c r="J43" i="153"/>
  <c r="W43" i="153" s="1"/>
  <c r="J42" i="153"/>
  <c r="V42" i="153" s="1"/>
  <c r="J41" i="153"/>
  <c r="W41" i="153" s="1"/>
  <c r="J40" i="153"/>
  <c r="V40" i="153" s="1"/>
  <c r="J39" i="153"/>
  <c r="V39" i="153" s="1"/>
  <c r="J38" i="153"/>
  <c r="W38" i="153" s="1"/>
  <c r="J37" i="153"/>
  <c r="W37" i="153" s="1"/>
  <c r="J36" i="153"/>
  <c r="V36" i="153" s="1"/>
  <c r="J35" i="153"/>
  <c r="W35" i="153" s="1"/>
  <c r="J34" i="153"/>
  <c r="W34" i="153" s="1"/>
  <c r="J33" i="153"/>
  <c r="V33" i="153" s="1"/>
  <c r="J32" i="153"/>
  <c r="V32" i="153" s="1"/>
  <c r="J31" i="153"/>
  <c r="V31" i="153" s="1"/>
  <c r="J30" i="153"/>
  <c r="V30" i="153" s="1"/>
  <c r="J29" i="153"/>
  <c r="W29" i="153" s="1"/>
  <c r="J28" i="153"/>
  <c r="V28" i="153" s="1"/>
  <c r="J27" i="153"/>
  <c r="W27" i="153" s="1"/>
  <c r="J26" i="153"/>
  <c r="V26" i="153" s="1"/>
  <c r="J25" i="153"/>
  <c r="W25" i="153" s="1"/>
  <c r="J24" i="153"/>
  <c r="V24" i="153" s="1"/>
  <c r="J23" i="153"/>
  <c r="W23" i="153" s="1"/>
  <c r="J22" i="153"/>
  <c r="V22" i="153" s="1"/>
  <c r="J21" i="153"/>
  <c r="W21" i="153" s="1"/>
  <c r="J19" i="153"/>
  <c r="V19" i="153" s="1"/>
  <c r="J18" i="153"/>
  <c r="W18" i="153" s="1"/>
  <c r="J17" i="153"/>
  <c r="V17" i="153" s="1"/>
  <c r="J14" i="153"/>
  <c r="W14" i="153" s="1"/>
  <c r="J12" i="153"/>
  <c r="V12" i="153" s="1"/>
  <c r="J11" i="153"/>
  <c r="W11" i="153" s="1"/>
  <c r="N10" i="153"/>
  <c r="J10" i="153"/>
  <c r="V10" i="153" s="1"/>
  <c r="J9" i="153"/>
  <c r="W9" i="153" s="1"/>
  <c r="N8" i="153"/>
  <c r="J8" i="153"/>
  <c r="V8" i="153" s="1"/>
  <c r="N6" i="153"/>
  <c r="J6" i="153"/>
  <c r="W6" i="153" s="1"/>
  <c r="N4" i="153"/>
  <c r="H48" i="152"/>
  <c r="H47" i="152"/>
  <c r="H46" i="152"/>
  <c r="H45" i="152"/>
  <c r="H40" i="152"/>
  <c r="J102" i="152"/>
  <c r="V102" i="152" s="1"/>
  <c r="H101" i="152"/>
  <c r="H97" i="152"/>
  <c r="H96" i="152"/>
  <c r="V156" i="153" l="1"/>
  <c r="W156" i="153"/>
  <c r="W180" i="153"/>
  <c r="V180" i="153"/>
  <c r="V213" i="153"/>
  <c r="W213" i="153"/>
  <c r="W182" i="153"/>
  <c r="V182" i="153"/>
  <c r="V181" i="153"/>
  <c r="W181" i="153"/>
  <c r="V185" i="153"/>
  <c r="W185" i="153"/>
  <c r="V51" i="153"/>
  <c r="W190" i="153"/>
  <c r="V190" i="153"/>
  <c r="W214" i="153"/>
  <c r="V214" i="153"/>
  <c r="V183" i="153"/>
  <c r="W183" i="153"/>
  <c r="V211" i="153"/>
  <c r="W211" i="153"/>
  <c r="V215" i="153"/>
  <c r="W215" i="153"/>
  <c r="W184" i="153"/>
  <c r="V184" i="153"/>
  <c r="W212" i="153"/>
  <c r="V212" i="153"/>
  <c r="P16" i="154"/>
  <c r="O16" i="154"/>
  <c r="R16" i="154" s="1"/>
  <c r="P18" i="154" s="1"/>
  <c r="R4" i="154"/>
  <c r="Q4" i="154"/>
  <c r="R10" i="154"/>
  <c r="Q10" i="154"/>
  <c r="W228" i="153"/>
  <c r="V228" i="153"/>
  <c r="W221" i="153"/>
  <c r="V221" i="153"/>
  <c r="W225" i="153"/>
  <c r="V225" i="153"/>
  <c r="W229" i="153"/>
  <c r="V229" i="153"/>
  <c r="W233" i="153"/>
  <c r="V233" i="153"/>
  <c r="W222" i="153"/>
  <c r="V222" i="153"/>
  <c r="W226" i="153"/>
  <c r="V226" i="153"/>
  <c r="W230" i="153"/>
  <c r="V230" i="153"/>
  <c r="W220" i="153"/>
  <c r="V220" i="153"/>
  <c r="W224" i="153"/>
  <c r="V224" i="153"/>
  <c r="W232" i="153"/>
  <c r="V232" i="153"/>
  <c r="W219" i="153"/>
  <c r="V219" i="153"/>
  <c r="W223" i="153"/>
  <c r="V223" i="153"/>
  <c r="W227" i="153"/>
  <c r="V227" i="153"/>
  <c r="W231" i="153"/>
  <c r="V231" i="153"/>
  <c r="W193" i="153"/>
  <c r="V193" i="153"/>
  <c r="W197" i="153"/>
  <c r="V197" i="153"/>
  <c r="W201" i="153"/>
  <c r="V201" i="153"/>
  <c r="W194" i="153"/>
  <c r="V194" i="153"/>
  <c r="W198" i="153"/>
  <c r="V198" i="153"/>
  <c r="W202" i="153"/>
  <c r="V202" i="153"/>
  <c r="W191" i="153"/>
  <c r="V191" i="153"/>
  <c r="W195" i="153"/>
  <c r="V195" i="153"/>
  <c r="W199" i="153"/>
  <c r="V199" i="153"/>
  <c r="W192" i="153"/>
  <c r="V192" i="153"/>
  <c r="W196" i="153"/>
  <c r="V196" i="153"/>
  <c r="W200" i="153"/>
  <c r="V200" i="153"/>
  <c r="W189" i="153"/>
  <c r="V189" i="153"/>
  <c r="W164" i="153"/>
  <c r="W128" i="153"/>
  <c r="V218" i="153"/>
  <c r="W218" i="153"/>
  <c r="W217" i="153"/>
  <c r="V217" i="153"/>
  <c r="W216" i="153"/>
  <c r="V216" i="153"/>
  <c r="V188" i="153"/>
  <c r="W188" i="153"/>
  <c r="V187" i="153"/>
  <c r="W187" i="153"/>
  <c r="V186" i="153"/>
  <c r="W186" i="153"/>
  <c r="V159" i="153"/>
  <c r="W169" i="153"/>
  <c r="W94" i="153"/>
  <c r="W78" i="153"/>
  <c r="V38" i="153"/>
  <c r="V41" i="153"/>
  <c r="W36" i="153"/>
  <c r="W82" i="153"/>
  <c r="V89" i="153"/>
  <c r="V92" i="153"/>
  <c r="W138" i="153"/>
  <c r="W80" i="153"/>
  <c r="V115" i="153"/>
  <c r="V137" i="153"/>
  <c r="W170" i="153"/>
  <c r="W166" i="153"/>
  <c r="V23" i="153"/>
  <c r="V75" i="153"/>
  <c r="V65" i="153"/>
  <c r="V11" i="153"/>
  <c r="V9" i="153"/>
  <c r="V63" i="153"/>
  <c r="W113" i="153"/>
  <c r="J203" i="153"/>
  <c r="V61" i="153"/>
  <c r="J234" i="153"/>
  <c r="J172" i="153"/>
  <c r="V155" i="153"/>
  <c r="W149" i="153"/>
  <c r="W160" i="153"/>
  <c r="J141" i="153"/>
  <c r="W118" i="153"/>
  <c r="W123" i="153"/>
  <c r="W112" i="153"/>
  <c r="W114" i="153"/>
  <c r="V121" i="153"/>
  <c r="V127" i="153"/>
  <c r="V117" i="153"/>
  <c r="V119" i="153"/>
  <c r="W71" i="153"/>
  <c r="W100" i="153"/>
  <c r="W62" i="153"/>
  <c r="W64" i="153"/>
  <c r="V66" i="153"/>
  <c r="V79" i="153"/>
  <c r="V81" i="153"/>
  <c r="V83" i="153"/>
  <c r="W91" i="153"/>
  <c r="V93" i="153"/>
  <c r="V99" i="153"/>
  <c r="V68" i="153"/>
  <c r="W73" i="153"/>
  <c r="V86" i="153"/>
  <c r="W45" i="153"/>
  <c r="V43" i="153"/>
  <c r="V49" i="153"/>
  <c r="W31" i="153"/>
  <c r="V29" i="153"/>
  <c r="V37" i="153"/>
  <c r="V34" i="153"/>
  <c r="V27" i="153"/>
  <c r="N16" i="153"/>
  <c r="V14" i="153"/>
  <c r="V25" i="153"/>
  <c r="W8" i="153"/>
  <c r="V13" i="153"/>
  <c r="V18" i="153"/>
  <c r="V21" i="153"/>
  <c r="V16" i="153"/>
  <c r="W12" i="153"/>
  <c r="J52" i="153"/>
  <c r="V96" i="153"/>
  <c r="W96" i="153"/>
  <c r="W42" i="153"/>
  <c r="W44" i="153"/>
  <c r="W48" i="153"/>
  <c r="W50" i="153"/>
  <c r="W70" i="153"/>
  <c r="V84" i="153"/>
  <c r="V97" i="153"/>
  <c r="W97" i="153"/>
  <c r="W101" i="153"/>
  <c r="W130" i="153"/>
  <c r="V130" i="153"/>
  <c r="W154" i="153"/>
  <c r="V154" i="153"/>
  <c r="W7" i="153"/>
  <c r="W15" i="153"/>
  <c r="W17" i="153"/>
  <c r="W19" i="153"/>
  <c r="W33" i="153"/>
  <c r="V35" i="153"/>
  <c r="W39" i="153"/>
  <c r="W47" i="153"/>
  <c r="W67" i="153"/>
  <c r="W69" i="153"/>
  <c r="W88" i="153"/>
  <c r="V90" i="153"/>
  <c r="W98" i="153"/>
  <c r="V98" i="153"/>
  <c r="W120" i="153"/>
  <c r="V120" i="153"/>
  <c r="V122" i="153"/>
  <c r="V125" i="153"/>
  <c r="W125" i="153"/>
  <c r="W140" i="153"/>
  <c r="V140" i="153"/>
  <c r="V165" i="153"/>
  <c r="W168" i="153"/>
  <c r="V168" i="153"/>
  <c r="W158" i="153"/>
  <c r="V158" i="153"/>
  <c r="V6" i="153"/>
  <c r="W10" i="153"/>
  <c r="W20" i="153"/>
  <c r="W22" i="153"/>
  <c r="W24" i="153"/>
  <c r="W26" i="153"/>
  <c r="W28" i="153"/>
  <c r="W30" i="153"/>
  <c r="W40" i="153"/>
  <c r="W77" i="153"/>
  <c r="W152" i="153"/>
  <c r="V152" i="153"/>
  <c r="W163" i="153"/>
  <c r="V163" i="153"/>
  <c r="W32" i="153"/>
  <c r="W46" i="153"/>
  <c r="J104" i="153"/>
  <c r="V60" i="153"/>
  <c r="W74" i="153"/>
  <c r="V76" i="153"/>
  <c r="W85" i="153"/>
  <c r="W87" i="153"/>
  <c r="W103" i="153"/>
  <c r="V103" i="153"/>
  <c r="W116" i="153"/>
  <c r="V116" i="153"/>
  <c r="W126" i="153"/>
  <c r="V126" i="153"/>
  <c r="W136" i="153"/>
  <c r="V136" i="153"/>
  <c r="W151" i="153"/>
  <c r="V151" i="153"/>
  <c r="W153" i="153"/>
  <c r="V153" i="153"/>
  <c r="W161" i="153"/>
  <c r="W95" i="153"/>
  <c r="W102" i="153"/>
  <c r="V112" i="153"/>
  <c r="W124" i="153"/>
  <c r="W129" i="153"/>
  <c r="W139" i="153"/>
  <c r="V149" i="153"/>
  <c r="W150" i="153"/>
  <c r="W157" i="153"/>
  <c r="W162" i="153"/>
  <c r="W167" i="153"/>
  <c r="W102" i="152"/>
  <c r="H165" i="152"/>
  <c r="H93" i="152"/>
  <c r="J93" i="152" s="1"/>
  <c r="V93" i="152" s="1"/>
  <c r="H38" i="152"/>
  <c r="H90" i="152"/>
  <c r="J90" i="152" s="1"/>
  <c r="H125" i="152"/>
  <c r="H88" i="152"/>
  <c r="J88" i="152" s="1"/>
  <c r="V88" i="152" s="1"/>
  <c r="H35" i="152"/>
  <c r="J35" i="152" s="1"/>
  <c r="W35" i="152" s="1"/>
  <c r="H33" i="152"/>
  <c r="J33" i="152" s="1"/>
  <c r="V33" i="152" s="1"/>
  <c r="H32" i="152"/>
  <c r="H84" i="152"/>
  <c r="J84" i="152" s="1"/>
  <c r="W84" i="152" s="1"/>
  <c r="H31" i="152"/>
  <c r="J31" i="152" s="1"/>
  <c r="V31" i="152" s="1"/>
  <c r="H161" i="152"/>
  <c r="J161" i="152" s="1"/>
  <c r="W161" i="152" s="1"/>
  <c r="H122" i="152"/>
  <c r="H154" i="152"/>
  <c r="J154" i="152" s="1"/>
  <c r="W154" i="152" s="1"/>
  <c r="H153" i="152"/>
  <c r="J153" i="152" s="1"/>
  <c r="W153" i="152" s="1"/>
  <c r="H152" i="152"/>
  <c r="J152" i="152" s="1"/>
  <c r="V152" i="152" s="1"/>
  <c r="H114" i="152"/>
  <c r="H78" i="152"/>
  <c r="J78" i="152" s="1"/>
  <c r="W78" i="152" s="1"/>
  <c r="H76" i="152"/>
  <c r="H74" i="152"/>
  <c r="J74" i="152" s="1"/>
  <c r="V74" i="152" s="1"/>
  <c r="H113" i="152"/>
  <c r="H71" i="152"/>
  <c r="J71" i="152" s="1"/>
  <c r="V71" i="152" s="1"/>
  <c r="H70" i="152"/>
  <c r="J70" i="152" s="1"/>
  <c r="V70" i="152" s="1"/>
  <c r="H66" i="152"/>
  <c r="J66" i="152" s="1"/>
  <c r="W66" i="152" s="1"/>
  <c r="H60" i="152"/>
  <c r="H20" i="152"/>
  <c r="H12" i="152"/>
  <c r="H10" i="152"/>
  <c r="J10" i="152" s="1"/>
  <c r="H7" i="152"/>
  <c r="J171" i="152"/>
  <c r="V171" i="152" s="1"/>
  <c r="J170" i="152"/>
  <c r="V170" i="152" s="1"/>
  <c r="J169" i="152"/>
  <c r="V169" i="152" s="1"/>
  <c r="J168" i="152"/>
  <c r="W168" i="152" s="1"/>
  <c r="J167" i="152"/>
  <c r="J166" i="152"/>
  <c r="V166" i="152" s="1"/>
  <c r="J165" i="152"/>
  <c r="W165" i="152" s="1"/>
  <c r="J164" i="152"/>
  <c r="W164" i="152" s="1"/>
  <c r="J163" i="152"/>
  <c r="W163" i="152" s="1"/>
  <c r="J162" i="152"/>
  <c r="W162" i="152" s="1"/>
  <c r="J160" i="152"/>
  <c r="W160" i="152" s="1"/>
  <c r="J159" i="152"/>
  <c r="W159" i="152" s="1"/>
  <c r="J158" i="152"/>
  <c r="W158" i="152" s="1"/>
  <c r="J157" i="152"/>
  <c r="W157" i="152" s="1"/>
  <c r="J156" i="152"/>
  <c r="V156" i="152" s="1"/>
  <c r="J155" i="152"/>
  <c r="W155" i="152" s="1"/>
  <c r="J151" i="152"/>
  <c r="W151" i="152" s="1"/>
  <c r="J150" i="152"/>
  <c r="W150" i="152" s="1"/>
  <c r="J149" i="152"/>
  <c r="V149" i="152" s="1"/>
  <c r="J140" i="152"/>
  <c r="W140" i="152" s="1"/>
  <c r="J139" i="152"/>
  <c r="W139" i="152" s="1"/>
  <c r="J138" i="152"/>
  <c r="V138" i="152" s="1"/>
  <c r="J137" i="152"/>
  <c r="V137" i="152" s="1"/>
  <c r="J136" i="152"/>
  <c r="W136" i="152" s="1"/>
  <c r="J135" i="152"/>
  <c r="J134" i="152"/>
  <c r="J133" i="152"/>
  <c r="J132" i="152"/>
  <c r="J131" i="152"/>
  <c r="J130" i="152"/>
  <c r="W130" i="152" s="1"/>
  <c r="J129" i="152"/>
  <c r="J128" i="152"/>
  <c r="W128" i="152" s="1"/>
  <c r="J127" i="152"/>
  <c r="V127" i="152" s="1"/>
  <c r="J126" i="152"/>
  <c r="V126" i="152" s="1"/>
  <c r="J125" i="152"/>
  <c r="W125" i="152" s="1"/>
  <c r="J124" i="152"/>
  <c r="W124" i="152" s="1"/>
  <c r="J123" i="152"/>
  <c r="W123" i="152" s="1"/>
  <c r="J122" i="152"/>
  <c r="W122" i="152" s="1"/>
  <c r="J121" i="152"/>
  <c r="W121" i="152" s="1"/>
  <c r="J120" i="152"/>
  <c r="W120" i="152" s="1"/>
  <c r="J119" i="152"/>
  <c r="V119" i="152" s="1"/>
  <c r="J118" i="152"/>
  <c r="V118" i="152" s="1"/>
  <c r="J117" i="152"/>
  <c r="W117" i="152" s="1"/>
  <c r="J116" i="152"/>
  <c r="W116" i="152" s="1"/>
  <c r="J115" i="152"/>
  <c r="V115" i="152" s="1"/>
  <c r="J114" i="152"/>
  <c r="V114" i="152" s="1"/>
  <c r="J113" i="152"/>
  <c r="V113" i="152" s="1"/>
  <c r="J112" i="152"/>
  <c r="W112" i="152" s="1"/>
  <c r="J103" i="152"/>
  <c r="W103" i="152" s="1"/>
  <c r="J101" i="152"/>
  <c r="V101" i="152" s="1"/>
  <c r="J100" i="152"/>
  <c r="V100" i="152" s="1"/>
  <c r="J99" i="152"/>
  <c r="W99" i="152" s="1"/>
  <c r="J98" i="152"/>
  <c r="W98" i="152" s="1"/>
  <c r="J97" i="152"/>
  <c r="J96" i="152"/>
  <c r="W96" i="152" s="1"/>
  <c r="J95" i="152"/>
  <c r="V95" i="152" s="1"/>
  <c r="J94" i="152"/>
  <c r="W94" i="152" s="1"/>
  <c r="J92" i="152"/>
  <c r="W92" i="152" s="1"/>
  <c r="J91" i="152"/>
  <c r="W91" i="152" s="1"/>
  <c r="J89" i="152"/>
  <c r="W89" i="152" s="1"/>
  <c r="J87" i="152"/>
  <c r="J86" i="152"/>
  <c r="V86" i="152" s="1"/>
  <c r="J85" i="152"/>
  <c r="V85" i="152" s="1"/>
  <c r="J83" i="152"/>
  <c r="W83" i="152" s="1"/>
  <c r="J82" i="152"/>
  <c r="V82" i="152" s="1"/>
  <c r="J81" i="152"/>
  <c r="W81" i="152" s="1"/>
  <c r="J80" i="152"/>
  <c r="V80" i="152" s="1"/>
  <c r="J79" i="152"/>
  <c r="V79" i="152" s="1"/>
  <c r="J77" i="152"/>
  <c r="W77" i="152" s="1"/>
  <c r="J76" i="152"/>
  <c r="J75" i="152"/>
  <c r="W75" i="152" s="1"/>
  <c r="J73" i="152"/>
  <c r="V73" i="152" s="1"/>
  <c r="J72" i="152"/>
  <c r="V72" i="152" s="1"/>
  <c r="J69" i="152"/>
  <c r="W69" i="152" s="1"/>
  <c r="J68" i="152"/>
  <c r="V68" i="152" s="1"/>
  <c r="J67" i="152"/>
  <c r="W67" i="152" s="1"/>
  <c r="J65" i="152"/>
  <c r="V65" i="152" s="1"/>
  <c r="J64" i="152"/>
  <c r="W64" i="152" s="1"/>
  <c r="J63" i="152"/>
  <c r="V63" i="152" s="1"/>
  <c r="J62" i="152"/>
  <c r="W62" i="152" s="1"/>
  <c r="J61" i="152"/>
  <c r="V61" i="152" s="1"/>
  <c r="W60" i="152"/>
  <c r="J60" i="152"/>
  <c r="V60" i="152" s="1"/>
  <c r="J51" i="152"/>
  <c r="W51" i="152" s="1"/>
  <c r="J50" i="152"/>
  <c r="V50" i="152" s="1"/>
  <c r="W49" i="152"/>
  <c r="V49" i="152"/>
  <c r="J49" i="152"/>
  <c r="J48" i="152"/>
  <c r="V48" i="152" s="1"/>
  <c r="J47" i="152"/>
  <c r="W47" i="152" s="1"/>
  <c r="J46" i="152"/>
  <c r="V46" i="152" s="1"/>
  <c r="J45" i="152"/>
  <c r="W45" i="152" s="1"/>
  <c r="J44" i="152"/>
  <c r="V44" i="152" s="1"/>
  <c r="J43" i="152"/>
  <c r="W43" i="152" s="1"/>
  <c r="J42" i="152"/>
  <c r="V42" i="152" s="1"/>
  <c r="J41" i="152"/>
  <c r="V41" i="152" s="1"/>
  <c r="J40" i="152"/>
  <c r="V40" i="152" s="1"/>
  <c r="J39" i="152"/>
  <c r="W39" i="152" s="1"/>
  <c r="J38" i="152"/>
  <c r="W38" i="152" s="1"/>
  <c r="J37" i="152"/>
  <c r="V37" i="152" s="1"/>
  <c r="J36" i="152"/>
  <c r="W36" i="152" s="1"/>
  <c r="J34" i="152"/>
  <c r="W34" i="152" s="1"/>
  <c r="J32" i="152"/>
  <c r="V32" i="152" s="1"/>
  <c r="J30" i="152"/>
  <c r="W30" i="152" s="1"/>
  <c r="J29" i="152"/>
  <c r="W29" i="152" s="1"/>
  <c r="J28" i="152"/>
  <c r="W28" i="152" s="1"/>
  <c r="J27" i="152"/>
  <c r="V27" i="152" s="1"/>
  <c r="J26" i="152"/>
  <c r="V26" i="152" s="1"/>
  <c r="J25" i="152"/>
  <c r="W25" i="152" s="1"/>
  <c r="J24" i="152"/>
  <c r="W24" i="152" s="1"/>
  <c r="J23" i="152"/>
  <c r="V23" i="152" s="1"/>
  <c r="J22" i="152"/>
  <c r="W22" i="152" s="1"/>
  <c r="J21" i="152"/>
  <c r="W21" i="152" s="1"/>
  <c r="J20" i="152"/>
  <c r="W20" i="152" s="1"/>
  <c r="J19" i="152"/>
  <c r="V19" i="152" s="1"/>
  <c r="J18" i="152"/>
  <c r="V18" i="152" s="1"/>
  <c r="J17" i="152"/>
  <c r="W17" i="152" s="1"/>
  <c r="J16" i="152"/>
  <c r="W16" i="152" s="1"/>
  <c r="J15" i="152"/>
  <c r="W15" i="152" s="1"/>
  <c r="J14" i="152"/>
  <c r="W14" i="152" s="1"/>
  <c r="J13" i="152"/>
  <c r="J12" i="152"/>
  <c r="W12" i="152" s="1"/>
  <c r="J11" i="152"/>
  <c r="W11" i="152" s="1"/>
  <c r="N10" i="152"/>
  <c r="J9" i="152"/>
  <c r="W9" i="152" s="1"/>
  <c r="N8" i="152"/>
  <c r="R8" i="152" s="1"/>
  <c r="J8" i="152"/>
  <c r="W8" i="152" s="1"/>
  <c r="J7" i="152"/>
  <c r="V7" i="152" s="1"/>
  <c r="N6" i="152"/>
  <c r="J6" i="152"/>
  <c r="W6" i="152" s="1"/>
  <c r="N4" i="152"/>
  <c r="H170" i="151"/>
  <c r="H163" i="151"/>
  <c r="H128" i="151"/>
  <c r="H98" i="151"/>
  <c r="H97" i="151"/>
  <c r="H94" i="151"/>
  <c r="H39" i="151"/>
  <c r="H162" i="151"/>
  <c r="H161" i="151"/>
  <c r="H160" i="151"/>
  <c r="H159" i="151"/>
  <c r="H158" i="151"/>
  <c r="H153" i="151"/>
  <c r="H152" i="151"/>
  <c r="H151" i="151"/>
  <c r="H125" i="151"/>
  <c r="H124" i="151"/>
  <c r="H122" i="151"/>
  <c r="H120" i="151"/>
  <c r="H114" i="151"/>
  <c r="H112" i="151"/>
  <c r="H92" i="151"/>
  <c r="H90" i="151"/>
  <c r="H88" i="151"/>
  <c r="H87" i="151"/>
  <c r="H84" i="151"/>
  <c r="W169" i="152" l="1"/>
  <c r="V234" i="153"/>
  <c r="O14" i="153" s="1"/>
  <c r="R14" i="153" s="1"/>
  <c r="Q16" i="154"/>
  <c r="V203" i="153"/>
  <c r="O12" i="153" s="1"/>
  <c r="R12" i="153" s="1"/>
  <c r="W203" i="153"/>
  <c r="P12" i="153" s="1"/>
  <c r="W234" i="153"/>
  <c r="P14" i="153" s="1"/>
  <c r="Q14" i="153" s="1"/>
  <c r="W172" i="153"/>
  <c r="P10" i="153" s="1"/>
  <c r="W141" i="153"/>
  <c r="W104" i="153"/>
  <c r="P6" i="153" s="1"/>
  <c r="V52" i="153"/>
  <c r="O4" i="153" s="1"/>
  <c r="R4" i="153" s="1"/>
  <c r="W52" i="153"/>
  <c r="P4" i="153" s="1"/>
  <c r="V172" i="153"/>
  <c r="O10" i="153" s="1"/>
  <c r="V141" i="153"/>
  <c r="O8" i="153" s="1"/>
  <c r="R8" i="153" s="1"/>
  <c r="V104" i="153"/>
  <c r="O6" i="153" s="1"/>
  <c r="R6" i="153" s="1"/>
  <c r="V103" i="152"/>
  <c r="W48" i="152"/>
  <c r="V92" i="152"/>
  <c r="V154" i="152"/>
  <c r="V165" i="152"/>
  <c r="W41" i="152"/>
  <c r="W113" i="152"/>
  <c r="W100" i="152"/>
  <c r="V99" i="152"/>
  <c r="V96" i="152"/>
  <c r="W137" i="152"/>
  <c r="V140" i="152"/>
  <c r="W138" i="152"/>
  <c r="W166" i="152"/>
  <c r="W93" i="152"/>
  <c r="W126" i="152"/>
  <c r="V125" i="152"/>
  <c r="V89" i="152"/>
  <c r="W32" i="152"/>
  <c r="W86" i="152"/>
  <c r="W85" i="152"/>
  <c r="W31" i="152"/>
  <c r="V153" i="152"/>
  <c r="W149" i="152"/>
  <c r="W119" i="152"/>
  <c r="V81" i="152"/>
  <c r="V77" i="152"/>
  <c r="W23" i="152"/>
  <c r="V22" i="152"/>
  <c r="V116" i="152"/>
  <c r="W118" i="152"/>
  <c r="V112" i="152"/>
  <c r="W71" i="152"/>
  <c r="W72" i="152"/>
  <c r="W63" i="152"/>
  <c r="V64" i="152"/>
  <c r="W18" i="152"/>
  <c r="W7" i="152"/>
  <c r="V151" i="152"/>
  <c r="W152" i="152"/>
  <c r="V155" i="152"/>
  <c r="V157" i="152"/>
  <c r="W170" i="152"/>
  <c r="V163" i="152"/>
  <c r="V121" i="152"/>
  <c r="V124" i="152"/>
  <c r="V128" i="152"/>
  <c r="V78" i="152"/>
  <c r="V91" i="152"/>
  <c r="V75" i="152"/>
  <c r="N12" i="152"/>
  <c r="V9" i="152"/>
  <c r="V14" i="152"/>
  <c r="V21" i="152"/>
  <c r="V30" i="152"/>
  <c r="W37" i="152"/>
  <c r="W40" i="152"/>
  <c r="V45" i="152"/>
  <c r="V12" i="152"/>
  <c r="W19" i="152"/>
  <c r="V24" i="152"/>
  <c r="V29" i="152"/>
  <c r="V36" i="152"/>
  <c r="V15" i="152"/>
  <c r="W27" i="152"/>
  <c r="V34" i="152"/>
  <c r="V87" i="152"/>
  <c r="W87" i="152"/>
  <c r="W97" i="152"/>
  <c r="V97" i="152"/>
  <c r="W129" i="152"/>
  <c r="V129" i="152"/>
  <c r="W90" i="152"/>
  <c r="V90" i="152"/>
  <c r="V10" i="152"/>
  <c r="W10" i="152"/>
  <c r="W76" i="152"/>
  <c r="V76" i="152"/>
  <c r="W13" i="152"/>
  <c r="V13" i="152"/>
  <c r="V6" i="152"/>
  <c r="W26" i="152"/>
  <c r="W42" i="152"/>
  <c r="W50" i="152"/>
  <c r="V67" i="152"/>
  <c r="V69" i="152"/>
  <c r="W80" i="152"/>
  <c r="V83" i="152"/>
  <c r="V84" i="152"/>
  <c r="W88" i="152"/>
  <c r="W95" i="152"/>
  <c r="V98" i="152"/>
  <c r="W101" i="152"/>
  <c r="W115" i="152"/>
  <c r="V117" i="152"/>
  <c r="V120" i="152"/>
  <c r="V130" i="152"/>
  <c r="V136" i="152"/>
  <c r="V139" i="152"/>
  <c r="V162" i="152"/>
  <c r="W167" i="152"/>
  <c r="W172" i="152" s="1"/>
  <c r="P10" i="152" s="1"/>
  <c r="V167" i="152"/>
  <c r="V16" i="152"/>
  <c r="V17" i="152"/>
  <c r="V20" i="152"/>
  <c r="V25" i="152"/>
  <c r="V28" i="152"/>
  <c r="W33" i="152"/>
  <c r="V35" i="152"/>
  <c r="V38" i="152"/>
  <c r="W44" i="152"/>
  <c r="W68" i="152"/>
  <c r="W70" i="152"/>
  <c r="W73" i="152"/>
  <c r="W79" i="152"/>
  <c r="W82" i="152"/>
  <c r="V94" i="152"/>
  <c r="W114" i="152"/>
  <c r="V122" i="152"/>
  <c r="V123" i="152"/>
  <c r="W127" i="152"/>
  <c r="V150" i="152"/>
  <c r="W156" i="152"/>
  <c r="V158" i="152"/>
  <c r="V159" i="152"/>
  <c r="V160" i="152"/>
  <c r="V161" i="152"/>
  <c r="W171" i="152"/>
  <c r="J52" i="152"/>
  <c r="J104" i="152"/>
  <c r="V8" i="152"/>
  <c r="V11" i="152"/>
  <c r="V39" i="152"/>
  <c r="V47" i="152"/>
  <c r="V62" i="152"/>
  <c r="W65" i="152"/>
  <c r="W74" i="152"/>
  <c r="V43" i="152"/>
  <c r="W46" i="152"/>
  <c r="V51" i="152"/>
  <c r="W61" i="152"/>
  <c r="V66" i="152"/>
  <c r="J141" i="152"/>
  <c r="V164" i="152"/>
  <c r="V168" i="152"/>
  <c r="J172" i="152"/>
  <c r="H83" i="151"/>
  <c r="H80" i="151"/>
  <c r="H76" i="151"/>
  <c r="J76" i="151" s="1"/>
  <c r="H74" i="151"/>
  <c r="J74" i="151" s="1"/>
  <c r="W74" i="151" s="1"/>
  <c r="H72" i="151"/>
  <c r="H70" i="151"/>
  <c r="H69" i="151"/>
  <c r="H68" i="151"/>
  <c r="J33" i="151"/>
  <c r="H31" i="151"/>
  <c r="H30" i="151"/>
  <c r="J30" i="151" s="1"/>
  <c r="W30" i="151" s="1"/>
  <c r="H27" i="151"/>
  <c r="H25" i="151"/>
  <c r="J25" i="151" s="1"/>
  <c r="V25" i="151" s="1"/>
  <c r="H23" i="151"/>
  <c r="H22" i="151"/>
  <c r="J22" i="151" s="1"/>
  <c r="H17" i="151"/>
  <c r="J17" i="151" s="1"/>
  <c r="W17" i="151" s="1"/>
  <c r="H15" i="151"/>
  <c r="H13" i="151"/>
  <c r="H10" i="151"/>
  <c r="J10" i="151" s="1"/>
  <c r="W10" i="151" s="1"/>
  <c r="H9" i="151"/>
  <c r="N8" i="151"/>
  <c r="N8" i="150"/>
  <c r="N10" i="150"/>
  <c r="J170" i="151"/>
  <c r="J169" i="151"/>
  <c r="V169" i="151" s="1"/>
  <c r="W168" i="151"/>
  <c r="V168" i="151"/>
  <c r="J168" i="151"/>
  <c r="J167" i="151"/>
  <c r="W167" i="151" s="1"/>
  <c r="J166" i="151"/>
  <c r="J165" i="151"/>
  <c r="J164" i="151"/>
  <c r="J163" i="151"/>
  <c r="J162" i="151"/>
  <c r="V162" i="151" s="1"/>
  <c r="J161" i="151"/>
  <c r="W161" i="151" s="1"/>
  <c r="J160" i="151"/>
  <c r="W160" i="151" s="1"/>
  <c r="J159" i="151"/>
  <c r="W159" i="151" s="1"/>
  <c r="J158" i="151"/>
  <c r="J157" i="151"/>
  <c r="J156" i="151"/>
  <c r="V156" i="151" s="1"/>
  <c r="J155" i="151"/>
  <c r="W155" i="151" s="1"/>
  <c r="J154" i="151"/>
  <c r="W154" i="151" s="1"/>
  <c r="J153" i="151"/>
  <c r="J152" i="151"/>
  <c r="J151" i="151"/>
  <c r="V151" i="151" s="1"/>
  <c r="J150" i="151"/>
  <c r="W150" i="151" s="1"/>
  <c r="J149" i="151"/>
  <c r="W149" i="151" s="1"/>
  <c r="J148" i="151"/>
  <c r="W148" i="151" s="1"/>
  <c r="W139" i="151"/>
  <c r="J139" i="151"/>
  <c r="V139" i="151" s="1"/>
  <c r="J138" i="151"/>
  <c r="W138" i="151" s="1"/>
  <c r="V137" i="151"/>
  <c r="J137" i="151"/>
  <c r="W137" i="151" s="1"/>
  <c r="J136" i="151"/>
  <c r="W135" i="151"/>
  <c r="J135" i="151"/>
  <c r="V135" i="151" s="1"/>
  <c r="J134" i="151"/>
  <c r="J133" i="151"/>
  <c r="J132" i="151"/>
  <c r="J131" i="151"/>
  <c r="J130" i="151"/>
  <c r="J129" i="151"/>
  <c r="J128" i="151"/>
  <c r="V128" i="151" s="1"/>
  <c r="J127" i="151"/>
  <c r="V127" i="151" s="1"/>
  <c r="J126" i="151"/>
  <c r="W126" i="151" s="1"/>
  <c r="J125" i="151"/>
  <c r="W125" i="151" s="1"/>
  <c r="J124" i="151"/>
  <c r="J123" i="151"/>
  <c r="V123" i="151" s="1"/>
  <c r="J122" i="151"/>
  <c r="V122" i="151" s="1"/>
  <c r="J121" i="151"/>
  <c r="W121" i="151" s="1"/>
  <c r="J120" i="151"/>
  <c r="W120" i="151" s="1"/>
  <c r="J119" i="151"/>
  <c r="W119" i="151" s="1"/>
  <c r="J118" i="151"/>
  <c r="J117" i="151"/>
  <c r="J116" i="151"/>
  <c r="V116" i="151" s="1"/>
  <c r="J115" i="151"/>
  <c r="V115" i="151" s="1"/>
  <c r="J114" i="151"/>
  <c r="V114" i="151" s="1"/>
  <c r="J113" i="151"/>
  <c r="V113" i="151" s="1"/>
  <c r="J112" i="151"/>
  <c r="W112" i="151" s="1"/>
  <c r="J111" i="151"/>
  <c r="V102" i="151"/>
  <c r="J102" i="151"/>
  <c r="W102" i="151" s="1"/>
  <c r="J101" i="151"/>
  <c r="W101" i="151" s="1"/>
  <c r="J100" i="151"/>
  <c r="J99" i="151"/>
  <c r="V99" i="151" s="1"/>
  <c r="J98" i="151"/>
  <c r="W98" i="151" s="1"/>
  <c r="J97" i="151"/>
  <c r="W97" i="151" s="1"/>
  <c r="J96" i="151"/>
  <c r="J95" i="151"/>
  <c r="J94" i="151"/>
  <c r="J93" i="151"/>
  <c r="J92" i="151"/>
  <c r="J91" i="151"/>
  <c r="V91" i="151" s="1"/>
  <c r="J90" i="151"/>
  <c r="V90" i="151" s="1"/>
  <c r="J89" i="151"/>
  <c r="V89" i="151" s="1"/>
  <c r="V88" i="151"/>
  <c r="J88" i="151"/>
  <c r="W88" i="151" s="1"/>
  <c r="J87" i="151"/>
  <c r="W87" i="151" s="1"/>
  <c r="J86" i="151"/>
  <c r="J85" i="151"/>
  <c r="J84" i="151"/>
  <c r="V84" i="151" s="1"/>
  <c r="J83" i="151"/>
  <c r="V83" i="151" s="1"/>
  <c r="J82" i="151"/>
  <c r="W82" i="151" s="1"/>
  <c r="J81" i="151"/>
  <c r="W81" i="151" s="1"/>
  <c r="J80" i="151"/>
  <c r="J79" i="151"/>
  <c r="J78" i="151"/>
  <c r="J77" i="151"/>
  <c r="J75" i="151"/>
  <c r="V75" i="151" s="1"/>
  <c r="J73" i="151"/>
  <c r="W73" i="151" s="1"/>
  <c r="J72" i="151"/>
  <c r="J71" i="151"/>
  <c r="J70" i="151"/>
  <c r="J69" i="151"/>
  <c r="J68" i="151"/>
  <c r="J67" i="151"/>
  <c r="V67" i="151" s="1"/>
  <c r="J66" i="151"/>
  <c r="V66" i="151" s="1"/>
  <c r="J65" i="151"/>
  <c r="W65" i="151" s="1"/>
  <c r="J64" i="151"/>
  <c r="W64" i="151" s="1"/>
  <c r="J63" i="151"/>
  <c r="J62" i="151"/>
  <c r="V62" i="151" s="1"/>
  <c r="J61" i="151"/>
  <c r="W61" i="151" s="1"/>
  <c r="J60" i="151"/>
  <c r="V60" i="151" s="1"/>
  <c r="J51" i="151"/>
  <c r="J50" i="151"/>
  <c r="V50" i="151" s="1"/>
  <c r="W49" i="151"/>
  <c r="V49" i="151"/>
  <c r="J49" i="151"/>
  <c r="V48" i="151"/>
  <c r="J48" i="151"/>
  <c r="W48" i="151" s="1"/>
  <c r="J47" i="151"/>
  <c r="J46" i="151"/>
  <c r="V46" i="151" s="1"/>
  <c r="J45" i="151"/>
  <c r="V45" i="151" s="1"/>
  <c r="J44" i="151"/>
  <c r="W44" i="151" s="1"/>
  <c r="J43" i="151"/>
  <c r="J42" i="151"/>
  <c r="V42" i="151" s="1"/>
  <c r="J41" i="151"/>
  <c r="V41" i="151" s="1"/>
  <c r="J40" i="151"/>
  <c r="W40" i="151" s="1"/>
  <c r="J39" i="151"/>
  <c r="J38" i="151"/>
  <c r="J37" i="151"/>
  <c r="J36" i="151"/>
  <c r="J35" i="151"/>
  <c r="J34" i="151"/>
  <c r="J32" i="151"/>
  <c r="V32" i="151" s="1"/>
  <c r="J31" i="151"/>
  <c r="V31" i="151" s="1"/>
  <c r="J29" i="151"/>
  <c r="W29" i="151" s="1"/>
  <c r="J28" i="151"/>
  <c r="J27" i="151"/>
  <c r="V27" i="151" s="1"/>
  <c r="J26" i="151"/>
  <c r="J24" i="151"/>
  <c r="V24" i="151" s="1"/>
  <c r="J23" i="151"/>
  <c r="W23" i="151" s="1"/>
  <c r="J21" i="151"/>
  <c r="W21" i="151" s="1"/>
  <c r="J20" i="151"/>
  <c r="V20" i="151" s="1"/>
  <c r="J19" i="151"/>
  <c r="V19" i="151" s="1"/>
  <c r="J18" i="151"/>
  <c r="W18" i="151" s="1"/>
  <c r="J16" i="151"/>
  <c r="V16" i="151" s="1"/>
  <c r="J15" i="151"/>
  <c r="W15" i="151" s="1"/>
  <c r="J14" i="151"/>
  <c r="J13" i="151"/>
  <c r="J12" i="151"/>
  <c r="V12" i="151" s="1"/>
  <c r="J11" i="151"/>
  <c r="N10" i="151"/>
  <c r="J9" i="151"/>
  <c r="W9" i="151" s="1"/>
  <c r="J8" i="151"/>
  <c r="J7" i="151"/>
  <c r="W7" i="151" s="1"/>
  <c r="N6" i="151"/>
  <c r="J6" i="151"/>
  <c r="W6" i="151" s="1"/>
  <c r="N4" i="151"/>
  <c r="H39" i="149"/>
  <c r="H38" i="149"/>
  <c r="H37" i="149"/>
  <c r="H36" i="149"/>
  <c r="H35" i="149"/>
  <c r="H34" i="149"/>
  <c r="H31" i="149"/>
  <c r="H96" i="149"/>
  <c r="H95" i="149"/>
  <c r="H94" i="149"/>
  <c r="H92" i="149"/>
  <c r="H90" i="149"/>
  <c r="H89" i="149"/>
  <c r="H129" i="149"/>
  <c r="H126" i="149"/>
  <c r="H165" i="149"/>
  <c r="H164" i="149"/>
  <c r="H163" i="149"/>
  <c r="H160" i="149"/>
  <c r="H157" i="149"/>
  <c r="H153" i="149"/>
  <c r="H149" i="149"/>
  <c r="H122" i="149"/>
  <c r="H120" i="149"/>
  <c r="H114" i="149"/>
  <c r="H85" i="149"/>
  <c r="H82" i="149"/>
  <c r="H80" i="149"/>
  <c r="H78" i="149"/>
  <c r="H71" i="149"/>
  <c r="H66" i="149"/>
  <c r="H27" i="149"/>
  <c r="H26" i="149"/>
  <c r="H9" i="149"/>
  <c r="H8" i="149"/>
  <c r="W50" i="151" l="1"/>
  <c r="V125" i="151"/>
  <c r="V138" i="151"/>
  <c r="P16" i="153"/>
  <c r="Q4" i="153"/>
  <c r="R10" i="153"/>
  <c r="Q10" i="153"/>
  <c r="O16" i="153"/>
  <c r="R16" i="153" s="1"/>
  <c r="P18" i="153" s="1"/>
  <c r="V172" i="152"/>
  <c r="O10" i="152" s="1"/>
  <c r="R10" i="152" s="1"/>
  <c r="V104" i="152"/>
  <c r="O6" i="152" s="1"/>
  <c r="R6" i="152" s="1"/>
  <c r="W104" i="152"/>
  <c r="P6" i="152" s="1"/>
  <c r="V141" i="152"/>
  <c r="W141" i="152"/>
  <c r="W52" i="152"/>
  <c r="P4" i="152" s="1"/>
  <c r="V52" i="152"/>
  <c r="O4" i="152" s="1"/>
  <c r="V101" i="151"/>
  <c r="W46" i="151"/>
  <c r="V97" i="151"/>
  <c r="W45" i="151"/>
  <c r="W41" i="151"/>
  <c r="W162" i="151"/>
  <c r="V161" i="151"/>
  <c r="V159" i="151"/>
  <c r="W156" i="151"/>
  <c r="V154" i="151"/>
  <c r="W151" i="151"/>
  <c r="V150" i="151"/>
  <c r="W127" i="151"/>
  <c r="W113" i="151"/>
  <c r="W83" i="151"/>
  <c r="W75" i="151"/>
  <c r="W67" i="151"/>
  <c r="V65" i="151"/>
  <c r="W32" i="151"/>
  <c r="W16" i="151"/>
  <c r="V148" i="151"/>
  <c r="V61" i="151"/>
  <c r="V155" i="151"/>
  <c r="V167" i="151"/>
  <c r="V149" i="151"/>
  <c r="V160" i="151"/>
  <c r="W169" i="151"/>
  <c r="V112" i="151"/>
  <c r="W116" i="151"/>
  <c r="V119" i="151"/>
  <c r="V121" i="151"/>
  <c r="W123" i="151"/>
  <c r="W114" i="151"/>
  <c r="V126" i="151"/>
  <c r="V120" i="151"/>
  <c r="W128" i="151"/>
  <c r="V74" i="151"/>
  <c r="V82" i="151"/>
  <c r="W91" i="151"/>
  <c r="W99" i="151"/>
  <c r="N12" i="151"/>
  <c r="V64" i="151"/>
  <c r="W84" i="151"/>
  <c r="V87" i="151"/>
  <c r="V98" i="151"/>
  <c r="W62" i="151"/>
  <c r="V73" i="151"/>
  <c r="V81" i="151"/>
  <c r="V7" i="151"/>
  <c r="V6" i="151"/>
  <c r="V9" i="151"/>
  <c r="V10" i="151"/>
  <c r="W12" i="151"/>
  <c r="V18" i="151"/>
  <c r="W19" i="151"/>
  <c r="W24" i="151"/>
  <c r="W27" i="151"/>
  <c r="V30" i="151"/>
  <c r="W31" i="151"/>
  <c r="W42" i="151"/>
  <c r="V21" i="151"/>
  <c r="V40" i="151"/>
  <c r="V44" i="151"/>
  <c r="W8" i="151"/>
  <c r="V8" i="151"/>
  <c r="V13" i="151"/>
  <c r="W13" i="151"/>
  <c r="W11" i="151"/>
  <c r="V11" i="151"/>
  <c r="W14" i="151"/>
  <c r="V14" i="151"/>
  <c r="V26" i="151"/>
  <c r="W26" i="151"/>
  <c r="W22" i="151"/>
  <c r="V22" i="151"/>
  <c r="V33" i="151"/>
  <c r="W33" i="151"/>
  <c r="V37" i="151"/>
  <c r="W37" i="151"/>
  <c r="V43" i="151"/>
  <c r="W43" i="151"/>
  <c r="W68" i="151"/>
  <c r="V68" i="151"/>
  <c r="W77" i="151"/>
  <c r="V77" i="151"/>
  <c r="V86" i="151"/>
  <c r="W86" i="151"/>
  <c r="W92" i="151"/>
  <c r="V92" i="151"/>
  <c r="W157" i="151"/>
  <c r="V157" i="151"/>
  <c r="V15" i="151"/>
  <c r="V23" i="151"/>
  <c r="V69" i="151"/>
  <c r="W69" i="151"/>
  <c r="W78" i="151"/>
  <c r="V78" i="151"/>
  <c r="W90" i="151"/>
  <c r="V95" i="151"/>
  <c r="W95" i="151"/>
  <c r="V111" i="151"/>
  <c r="W111" i="151"/>
  <c r="V117" i="151"/>
  <c r="W117" i="151"/>
  <c r="W122" i="151"/>
  <c r="V17" i="151"/>
  <c r="W20" i="151"/>
  <c r="V34" i="151"/>
  <c r="W34" i="151"/>
  <c r="V36" i="151"/>
  <c r="W36" i="151"/>
  <c r="V38" i="151"/>
  <c r="W38" i="151"/>
  <c r="V63" i="151"/>
  <c r="W63" i="151"/>
  <c r="V79" i="151"/>
  <c r="W79" i="151"/>
  <c r="W115" i="151"/>
  <c r="V152" i="151"/>
  <c r="W152" i="151"/>
  <c r="W165" i="151"/>
  <c r="V165" i="151"/>
  <c r="V35" i="151"/>
  <c r="W35" i="151"/>
  <c r="V39" i="151"/>
  <c r="W39" i="151"/>
  <c r="V47" i="151"/>
  <c r="W47" i="151"/>
  <c r="V51" i="151"/>
  <c r="W51" i="151"/>
  <c r="V80" i="151"/>
  <c r="W80" i="151"/>
  <c r="V124" i="151"/>
  <c r="W124" i="151"/>
  <c r="V153" i="151"/>
  <c r="W153" i="151"/>
  <c r="W163" i="151"/>
  <c r="V163" i="151"/>
  <c r="V28" i="151"/>
  <c r="W28" i="151"/>
  <c r="W66" i="151"/>
  <c r="V71" i="151"/>
  <c r="W71" i="151"/>
  <c r="V93" i="151"/>
  <c r="W93" i="151"/>
  <c r="V158" i="151"/>
  <c r="W158" i="151"/>
  <c r="W164" i="151"/>
  <c r="V164" i="151"/>
  <c r="J52" i="151"/>
  <c r="W25" i="151"/>
  <c r="V29" i="151"/>
  <c r="J103" i="151"/>
  <c r="V70" i="151"/>
  <c r="W70" i="151"/>
  <c r="V72" i="151"/>
  <c r="W72" i="151"/>
  <c r="W76" i="151"/>
  <c r="V76" i="151"/>
  <c r="W85" i="151"/>
  <c r="V85" i="151"/>
  <c r="W89" i="151"/>
  <c r="V94" i="151"/>
  <c r="W94" i="151"/>
  <c r="V96" i="151"/>
  <c r="W96" i="151"/>
  <c r="V100" i="151"/>
  <c r="W100" i="151"/>
  <c r="V118" i="151"/>
  <c r="W118" i="151"/>
  <c r="W129" i="151"/>
  <c r="V129" i="151"/>
  <c r="V136" i="151"/>
  <c r="W136" i="151"/>
  <c r="J140" i="151"/>
  <c r="V166" i="151"/>
  <c r="W166" i="151"/>
  <c r="V170" i="151"/>
  <c r="W170" i="151"/>
  <c r="J171" i="151"/>
  <c r="W60" i="151"/>
  <c r="H118" i="149"/>
  <c r="H115" i="149"/>
  <c r="H77" i="149"/>
  <c r="H76" i="149"/>
  <c r="H72" i="149"/>
  <c r="H70" i="149"/>
  <c r="H68" i="149"/>
  <c r="H22" i="149"/>
  <c r="H15" i="149"/>
  <c r="H14" i="149"/>
  <c r="H13" i="149"/>
  <c r="H11" i="149"/>
  <c r="Q16" i="153" l="1"/>
  <c r="Q10" i="152"/>
  <c r="P12" i="152"/>
  <c r="R4" i="152"/>
  <c r="Q4" i="152"/>
  <c r="O12" i="152"/>
  <c r="R12" i="152" s="1"/>
  <c r="P14" i="152" s="1"/>
  <c r="W171" i="151"/>
  <c r="P10" i="151" s="1"/>
  <c r="V171" i="151"/>
  <c r="O10" i="151" s="1"/>
  <c r="V103" i="151"/>
  <c r="O6" i="151" s="1"/>
  <c r="R6" i="151" s="1"/>
  <c r="W103" i="151"/>
  <c r="P6" i="151" s="1"/>
  <c r="W52" i="151"/>
  <c r="P4" i="151" s="1"/>
  <c r="V52" i="151"/>
  <c r="O4" i="151" s="1"/>
  <c r="W140" i="151"/>
  <c r="P8" i="151" s="1"/>
  <c r="V140" i="151"/>
  <c r="R8" i="151" s="1"/>
  <c r="H60" i="149"/>
  <c r="H170" i="150"/>
  <c r="J170" i="150" s="1"/>
  <c r="W170" i="150" s="1"/>
  <c r="J169" i="150"/>
  <c r="W169" i="150" s="1"/>
  <c r="J168" i="150"/>
  <c r="H167" i="150"/>
  <c r="J167" i="150" s="1"/>
  <c r="J166" i="150"/>
  <c r="W166" i="150" s="1"/>
  <c r="W165" i="150"/>
  <c r="J165" i="150"/>
  <c r="V165" i="150" s="1"/>
  <c r="J164" i="150"/>
  <c r="W164" i="150" s="1"/>
  <c r="J163" i="150"/>
  <c r="H163" i="150"/>
  <c r="J162" i="150"/>
  <c r="H161" i="150"/>
  <c r="J161" i="150" s="1"/>
  <c r="W160" i="150"/>
  <c r="V160" i="150"/>
  <c r="J160" i="150"/>
  <c r="W159" i="150"/>
  <c r="V159" i="150"/>
  <c r="J159" i="150"/>
  <c r="H158" i="150"/>
  <c r="J158" i="150" s="1"/>
  <c r="H157" i="150"/>
  <c r="J157" i="150" s="1"/>
  <c r="V156" i="150"/>
  <c r="J156" i="150"/>
  <c r="W156" i="150" s="1"/>
  <c r="J155" i="150"/>
  <c r="W154" i="150"/>
  <c r="V154" i="150"/>
  <c r="J154" i="150"/>
  <c r="J153" i="150"/>
  <c r="W153" i="150" s="1"/>
  <c r="H153" i="150"/>
  <c r="J152" i="150"/>
  <c r="W152" i="150" s="1"/>
  <c r="V151" i="150"/>
  <c r="J151" i="150"/>
  <c r="W151" i="150" s="1"/>
  <c r="J150" i="150"/>
  <c r="W149" i="150"/>
  <c r="V149" i="150"/>
  <c r="J149" i="150"/>
  <c r="W148" i="150"/>
  <c r="V148" i="150"/>
  <c r="J148" i="150"/>
  <c r="H148" i="150"/>
  <c r="J139" i="150"/>
  <c r="W139" i="150" s="1"/>
  <c r="J138" i="150"/>
  <c r="J137" i="150"/>
  <c r="W137" i="150" s="1"/>
  <c r="J136" i="150"/>
  <c r="W136" i="150" s="1"/>
  <c r="J135" i="150"/>
  <c r="W135" i="150" s="1"/>
  <c r="J134" i="150"/>
  <c r="J133" i="150"/>
  <c r="J132" i="150"/>
  <c r="J131" i="150"/>
  <c r="J130" i="150"/>
  <c r="J129" i="150"/>
  <c r="W129" i="150" s="1"/>
  <c r="J128" i="150"/>
  <c r="V128" i="150" s="1"/>
  <c r="H127" i="150"/>
  <c r="J127" i="150" s="1"/>
  <c r="W127" i="150" s="1"/>
  <c r="J126" i="150"/>
  <c r="W126" i="150" s="1"/>
  <c r="W125" i="150"/>
  <c r="J125" i="150"/>
  <c r="V125" i="150" s="1"/>
  <c r="J124" i="150"/>
  <c r="W124" i="150" s="1"/>
  <c r="J123" i="150"/>
  <c r="V123" i="150" s="1"/>
  <c r="J122" i="150"/>
  <c r="W122" i="150" s="1"/>
  <c r="J121" i="150"/>
  <c r="W121" i="150" s="1"/>
  <c r="J120" i="150"/>
  <c r="W120" i="150" s="1"/>
  <c r="H119" i="150"/>
  <c r="J119" i="150" s="1"/>
  <c r="V119" i="150" s="1"/>
  <c r="H118" i="150"/>
  <c r="J118" i="150" s="1"/>
  <c r="J117" i="150"/>
  <c r="V117" i="150" s="1"/>
  <c r="J116" i="150"/>
  <c r="W116" i="150" s="1"/>
  <c r="J115" i="150"/>
  <c r="W115" i="150" s="1"/>
  <c r="H115" i="150"/>
  <c r="J114" i="150"/>
  <c r="W114" i="150" s="1"/>
  <c r="J113" i="150"/>
  <c r="W113" i="150" s="1"/>
  <c r="J112" i="150"/>
  <c r="J111" i="150"/>
  <c r="W111" i="150" s="1"/>
  <c r="J102" i="150"/>
  <c r="W102" i="150" s="1"/>
  <c r="H101" i="150"/>
  <c r="J101" i="150" s="1"/>
  <c r="V101" i="150" s="1"/>
  <c r="H100" i="150"/>
  <c r="J100" i="150" s="1"/>
  <c r="J99" i="150"/>
  <c r="V99" i="150" s="1"/>
  <c r="H99" i="150"/>
  <c r="J98" i="150"/>
  <c r="V98" i="150" s="1"/>
  <c r="J97" i="150"/>
  <c r="W97" i="150" s="1"/>
  <c r="H96" i="150"/>
  <c r="J96" i="150" s="1"/>
  <c r="W95" i="150"/>
  <c r="J95" i="150"/>
  <c r="V95" i="150" s="1"/>
  <c r="H94" i="150"/>
  <c r="J94" i="150" s="1"/>
  <c r="J93" i="150"/>
  <c r="W93" i="150" s="1"/>
  <c r="J92" i="150"/>
  <c r="V92" i="150" s="1"/>
  <c r="H92" i="150"/>
  <c r="H91" i="150"/>
  <c r="J91" i="150" s="1"/>
  <c r="J90" i="150"/>
  <c r="V90" i="150" s="1"/>
  <c r="H90" i="150"/>
  <c r="J89" i="150"/>
  <c r="V89" i="150" s="1"/>
  <c r="H88" i="150"/>
  <c r="J88" i="150" s="1"/>
  <c r="W88" i="150" s="1"/>
  <c r="J87" i="150"/>
  <c r="W87" i="150" s="1"/>
  <c r="W86" i="150"/>
  <c r="J86" i="150"/>
  <c r="V86" i="150" s="1"/>
  <c r="H85" i="150"/>
  <c r="J85" i="150" s="1"/>
  <c r="W85" i="150" s="1"/>
  <c r="V84" i="150"/>
  <c r="J84" i="150"/>
  <c r="W84" i="150" s="1"/>
  <c r="H83" i="150"/>
  <c r="J83" i="150" s="1"/>
  <c r="H82" i="150"/>
  <c r="J82" i="150" s="1"/>
  <c r="V82" i="150" s="1"/>
  <c r="H81" i="150"/>
  <c r="J81" i="150" s="1"/>
  <c r="H80" i="150"/>
  <c r="J80" i="150" s="1"/>
  <c r="V80" i="150" s="1"/>
  <c r="H79" i="150"/>
  <c r="J79" i="150" s="1"/>
  <c r="J78" i="150"/>
  <c r="V78" i="150" s="1"/>
  <c r="H78" i="150"/>
  <c r="J77" i="150"/>
  <c r="V77" i="150" s="1"/>
  <c r="W76" i="150"/>
  <c r="H76" i="150"/>
  <c r="J76" i="150" s="1"/>
  <c r="V76" i="150" s="1"/>
  <c r="W75" i="150"/>
  <c r="V75" i="150"/>
  <c r="J75" i="150"/>
  <c r="H74" i="150"/>
  <c r="J74" i="150" s="1"/>
  <c r="W74" i="150" s="1"/>
  <c r="J73" i="150"/>
  <c r="W73" i="150" s="1"/>
  <c r="J72" i="150"/>
  <c r="W72" i="150" s="1"/>
  <c r="H72" i="150"/>
  <c r="H71" i="150"/>
  <c r="J71" i="150" s="1"/>
  <c r="J70" i="150"/>
  <c r="W70" i="150" s="1"/>
  <c r="H70" i="150"/>
  <c r="J69" i="150"/>
  <c r="W69" i="150" s="1"/>
  <c r="H68" i="150"/>
  <c r="J68" i="150" s="1"/>
  <c r="J67" i="150"/>
  <c r="V67" i="150" s="1"/>
  <c r="J66" i="150"/>
  <c r="W66" i="150" s="1"/>
  <c r="W65" i="150"/>
  <c r="J65" i="150"/>
  <c r="V65" i="150" s="1"/>
  <c r="J64" i="150"/>
  <c r="W64" i="150" s="1"/>
  <c r="J63" i="150"/>
  <c r="V63" i="150" s="1"/>
  <c r="H63" i="150"/>
  <c r="H62" i="150"/>
  <c r="J62" i="150" s="1"/>
  <c r="J61" i="150"/>
  <c r="V61" i="150" s="1"/>
  <c r="V60" i="150"/>
  <c r="H60" i="150"/>
  <c r="J60" i="150" s="1"/>
  <c r="W60" i="150" s="1"/>
  <c r="J51" i="150"/>
  <c r="W51" i="150" s="1"/>
  <c r="J50" i="150"/>
  <c r="W50" i="150" s="1"/>
  <c r="J49" i="150"/>
  <c r="V49" i="150" s="1"/>
  <c r="J48" i="150"/>
  <c r="W48" i="150" s="1"/>
  <c r="H47" i="150"/>
  <c r="J47" i="150" s="1"/>
  <c r="J46" i="150"/>
  <c r="V46" i="150" s="1"/>
  <c r="H46" i="150"/>
  <c r="J45" i="150"/>
  <c r="V45" i="150" s="1"/>
  <c r="J44" i="150"/>
  <c r="W44" i="150" s="1"/>
  <c r="H44" i="150"/>
  <c r="J43" i="150"/>
  <c r="W43" i="150" s="1"/>
  <c r="W42" i="150"/>
  <c r="J42" i="150"/>
  <c r="V42" i="150" s="1"/>
  <c r="J41" i="150"/>
  <c r="W41" i="150" s="1"/>
  <c r="V40" i="150"/>
  <c r="J40" i="150"/>
  <c r="W40" i="150" s="1"/>
  <c r="H39" i="150"/>
  <c r="J39" i="150" s="1"/>
  <c r="J38" i="150"/>
  <c r="W38" i="150" s="1"/>
  <c r="H38" i="150"/>
  <c r="H37" i="150"/>
  <c r="J37" i="150" s="1"/>
  <c r="J36" i="150"/>
  <c r="W36" i="150" s="1"/>
  <c r="J35" i="150"/>
  <c r="V35" i="150" s="1"/>
  <c r="H35" i="150"/>
  <c r="J34" i="150"/>
  <c r="V34" i="150" s="1"/>
  <c r="W33" i="150"/>
  <c r="H33" i="150"/>
  <c r="J33" i="150" s="1"/>
  <c r="V33" i="150" s="1"/>
  <c r="J32" i="150"/>
  <c r="W32" i="150" s="1"/>
  <c r="H31" i="150"/>
  <c r="J31" i="150" s="1"/>
  <c r="W31" i="150" s="1"/>
  <c r="J30" i="150"/>
  <c r="W30" i="150" s="1"/>
  <c r="J29" i="150"/>
  <c r="W29" i="150" s="1"/>
  <c r="H29" i="150"/>
  <c r="H28" i="150"/>
  <c r="J28" i="150" s="1"/>
  <c r="J27" i="150"/>
  <c r="W27" i="150" s="1"/>
  <c r="J26" i="150"/>
  <c r="V26" i="150" s="1"/>
  <c r="H26" i="150"/>
  <c r="J25" i="150"/>
  <c r="V25" i="150" s="1"/>
  <c r="W24" i="150"/>
  <c r="J24" i="150"/>
  <c r="V24" i="150" s="1"/>
  <c r="J23" i="150"/>
  <c r="W23" i="150" s="1"/>
  <c r="J22" i="150"/>
  <c r="W22" i="150" s="1"/>
  <c r="J21" i="150"/>
  <c r="V21" i="150" s="1"/>
  <c r="H20" i="150"/>
  <c r="J20" i="150" s="1"/>
  <c r="V20" i="150" s="1"/>
  <c r="W19" i="150"/>
  <c r="V19" i="150"/>
  <c r="H19" i="150"/>
  <c r="J19" i="150" s="1"/>
  <c r="J18" i="150"/>
  <c r="W18" i="150" s="1"/>
  <c r="J17" i="150"/>
  <c r="W17" i="150" s="1"/>
  <c r="H16" i="150"/>
  <c r="J16" i="150" s="1"/>
  <c r="J15" i="150"/>
  <c r="W15" i="150" s="1"/>
  <c r="H15" i="150"/>
  <c r="J14" i="150"/>
  <c r="W14" i="150" s="1"/>
  <c r="J13" i="150"/>
  <c r="W13" i="150" s="1"/>
  <c r="H12" i="150"/>
  <c r="J12" i="150" s="1"/>
  <c r="W12" i="150" s="1"/>
  <c r="J11" i="150"/>
  <c r="W11" i="150" s="1"/>
  <c r="H10" i="150"/>
  <c r="J10" i="150" s="1"/>
  <c r="W10" i="150" s="1"/>
  <c r="J9" i="150"/>
  <c r="W9" i="150" s="1"/>
  <c r="J8" i="150"/>
  <c r="W8" i="150" s="1"/>
  <c r="J7" i="150"/>
  <c r="V7" i="150" s="1"/>
  <c r="N6" i="150"/>
  <c r="H6" i="150"/>
  <c r="J6" i="150" s="1"/>
  <c r="N4" i="150"/>
  <c r="N12" i="150" s="1"/>
  <c r="J161" i="149"/>
  <c r="J91" i="149"/>
  <c r="W91" i="149" s="1"/>
  <c r="J148" i="149"/>
  <c r="J76" i="149"/>
  <c r="J62" i="149"/>
  <c r="J170" i="149"/>
  <c r="V170" i="149" s="1"/>
  <c r="J169" i="149"/>
  <c r="V169" i="149" s="1"/>
  <c r="J168" i="149"/>
  <c r="J167" i="149"/>
  <c r="W167" i="149" s="1"/>
  <c r="J166" i="149"/>
  <c r="V166" i="149" s="1"/>
  <c r="J165" i="149"/>
  <c r="W165" i="149" s="1"/>
  <c r="J164" i="149"/>
  <c r="J163" i="149"/>
  <c r="W163" i="149" s="1"/>
  <c r="J162" i="149"/>
  <c r="V162" i="149" s="1"/>
  <c r="J160" i="149"/>
  <c r="W160" i="149" s="1"/>
  <c r="J159" i="149"/>
  <c r="J158" i="149"/>
  <c r="W158" i="149" s="1"/>
  <c r="J157" i="149"/>
  <c r="V157" i="149" s="1"/>
  <c r="J156" i="149"/>
  <c r="W156" i="149" s="1"/>
  <c r="J155" i="149"/>
  <c r="W155" i="149" s="1"/>
  <c r="J154" i="149"/>
  <c r="W154" i="149" s="1"/>
  <c r="J153" i="149"/>
  <c r="W153" i="149" s="1"/>
  <c r="J152" i="149"/>
  <c r="J151" i="149"/>
  <c r="V151" i="149" s="1"/>
  <c r="J150" i="149"/>
  <c r="W150" i="149" s="1"/>
  <c r="J149" i="149"/>
  <c r="W149" i="149" s="1"/>
  <c r="J139" i="149"/>
  <c r="W139" i="149" s="1"/>
  <c r="J138" i="149"/>
  <c r="W138" i="149" s="1"/>
  <c r="J137" i="149"/>
  <c r="J136" i="149"/>
  <c r="V136" i="149" s="1"/>
  <c r="W135" i="149"/>
  <c r="V135" i="149"/>
  <c r="J135" i="149"/>
  <c r="J134" i="149"/>
  <c r="J133" i="149"/>
  <c r="J132" i="149"/>
  <c r="J131" i="149"/>
  <c r="J130" i="149"/>
  <c r="J129" i="149"/>
  <c r="W129" i="149" s="1"/>
  <c r="J128" i="149"/>
  <c r="W128" i="149" s="1"/>
  <c r="J127" i="149"/>
  <c r="W127" i="149" s="1"/>
  <c r="J126" i="149"/>
  <c r="W126" i="149" s="1"/>
  <c r="J125" i="149"/>
  <c r="J124" i="149"/>
  <c r="V124" i="149" s="1"/>
  <c r="J123" i="149"/>
  <c r="V123" i="149" s="1"/>
  <c r="J122" i="149"/>
  <c r="V122" i="149" s="1"/>
  <c r="J121" i="149"/>
  <c r="W121" i="149" s="1"/>
  <c r="J120" i="149"/>
  <c r="W120" i="149" s="1"/>
  <c r="J119" i="149"/>
  <c r="J118" i="149"/>
  <c r="V118" i="149" s="1"/>
  <c r="J117" i="149"/>
  <c r="V117" i="149" s="1"/>
  <c r="J116" i="149"/>
  <c r="V116" i="149" s="1"/>
  <c r="J115" i="149"/>
  <c r="W115" i="149" s="1"/>
  <c r="J114" i="149"/>
  <c r="W114" i="149" s="1"/>
  <c r="J113" i="149"/>
  <c r="W112" i="149"/>
  <c r="J112" i="149"/>
  <c r="V112" i="149" s="1"/>
  <c r="J111" i="149"/>
  <c r="J102" i="149"/>
  <c r="W102" i="149" s="1"/>
  <c r="J101" i="149"/>
  <c r="J100" i="149"/>
  <c r="V100" i="149" s="1"/>
  <c r="J99" i="149"/>
  <c r="W99" i="149" s="1"/>
  <c r="J98" i="149"/>
  <c r="W98" i="149" s="1"/>
  <c r="J97" i="149"/>
  <c r="J96" i="149"/>
  <c r="V96" i="149" s="1"/>
  <c r="J95" i="149"/>
  <c r="W95" i="149" s="1"/>
  <c r="J94" i="149"/>
  <c r="W94" i="149" s="1"/>
  <c r="J93" i="149"/>
  <c r="W93" i="149" s="1"/>
  <c r="J92" i="149"/>
  <c r="W92" i="149" s="1"/>
  <c r="J90" i="149"/>
  <c r="W90" i="149" s="1"/>
  <c r="J89" i="149"/>
  <c r="W89" i="149" s="1"/>
  <c r="J88" i="149"/>
  <c r="J87" i="149"/>
  <c r="J86" i="149"/>
  <c r="J85" i="149"/>
  <c r="J84" i="149"/>
  <c r="J83" i="149"/>
  <c r="V83" i="149" s="1"/>
  <c r="J82" i="149"/>
  <c r="W82" i="149" s="1"/>
  <c r="J81" i="149"/>
  <c r="W81" i="149" s="1"/>
  <c r="J80" i="149"/>
  <c r="J79" i="149"/>
  <c r="V79" i="149" s="1"/>
  <c r="J78" i="149"/>
  <c r="W78" i="149" s="1"/>
  <c r="J77" i="149"/>
  <c r="W77" i="149" s="1"/>
  <c r="J75" i="149"/>
  <c r="J74" i="149"/>
  <c r="J73" i="149"/>
  <c r="J72" i="149"/>
  <c r="V72" i="149" s="1"/>
  <c r="J71" i="149"/>
  <c r="V71" i="149" s="1"/>
  <c r="J70" i="149"/>
  <c r="V70" i="149" s="1"/>
  <c r="J69" i="149"/>
  <c r="V69" i="149" s="1"/>
  <c r="J68" i="149"/>
  <c r="W68" i="149" s="1"/>
  <c r="J67" i="149"/>
  <c r="J66" i="149"/>
  <c r="V66" i="149" s="1"/>
  <c r="J65" i="149"/>
  <c r="W65" i="149" s="1"/>
  <c r="J64" i="149"/>
  <c r="W64" i="149" s="1"/>
  <c r="J63" i="149"/>
  <c r="W63" i="149" s="1"/>
  <c r="J61" i="149"/>
  <c r="J60" i="149"/>
  <c r="J51" i="149"/>
  <c r="W51" i="149" s="1"/>
  <c r="J50" i="149"/>
  <c r="W50" i="149" s="1"/>
  <c r="J49" i="149"/>
  <c r="J48" i="149"/>
  <c r="V48" i="149" s="1"/>
  <c r="J47" i="149"/>
  <c r="V47" i="149" s="1"/>
  <c r="J46" i="149"/>
  <c r="W46" i="149" s="1"/>
  <c r="J45" i="149"/>
  <c r="J44" i="149"/>
  <c r="V44" i="149" s="1"/>
  <c r="J43" i="149"/>
  <c r="V43" i="149" s="1"/>
  <c r="J42" i="149"/>
  <c r="W42" i="149" s="1"/>
  <c r="J41" i="149"/>
  <c r="W41" i="149" s="1"/>
  <c r="J40" i="149"/>
  <c r="W40" i="149" s="1"/>
  <c r="J39" i="149"/>
  <c r="J38" i="149"/>
  <c r="V38" i="149" s="1"/>
  <c r="J37" i="149"/>
  <c r="V37" i="149" s="1"/>
  <c r="J36" i="149"/>
  <c r="W36" i="149" s="1"/>
  <c r="J35" i="149"/>
  <c r="J34" i="149"/>
  <c r="J33" i="149"/>
  <c r="J32" i="149"/>
  <c r="J31" i="149"/>
  <c r="V31" i="149" s="1"/>
  <c r="J30" i="149"/>
  <c r="W30" i="149" s="1"/>
  <c r="J29" i="149"/>
  <c r="W29" i="149" s="1"/>
  <c r="J28" i="149"/>
  <c r="J27" i="149"/>
  <c r="J26" i="149"/>
  <c r="J25" i="149"/>
  <c r="V25" i="149" s="1"/>
  <c r="J24" i="149"/>
  <c r="W24" i="149" s="1"/>
  <c r="J23" i="149"/>
  <c r="W23" i="149" s="1"/>
  <c r="J22" i="149"/>
  <c r="W22" i="149" s="1"/>
  <c r="J21" i="149"/>
  <c r="J20" i="149"/>
  <c r="J19" i="149"/>
  <c r="J18" i="149"/>
  <c r="W18" i="149" s="1"/>
  <c r="J17" i="149"/>
  <c r="W17" i="149" s="1"/>
  <c r="J16" i="149"/>
  <c r="W16" i="149" s="1"/>
  <c r="J15" i="149"/>
  <c r="V15" i="149" s="1"/>
  <c r="J14" i="149"/>
  <c r="V14" i="149" s="1"/>
  <c r="J13" i="149"/>
  <c r="V13" i="149" s="1"/>
  <c r="J12" i="149"/>
  <c r="W12" i="149" s="1"/>
  <c r="J11" i="149"/>
  <c r="V11" i="149" s="1"/>
  <c r="N10" i="149"/>
  <c r="J10" i="149"/>
  <c r="W10" i="149" s="1"/>
  <c r="J9" i="149"/>
  <c r="V9" i="149" s="1"/>
  <c r="J8" i="149"/>
  <c r="W8" i="149" s="1"/>
  <c r="J7" i="149"/>
  <c r="V7" i="149" s="1"/>
  <c r="N6" i="149"/>
  <c r="J6" i="149"/>
  <c r="W6" i="149" s="1"/>
  <c r="N4" i="149"/>
  <c r="H162" i="148"/>
  <c r="H156" i="148"/>
  <c r="H154" i="148"/>
  <c r="H129" i="148"/>
  <c r="J129" i="148" s="1"/>
  <c r="V129" i="148" s="1"/>
  <c r="H128" i="148"/>
  <c r="H124" i="148"/>
  <c r="H123" i="148"/>
  <c r="H117" i="148"/>
  <c r="J117" i="148" s="1"/>
  <c r="V117" i="148" s="1"/>
  <c r="H116" i="148"/>
  <c r="H111" i="148"/>
  <c r="H94" i="148"/>
  <c r="J94" i="148" s="1"/>
  <c r="W94" i="148" s="1"/>
  <c r="H93" i="148"/>
  <c r="J93" i="148" s="1"/>
  <c r="H92" i="148"/>
  <c r="H91" i="148"/>
  <c r="J91" i="148" s="1"/>
  <c r="H90" i="148"/>
  <c r="H88" i="148"/>
  <c r="J88" i="148" s="1"/>
  <c r="H87" i="148"/>
  <c r="J87" i="148" s="1"/>
  <c r="W87" i="148" s="1"/>
  <c r="H86" i="148"/>
  <c r="H85" i="148"/>
  <c r="J85" i="148" s="1"/>
  <c r="V85" i="148" s="1"/>
  <c r="H76" i="148"/>
  <c r="J76" i="148" s="1"/>
  <c r="V76" i="148" s="1"/>
  <c r="H75" i="148"/>
  <c r="H74" i="148"/>
  <c r="H72" i="148"/>
  <c r="J72" i="148" s="1"/>
  <c r="V72" i="148" s="1"/>
  <c r="H70" i="148"/>
  <c r="H64" i="148"/>
  <c r="H62" i="148"/>
  <c r="H42" i="148"/>
  <c r="J42" i="148" s="1"/>
  <c r="H41" i="148"/>
  <c r="J41" i="148" s="1"/>
  <c r="J68" i="148"/>
  <c r="W68" i="148" s="1"/>
  <c r="J67" i="148"/>
  <c r="W67" i="148" s="1"/>
  <c r="H60" i="148"/>
  <c r="H35" i="148"/>
  <c r="H34" i="148"/>
  <c r="H33" i="148"/>
  <c r="H28" i="148"/>
  <c r="H27" i="148"/>
  <c r="H23" i="148"/>
  <c r="H21" i="148"/>
  <c r="H20" i="148"/>
  <c r="H17" i="148"/>
  <c r="J17" i="148" s="1"/>
  <c r="W17" i="148" s="1"/>
  <c r="H16" i="148"/>
  <c r="H15" i="148"/>
  <c r="H13" i="148"/>
  <c r="H11" i="148"/>
  <c r="J11" i="148" s="1"/>
  <c r="W11" i="148" s="1"/>
  <c r="H9" i="148"/>
  <c r="H8" i="148"/>
  <c r="J170" i="148"/>
  <c r="V170" i="148" s="1"/>
  <c r="W169" i="148"/>
  <c r="J169" i="148"/>
  <c r="V169" i="148" s="1"/>
  <c r="J168" i="148"/>
  <c r="V168" i="148" s="1"/>
  <c r="J167" i="148"/>
  <c r="J166" i="148"/>
  <c r="V166" i="148" s="1"/>
  <c r="J165" i="148"/>
  <c r="V165" i="148" s="1"/>
  <c r="J164" i="148"/>
  <c r="V164" i="148" s="1"/>
  <c r="J163" i="148"/>
  <c r="W163" i="148" s="1"/>
  <c r="J162" i="148"/>
  <c r="W162" i="148" s="1"/>
  <c r="J161" i="148"/>
  <c r="J160" i="148"/>
  <c r="J159" i="148"/>
  <c r="J158" i="148"/>
  <c r="J157" i="148"/>
  <c r="J156" i="148"/>
  <c r="J155" i="148"/>
  <c r="V155" i="148" s="1"/>
  <c r="J154" i="148"/>
  <c r="V154" i="148" s="1"/>
  <c r="J153" i="148"/>
  <c r="W153" i="148" s="1"/>
  <c r="J152" i="148"/>
  <c r="W152" i="148" s="1"/>
  <c r="J151" i="148"/>
  <c r="W151" i="148" s="1"/>
  <c r="J150" i="148"/>
  <c r="V150" i="148" s="1"/>
  <c r="J149" i="148"/>
  <c r="J148" i="148"/>
  <c r="J139" i="148"/>
  <c r="V139" i="148" s="1"/>
  <c r="J138" i="148"/>
  <c r="W138" i="148" s="1"/>
  <c r="J137" i="148"/>
  <c r="J136" i="148"/>
  <c r="V136" i="148" s="1"/>
  <c r="J135" i="148"/>
  <c r="V135" i="148" s="1"/>
  <c r="J134" i="148"/>
  <c r="J133" i="148"/>
  <c r="J132" i="148"/>
  <c r="J131" i="148"/>
  <c r="J130" i="148"/>
  <c r="J128" i="148"/>
  <c r="V128" i="148" s="1"/>
  <c r="J127" i="148"/>
  <c r="W127" i="148" s="1"/>
  <c r="J126" i="148"/>
  <c r="W126" i="148" s="1"/>
  <c r="J125" i="148"/>
  <c r="W125" i="148" s="1"/>
  <c r="J124" i="148"/>
  <c r="J123" i="148"/>
  <c r="V123" i="148" s="1"/>
  <c r="J122" i="148"/>
  <c r="V122" i="148" s="1"/>
  <c r="J121" i="148"/>
  <c r="V121" i="148" s="1"/>
  <c r="J120" i="148"/>
  <c r="J119" i="148"/>
  <c r="J118" i="148"/>
  <c r="V118" i="148" s="1"/>
  <c r="J116" i="148"/>
  <c r="V116" i="148" s="1"/>
  <c r="J115" i="148"/>
  <c r="V115" i="148" s="1"/>
  <c r="J114" i="148"/>
  <c r="V114" i="148" s="1"/>
  <c r="J113" i="148"/>
  <c r="V113" i="148" s="1"/>
  <c r="J112" i="148"/>
  <c r="W112" i="148" s="1"/>
  <c r="J111" i="148"/>
  <c r="W102" i="148"/>
  <c r="J102" i="148"/>
  <c r="V102" i="148" s="1"/>
  <c r="J101" i="148"/>
  <c r="W101" i="148" s="1"/>
  <c r="J100" i="148"/>
  <c r="J99" i="148"/>
  <c r="W99" i="148" s="1"/>
  <c r="J98" i="148"/>
  <c r="V98" i="148" s="1"/>
  <c r="J97" i="148"/>
  <c r="V97" i="148" s="1"/>
  <c r="J96" i="148"/>
  <c r="V96" i="148" s="1"/>
  <c r="J95" i="148"/>
  <c r="V95" i="148" s="1"/>
  <c r="J92" i="148"/>
  <c r="J90" i="148"/>
  <c r="V90" i="148" s="1"/>
  <c r="J89" i="148"/>
  <c r="V89" i="148" s="1"/>
  <c r="J86" i="148"/>
  <c r="V86" i="148" s="1"/>
  <c r="J84" i="148"/>
  <c r="V84" i="148" s="1"/>
  <c r="J83" i="148"/>
  <c r="V83" i="148" s="1"/>
  <c r="J82" i="148"/>
  <c r="J81" i="148"/>
  <c r="J80" i="148"/>
  <c r="J79" i="148"/>
  <c r="W79" i="148" s="1"/>
  <c r="J78" i="148"/>
  <c r="V78" i="148" s="1"/>
  <c r="J77" i="148"/>
  <c r="V77" i="148" s="1"/>
  <c r="J75" i="148"/>
  <c r="W75" i="148" s="1"/>
  <c r="J74" i="148"/>
  <c r="J73" i="148"/>
  <c r="W73" i="148" s="1"/>
  <c r="J71" i="148"/>
  <c r="V71" i="148" s="1"/>
  <c r="J70" i="148"/>
  <c r="V70" i="148" s="1"/>
  <c r="J69" i="148"/>
  <c r="V69" i="148" s="1"/>
  <c r="J66" i="148"/>
  <c r="V66" i="148" s="1"/>
  <c r="J65" i="148"/>
  <c r="J64" i="148"/>
  <c r="J63" i="148"/>
  <c r="J62" i="148"/>
  <c r="J61" i="148"/>
  <c r="J60" i="148"/>
  <c r="J51" i="148"/>
  <c r="V51" i="148" s="1"/>
  <c r="J50" i="148"/>
  <c r="W50" i="148" s="1"/>
  <c r="J49" i="148"/>
  <c r="J48" i="148"/>
  <c r="W48" i="148" s="1"/>
  <c r="J47" i="148"/>
  <c r="V47" i="148" s="1"/>
  <c r="J46" i="148"/>
  <c r="V46" i="148" s="1"/>
  <c r="J45" i="148"/>
  <c r="V45" i="148" s="1"/>
  <c r="J44" i="148"/>
  <c r="V44" i="148" s="1"/>
  <c r="J43" i="148"/>
  <c r="V43" i="148" s="1"/>
  <c r="J40" i="148"/>
  <c r="W40" i="148" s="1"/>
  <c r="J39" i="148"/>
  <c r="V39" i="148" s="1"/>
  <c r="J38" i="148"/>
  <c r="V38" i="148" s="1"/>
  <c r="J37" i="148"/>
  <c r="W37" i="148" s="1"/>
  <c r="J36" i="148"/>
  <c r="W36" i="148" s="1"/>
  <c r="J35" i="148"/>
  <c r="J34" i="148"/>
  <c r="J33" i="148"/>
  <c r="J32" i="148"/>
  <c r="J31" i="148"/>
  <c r="W31" i="148" s="1"/>
  <c r="J30" i="148"/>
  <c r="V30" i="148" s="1"/>
  <c r="J29" i="148"/>
  <c r="V29" i="148" s="1"/>
  <c r="J28" i="148"/>
  <c r="V28" i="148" s="1"/>
  <c r="J27" i="148"/>
  <c r="W27" i="148" s="1"/>
  <c r="J26" i="148"/>
  <c r="V26" i="148" s="1"/>
  <c r="J25" i="148"/>
  <c r="W25" i="148" s="1"/>
  <c r="J24" i="148"/>
  <c r="V24" i="148" s="1"/>
  <c r="J23" i="148"/>
  <c r="V23" i="148" s="1"/>
  <c r="J22" i="148"/>
  <c r="W22" i="148" s="1"/>
  <c r="J21" i="148"/>
  <c r="J20" i="148"/>
  <c r="W20" i="148" s="1"/>
  <c r="J19" i="148"/>
  <c r="V19" i="148" s="1"/>
  <c r="J18" i="148"/>
  <c r="V18" i="148" s="1"/>
  <c r="J16" i="148"/>
  <c r="J15" i="148"/>
  <c r="W15" i="148" s="1"/>
  <c r="J14" i="148"/>
  <c r="V14" i="148" s="1"/>
  <c r="J13" i="148"/>
  <c r="J12" i="148"/>
  <c r="N10" i="148"/>
  <c r="J10" i="148"/>
  <c r="J9" i="148"/>
  <c r="W9" i="148" s="1"/>
  <c r="N8" i="148"/>
  <c r="J8" i="148"/>
  <c r="J7" i="148"/>
  <c r="W6" i="148"/>
  <c r="N6" i="148"/>
  <c r="J6" i="148"/>
  <c r="V6" i="148" s="1"/>
  <c r="N4" i="148"/>
  <c r="J130" i="147"/>
  <c r="J131" i="147"/>
  <c r="J132" i="147"/>
  <c r="J133" i="147"/>
  <c r="J134" i="147"/>
  <c r="H98" i="147"/>
  <c r="H47" i="147"/>
  <c r="H46" i="147"/>
  <c r="H45" i="147"/>
  <c r="H44" i="147"/>
  <c r="H97" i="147"/>
  <c r="H96" i="147"/>
  <c r="H93" i="147"/>
  <c r="H39" i="147"/>
  <c r="H37" i="147"/>
  <c r="H165" i="147"/>
  <c r="H163" i="147"/>
  <c r="H161" i="147"/>
  <c r="H160" i="147"/>
  <c r="H159" i="147"/>
  <c r="H158" i="147"/>
  <c r="H157" i="147"/>
  <c r="H153" i="147"/>
  <c r="H152" i="147"/>
  <c r="H151" i="147"/>
  <c r="H149" i="147"/>
  <c r="H129" i="147"/>
  <c r="H127" i="147"/>
  <c r="H126" i="147"/>
  <c r="H120" i="147"/>
  <c r="H117" i="147"/>
  <c r="H116" i="147"/>
  <c r="H115" i="147"/>
  <c r="H114" i="147"/>
  <c r="H86" i="147"/>
  <c r="H85" i="147"/>
  <c r="H82" i="147"/>
  <c r="H80" i="147"/>
  <c r="H78" i="147"/>
  <c r="H77" i="147"/>
  <c r="H72" i="147"/>
  <c r="H71" i="147"/>
  <c r="H70" i="147"/>
  <c r="H68" i="147"/>
  <c r="H67" i="147"/>
  <c r="H65" i="147"/>
  <c r="H64" i="147"/>
  <c r="H62" i="147"/>
  <c r="H61" i="147"/>
  <c r="H60" i="147"/>
  <c r="H34" i="147"/>
  <c r="H33" i="147"/>
  <c r="H32" i="147"/>
  <c r="H25" i="147"/>
  <c r="H23" i="147"/>
  <c r="H21" i="147"/>
  <c r="H16" i="147"/>
  <c r="H13" i="147"/>
  <c r="H12" i="147"/>
  <c r="H11" i="147"/>
  <c r="H10" i="147"/>
  <c r="H8" i="147"/>
  <c r="H7" i="147"/>
  <c r="W157" i="150" l="1"/>
  <c r="V157" i="150"/>
  <c r="V47" i="150"/>
  <c r="W47" i="150"/>
  <c r="V42" i="148"/>
  <c r="W42" i="148"/>
  <c r="W158" i="150"/>
  <c r="V158" i="150"/>
  <c r="V96" i="150"/>
  <c r="W96" i="150"/>
  <c r="W7" i="150"/>
  <c r="V9" i="150"/>
  <c r="V14" i="150"/>
  <c r="V18" i="150"/>
  <c r="W21" i="150"/>
  <c r="V23" i="150"/>
  <c r="V32" i="150"/>
  <c r="V41" i="150"/>
  <c r="W46" i="150"/>
  <c r="V66" i="150"/>
  <c r="W77" i="150"/>
  <c r="W98" i="150"/>
  <c r="V111" i="150"/>
  <c r="V116" i="150"/>
  <c r="V126" i="150"/>
  <c r="W128" i="150"/>
  <c r="V137" i="150"/>
  <c r="V139" i="150"/>
  <c r="V152" i="150"/>
  <c r="V153" i="150"/>
  <c r="W9" i="149"/>
  <c r="W169" i="149"/>
  <c r="W25" i="150"/>
  <c r="W34" i="150"/>
  <c r="V43" i="150"/>
  <c r="W45" i="150"/>
  <c r="V48" i="150"/>
  <c r="V69" i="150"/>
  <c r="V87" i="150"/>
  <c r="W89" i="150"/>
  <c r="V97" i="150"/>
  <c r="V122" i="150"/>
  <c r="V136" i="150"/>
  <c r="V164" i="150"/>
  <c r="V166" i="150"/>
  <c r="V50" i="148"/>
  <c r="W18" i="148"/>
  <c r="W51" i="148"/>
  <c r="W89" i="148"/>
  <c r="V17" i="150"/>
  <c r="W20" i="150"/>
  <c r="V22" i="150"/>
  <c r="V169" i="150"/>
  <c r="Q12" i="152"/>
  <c r="Q10" i="151"/>
  <c r="R10" i="151"/>
  <c r="O12" i="151"/>
  <c r="R12" i="151" s="1"/>
  <c r="P14" i="151" s="1"/>
  <c r="P12" i="151"/>
  <c r="Q4" i="151"/>
  <c r="Q12" i="151" s="1"/>
  <c r="R4" i="151"/>
  <c r="W14" i="149"/>
  <c r="W66" i="149"/>
  <c r="W69" i="149"/>
  <c r="W11" i="149"/>
  <c r="V18" i="149"/>
  <c r="V10" i="149"/>
  <c r="W38" i="149"/>
  <c r="W39" i="150"/>
  <c r="V39" i="150"/>
  <c r="W71" i="150"/>
  <c r="V71" i="150"/>
  <c r="V91" i="150"/>
  <c r="W91" i="150"/>
  <c r="W28" i="150"/>
  <c r="V28" i="150"/>
  <c r="W37" i="150"/>
  <c r="V37" i="150"/>
  <c r="V62" i="150"/>
  <c r="W62" i="150"/>
  <c r="V83" i="150"/>
  <c r="W83" i="150"/>
  <c r="J52" i="150"/>
  <c r="W6" i="150"/>
  <c r="V6" i="150"/>
  <c r="W94" i="150"/>
  <c r="V94" i="150"/>
  <c r="V81" i="150"/>
  <c r="W81" i="150"/>
  <c r="W16" i="150"/>
  <c r="V16" i="150"/>
  <c r="V68" i="150"/>
  <c r="W68" i="150"/>
  <c r="V79" i="150"/>
  <c r="W79" i="150"/>
  <c r="V100" i="150"/>
  <c r="W100" i="150"/>
  <c r="V118" i="150"/>
  <c r="W118" i="150"/>
  <c r="J140" i="150"/>
  <c r="V112" i="150"/>
  <c r="W138" i="150"/>
  <c r="V138" i="150"/>
  <c r="W155" i="150"/>
  <c r="V155" i="150"/>
  <c r="W162" i="150"/>
  <c r="V162" i="150"/>
  <c r="V11" i="150"/>
  <c r="V13" i="150"/>
  <c r="V15" i="150"/>
  <c r="V27" i="150"/>
  <c r="V30" i="150"/>
  <c r="V31" i="150"/>
  <c r="W35" i="150"/>
  <c r="V38" i="150"/>
  <c r="V44" i="150"/>
  <c r="W49" i="150"/>
  <c r="V51" i="150"/>
  <c r="W61" i="150"/>
  <c r="V64" i="150"/>
  <c r="W67" i="150"/>
  <c r="V70" i="150"/>
  <c r="V73" i="150"/>
  <c r="V74" i="150"/>
  <c r="W78" i="150"/>
  <c r="W82" i="150"/>
  <c r="V85" i="150"/>
  <c r="V88" i="150"/>
  <c r="W92" i="150"/>
  <c r="W99" i="150"/>
  <c r="V102" i="150"/>
  <c r="W112" i="150"/>
  <c r="V114" i="150"/>
  <c r="V115" i="150"/>
  <c r="W119" i="150"/>
  <c r="V121" i="150"/>
  <c r="V124" i="150"/>
  <c r="V127" i="150"/>
  <c r="V135" i="150"/>
  <c r="J171" i="150"/>
  <c r="V8" i="150"/>
  <c r="V10" i="150"/>
  <c r="V12" i="150"/>
  <c r="J103" i="150"/>
  <c r="V129" i="150"/>
  <c r="W163" i="150"/>
  <c r="V163" i="150"/>
  <c r="W167" i="150"/>
  <c r="V167" i="150"/>
  <c r="W26" i="150"/>
  <c r="V29" i="150"/>
  <c r="V36" i="150"/>
  <c r="V50" i="150"/>
  <c r="W63" i="150"/>
  <c r="V72" i="150"/>
  <c r="W80" i="150"/>
  <c r="W90" i="150"/>
  <c r="V93" i="150"/>
  <c r="W101" i="150"/>
  <c r="V113" i="150"/>
  <c r="W117" i="150"/>
  <c r="V120" i="150"/>
  <c r="W123" i="150"/>
  <c r="W150" i="150"/>
  <c r="V150" i="150"/>
  <c r="V171" i="150" s="1"/>
  <c r="O10" i="150" s="1"/>
  <c r="W161" i="150"/>
  <c r="V161" i="150"/>
  <c r="W168" i="150"/>
  <c r="V168" i="150"/>
  <c r="V170" i="150"/>
  <c r="W48" i="149"/>
  <c r="W100" i="149"/>
  <c r="V99" i="149"/>
  <c r="W96" i="149"/>
  <c r="W136" i="149"/>
  <c r="V139" i="149"/>
  <c r="W170" i="149"/>
  <c r="W166" i="149"/>
  <c r="V161" i="149"/>
  <c r="W161" i="149"/>
  <c r="V91" i="149"/>
  <c r="W47" i="149"/>
  <c r="V51" i="149"/>
  <c r="W44" i="149"/>
  <c r="W43" i="149"/>
  <c r="W151" i="149"/>
  <c r="V121" i="149"/>
  <c r="W118" i="149"/>
  <c r="W116" i="149"/>
  <c r="V115" i="149"/>
  <c r="W83" i="149"/>
  <c r="V82" i="149"/>
  <c r="W79" i="149"/>
  <c r="W70" i="149"/>
  <c r="W25" i="149"/>
  <c r="V24" i="149"/>
  <c r="W15" i="149"/>
  <c r="V65" i="149"/>
  <c r="W7" i="149"/>
  <c r="V6" i="149"/>
  <c r="V150" i="149"/>
  <c r="V155" i="149"/>
  <c r="W157" i="149"/>
  <c r="V160" i="149"/>
  <c r="V165" i="149"/>
  <c r="W123" i="149"/>
  <c r="J140" i="149"/>
  <c r="W117" i="149"/>
  <c r="V127" i="149"/>
  <c r="W122" i="149"/>
  <c r="V63" i="149"/>
  <c r="W71" i="149"/>
  <c r="V78" i="149"/>
  <c r="V95" i="149"/>
  <c r="N12" i="149"/>
  <c r="V17" i="149"/>
  <c r="V12" i="149"/>
  <c r="W13" i="149"/>
  <c r="V16" i="149"/>
  <c r="V30" i="149"/>
  <c r="W31" i="149"/>
  <c r="W37" i="149"/>
  <c r="W62" i="149"/>
  <c r="V62" i="149"/>
  <c r="W87" i="149"/>
  <c r="V87" i="149"/>
  <c r="W20" i="149"/>
  <c r="V20" i="149"/>
  <c r="W27" i="149"/>
  <c r="V27" i="149"/>
  <c r="W34" i="149"/>
  <c r="V34" i="149"/>
  <c r="W85" i="149"/>
  <c r="V85" i="149"/>
  <c r="W75" i="149"/>
  <c r="V75" i="149"/>
  <c r="W21" i="149"/>
  <c r="V21" i="149"/>
  <c r="W28" i="149"/>
  <c r="V28" i="149"/>
  <c r="W35" i="149"/>
  <c r="V35" i="149"/>
  <c r="W84" i="149"/>
  <c r="V84" i="149"/>
  <c r="W88" i="149"/>
  <c r="V88" i="149"/>
  <c r="W39" i="149"/>
  <c r="V39" i="149"/>
  <c r="W33" i="149"/>
  <c r="V33" i="149"/>
  <c r="W61" i="149"/>
  <c r="V61" i="149"/>
  <c r="W74" i="149"/>
  <c r="V74" i="149"/>
  <c r="W76" i="149"/>
  <c r="V76" i="149"/>
  <c r="W80" i="149"/>
  <c r="V80" i="149"/>
  <c r="W86" i="149"/>
  <c r="V86" i="149"/>
  <c r="W148" i="149"/>
  <c r="V148" i="149"/>
  <c r="J171" i="149"/>
  <c r="W152" i="149"/>
  <c r="V152" i="149"/>
  <c r="W19" i="149"/>
  <c r="V19" i="149"/>
  <c r="W26" i="149"/>
  <c r="V26" i="149"/>
  <c r="V42" i="149"/>
  <c r="V46" i="149"/>
  <c r="V50" i="149"/>
  <c r="W67" i="149"/>
  <c r="V67" i="149"/>
  <c r="W72" i="149"/>
  <c r="V90" i="149"/>
  <c r="V94" i="149"/>
  <c r="V98" i="149"/>
  <c r="V102" i="149"/>
  <c r="V111" i="149"/>
  <c r="W113" i="149"/>
  <c r="V113" i="149"/>
  <c r="V120" i="149"/>
  <c r="V126" i="149"/>
  <c r="V129" i="149"/>
  <c r="W137" i="149"/>
  <c r="V137" i="149"/>
  <c r="V154" i="149"/>
  <c r="W162" i="149"/>
  <c r="J52" i="149"/>
  <c r="V8" i="149"/>
  <c r="V23" i="149"/>
  <c r="W32" i="149"/>
  <c r="V32" i="149"/>
  <c r="V36" i="149"/>
  <c r="V41" i="149"/>
  <c r="J103" i="149"/>
  <c r="V60" i="149"/>
  <c r="W73" i="149"/>
  <c r="V73" i="149"/>
  <c r="V77" i="149"/>
  <c r="V81" i="149"/>
  <c r="V89" i="149"/>
  <c r="V93" i="149"/>
  <c r="W111" i="149"/>
  <c r="W124" i="149"/>
  <c r="V128" i="149"/>
  <c r="V149" i="149"/>
  <c r="V153" i="149"/>
  <c r="V156" i="149"/>
  <c r="V159" i="149"/>
  <c r="W159" i="149"/>
  <c r="V168" i="149"/>
  <c r="W168" i="149"/>
  <c r="V22" i="149"/>
  <c r="V29" i="149"/>
  <c r="V40" i="149"/>
  <c r="W45" i="149"/>
  <c r="V45" i="149"/>
  <c r="W49" i="149"/>
  <c r="V49" i="149"/>
  <c r="W60" i="149"/>
  <c r="V64" i="149"/>
  <c r="V68" i="149"/>
  <c r="V92" i="149"/>
  <c r="W97" i="149"/>
  <c r="V97" i="149"/>
  <c r="W101" i="149"/>
  <c r="V101" i="149"/>
  <c r="V114" i="149"/>
  <c r="W119" i="149"/>
  <c r="V119" i="149"/>
  <c r="W125" i="149"/>
  <c r="V125" i="149"/>
  <c r="V138" i="149"/>
  <c r="V164" i="149"/>
  <c r="W164" i="149"/>
  <c r="V158" i="149"/>
  <c r="V163" i="149"/>
  <c r="V167" i="149"/>
  <c r="V48" i="148"/>
  <c r="W139" i="148"/>
  <c r="W135" i="148"/>
  <c r="V138" i="148"/>
  <c r="W164" i="148"/>
  <c r="V162" i="148"/>
  <c r="V151" i="148"/>
  <c r="W150" i="148"/>
  <c r="W128" i="148"/>
  <c r="W122" i="148"/>
  <c r="W121" i="148"/>
  <c r="W117" i="148"/>
  <c r="W113" i="148"/>
  <c r="V94" i="148"/>
  <c r="W91" i="148"/>
  <c r="V91" i="148"/>
  <c r="V87" i="148"/>
  <c r="W85" i="148"/>
  <c r="W83" i="148"/>
  <c r="W78" i="148"/>
  <c r="W76" i="148"/>
  <c r="W72" i="148"/>
  <c r="W70" i="148"/>
  <c r="W29" i="148"/>
  <c r="V27" i="148"/>
  <c r="W24" i="148"/>
  <c r="W168" i="148"/>
  <c r="W154" i="148"/>
  <c r="V153" i="148"/>
  <c r="V112" i="148"/>
  <c r="V126" i="148"/>
  <c r="V125" i="148"/>
  <c r="W115" i="148"/>
  <c r="V75" i="148"/>
  <c r="W98" i="148"/>
  <c r="W66" i="148"/>
  <c r="W69" i="148"/>
  <c r="W71" i="148"/>
  <c r="V73" i="148"/>
  <c r="W77" i="148"/>
  <c r="V79" i="148"/>
  <c r="W84" i="148"/>
  <c r="W86" i="148"/>
  <c r="W90" i="148"/>
  <c r="V101" i="148"/>
  <c r="W96" i="148"/>
  <c r="W95" i="148"/>
  <c r="W97" i="148"/>
  <c r="V99" i="148"/>
  <c r="V36" i="148"/>
  <c r="W38" i="148"/>
  <c r="V40" i="148"/>
  <c r="W44" i="148"/>
  <c r="W46" i="148"/>
  <c r="V9" i="148"/>
  <c r="V15" i="148"/>
  <c r="V31" i="148"/>
  <c r="W39" i="148"/>
  <c r="W43" i="148"/>
  <c r="W45" i="148"/>
  <c r="W47" i="148"/>
  <c r="W8" i="148"/>
  <c r="V8" i="148"/>
  <c r="W10" i="148"/>
  <c r="V10" i="148"/>
  <c r="V12" i="148"/>
  <c r="W12" i="148"/>
  <c r="W21" i="148"/>
  <c r="V21" i="148"/>
  <c r="W7" i="148"/>
  <c r="V7" i="148"/>
  <c r="V13" i="148"/>
  <c r="W13" i="148"/>
  <c r="W16" i="148"/>
  <c r="V16" i="148"/>
  <c r="N12" i="148"/>
  <c r="W35" i="148"/>
  <c r="V35" i="148"/>
  <c r="V61" i="148"/>
  <c r="W61" i="148"/>
  <c r="W64" i="148"/>
  <c r="V64" i="148"/>
  <c r="W82" i="148"/>
  <c r="V82" i="148"/>
  <c r="W93" i="148"/>
  <c r="V93" i="148"/>
  <c r="W120" i="148"/>
  <c r="V120" i="148"/>
  <c r="W156" i="148"/>
  <c r="V156" i="148"/>
  <c r="W158" i="148"/>
  <c r="V158" i="148"/>
  <c r="W160" i="148"/>
  <c r="V160" i="148"/>
  <c r="V11" i="148"/>
  <c r="V17" i="148"/>
  <c r="V20" i="148"/>
  <c r="W26" i="148"/>
  <c r="W28" i="148"/>
  <c r="V32" i="148"/>
  <c r="W32" i="148"/>
  <c r="V37" i="148"/>
  <c r="W41" i="148"/>
  <c r="V41" i="148"/>
  <c r="W49" i="148"/>
  <c r="V49" i="148"/>
  <c r="V62" i="148"/>
  <c r="W62" i="148"/>
  <c r="V68" i="148"/>
  <c r="V80" i="148"/>
  <c r="W80" i="148"/>
  <c r="W100" i="148"/>
  <c r="V100" i="148"/>
  <c r="W148" i="148"/>
  <c r="V148" i="148"/>
  <c r="J171" i="148"/>
  <c r="W167" i="148"/>
  <c r="V167" i="148"/>
  <c r="V33" i="148"/>
  <c r="W33" i="148"/>
  <c r="W63" i="148"/>
  <c r="V63" i="148"/>
  <c r="W65" i="148"/>
  <c r="V65" i="148"/>
  <c r="W81" i="148"/>
  <c r="V81" i="148"/>
  <c r="W88" i="148"/>
  <c r="V88" i="148"/>
  <c r="W92" i="148"/>
  <c r="V92" i="148"/>
  <c r="W114" i="148"/>
  <c r="W116" i="148"/>
  <c r="W119" i="148"/>
  <c r="V119" i="148"/>
  <c r="V127" i="148"/>
  <c r="W129" i="148"/>
  <c r="V152" i="148"/>
  <c r="W157" i="148"/>
  <c r="V157" i="148"/>
  <c r="W159" i="148"/>
  <c r="V159" i="148"/>
  <c r="W161" i="148"/>
  <c r="V161" i="148"/>
  <c r="W14" i="148"/>
  <c r="V22" i="148"/>
  <c r="W23" i="148"/>
  <c r="W30" i="148"/>
  <c r="J52" i="148"/>
  <c r="W19" i="148"/>
  <c r="V25" i="148"/>
  <c r="V34" i="148"/>
  <c r="W34" i="148"/>
  <c r="V60" i="148"/>
  <c r="J103" i="148"/>
  <c r="W60" i="148"/>
  <c r="V67" i="148"/>
  <c r="W74" i="148"/>
  <c r="V74" i="148"/>
  <c r="W111" i="148"/>
  <c r="J140" i="148"/>
  <c r="V111" i="148"/>
  <c r="W124" i="148"/>
  <c r="V124" i="148"/>
  <c r="W137" i="148"/>
  <c r="V137" i="148"/>
  <c r="W149" i="148"/>
  <c r="V149" i="148"/>
  <c r="V163" i="148"/>
  <c r="W165" i="148"/>
  <c r="W118" i="148"/>
  <c r="W123" i="148"/>
  <c r="W136" i="148"/>
  <c r="W155" i="148"/>
  <c r="W166" i="148"/>
  <c r="W170" i="148"/>
  <c r="J170" i="147"/>
  <c r="W170" i="147" s="1"/>
  <c r="J169" i="147"/>
  <c r="W169" i="147" s="1"/>
  <c r="J168" i="147"/>
  <c r="W168" i="147" s="1"/>
  <c r="J167" i="147"/>
  <c r="V167" i="147" s="1"/>
  <c r="J166" i="147"/>
  <c r="V166" i="147" s="1"/>
  <c r="J165" i="147"/>
  <c r="W165" i="147" s="1"/>
  <c r="J164" i="147"/>
  <c r="J163" i="147"/>
  <c r="W163" i="147" s="1"/>
  <c r="J162" i="147"/>
  <c r="W162" i="147" s="1"/>
  <c r="J161" i="147"/>
  <c r="W161" i="147" s="1"/>
  <c r="J160" i="147"/>
  <c r="J159" i="147"/>
  <c r="J158" i="147"/>
  <c r="J157" i="147"/>
  <c r="V157" i="147" s="1"/>
  <c r="J156" i="147"/>
  <c r="V156" i="147" s="1"/>
  <c r="J155" i="147"/>
  <c r="W155" i="147" s="1"/>
  <c r="J154" i="147"/>
  <c r="W154" i="147" s="1"/>
  <c r="J153" i="147"/>
  <c r="W153" i="147" s="1"/>
  <c r="J152" i="147"/>
  <c r="W152" i="147" s="1"/>
  <c r="J151" i="147"/>
  <c r="W151" i="147" s="1"/>
  <c r="J150" i="147"/>
  <c r="V150" i="147" s="1"/>
  <c r="J149" i="147"/>
  <c r="J148" i="147"/>
  <c r="J139" i="147"/>
  <c r="W139" i="147" s="1"/>
  <c r="J138" i="147"/>
  <c r="W138" i="147" s="1"/>
  <c r="J137" i="147"/>
  <c r="V137" i="147" s="1"/>
  <c r="J136" i="147"/>
  <c r="W136" i="147" s="1"/>
  <c r="J135" i="147"/>
  <c r="W135" i="147" s="1"/>
  <c r="J129" i="147"/>
  <c r="W129" i="147" s="1"/>
  <c r="J128" i="147"/>
  <c r="W128" i="147" s="1"/>
  <c r="J127" i="147"/>
  <c r="W127" i="147" s="1"/>
  <c r="J126" i="147"/>
  <c r="V126" i="147" s="1"/>
  <c r="J125" i="147"/>
  <c r="W125" i="147" s="1"/>
  <c r="J124" i="147"/>
  <c r="W124" i="147" s="1"/>
  <c r="J123" i="147"/>
  <c r="W123" i="147" s="1"/>
  <c r="J122" i="147"/>
  <c r="W122" i="147" s="1"/>
  <c r="J121" i="147"/>
  <c r="V121" i="147" s="1"/>
  <c r="J120" i="147"/>
  <c r="J119" i="147"/>
  <c r="W119" i="147" s="1"/>
  <c r="J118" i="147"/>
  <c r="W118" i="147" s="1"/>
  <c r="J117" i="147"/>
  <c r="W117" i="147" s="1"/>
  <c r="J116" i="147"/>
  <c r="V116" i="147" s="1"/>
  <c r="J115" i="147"/>
  <c r="V115" i="147" s="1"/>
  <c r="J114" i="147"/>
  <c r="W114" i="147" s="1"/>
  <c r="J113" i="147"/>
  <c r="W113" i="147" s="1"/>
  <c r="J112" i="147"/>
  <c r="W112" i="147" s="1"/>
  <c r="J111" i="147"/>
  <c r="W111" i="147" s="1"/>
  <c r="J102" i="147"/>
  <c r="W102" i="147" s="1"/>
  <c r="J101" i="147"/>
  <c r="V101" i="147" s="1"/>
  <c r="J100" i="147"/>
  <c r="V100" i="147" s="1"/>
  <c r="J99" i="147"/>
  <c r="W99" i="147" s="1"/>
  <c r="J98" i="147"/>
  <c r="W98" i="147" s="1"/>
  <c r="J97" i="147"/>
  <c r="W97" i="147" s="1"/>
  <c r="J96" i="147"/>
  <c r="V96" i="147" s="1"/>
  <c r="J95" i="147"/>
  <c r="V95" i="147" s="1"/>
  <c r="J94" i="147"/>
  <c r="J93" i="147"/>
  <c r="J92" i="147"/>
  <c r="J91" i="147"/>
  <c r="W91" i="147" s="1"/>
  <c r="J90" i="147"/>
  <c r="W90" i="147" s="1"/>
  <c r="J89" i="147"/>
  <c r="W89" i="147" s="1"/>
  <c r="J88" i="147"/>
  <c r="V88" i="147" s="1"/>
  <c r="J87" i="147"/>
  <c r="V87" i="147" s="1"/>
  <c r="J86" i="147"/>
  <c r="W86" i="147" s="1"/>
  <c r="J85" i="147"/>
  <c r="W85" i="147" s="1"/>
  <c r="J84" i="147"/>
  <c r="J83" i="147"/>
  <c r="W83" i="147" s="1"/>
  <c r="J82" i="147"/>
  <c r="V82" i="147" s="1"/>
  <c r="J81" i="147"/>
  <c r="V81" i="147" s="1"/>
  <c r="J80" i="147"/>
  <c r="J79" i="147"/>
  <c r="W79" i="147" s="1"/>
  <c r="J78" i="147"/>
  <c r="W78" i="147" s="1"/>
  <c r="J77" i="147"/>
  <c r="W77" i="147" s="1"/>
  <c r="J76" i="147"/>
  <c r="V76" i="147" s="1"/>
  <c r="J75" i="147"/>
  <c r="V75" i="147" s="1"/>
  <c r="J74" i="147"/>
  <c r="J73" i="147"/>
  <c r="W73" i="147" s="1"/>
  <c r="J72" i="147"/>
  <c r="W72" i="147" s="1"/>
  <c r="J71" i="147"/>
  <c r="W71" i="147" s="1"/>
  <c r="J70" i="147"/>
  <c r="J69" i="147"/>
  <c r="W69" i="147" s="1"/>
  <c r="J68" i="147"/>
  <c r="V68" i="147" s="1"/>
  <c r="J67" i="147"/>
  <c r="W67" i="147" s="1"/>
  <c r="J66" i="147"/>
  <c r="W66" i="147" s="1"/>
  <c r="J65" i="147"/>
  <c r="W65" i="147" s="1"/>
  <c r="J64" i="147"/>
  <c r="J63" i="147"/>
  <c r="J62" i="147"/>
  <c r="V62" i="147" s="1"/>
  <c r="J61" i="147"/>
  <c r="V61" i="147" s="1"/>
  <c r="J60" i="147"/>
  <c r="W60" i="147" s="1"/>
  <c r="J51" i="147"/>
  <c r="W51" i="147" s="1"/>
  <c r="J50" i="147"/>
  <c r="W50" i="147" s="1"/>
  <c r="J49" i="147"/>
  <c r="V49" i="147" s="1"/>
  <c r="J48" i="147"/>
  <c r="V48" i="147" s="1"/>
  <c r="J47" i="147"/>
  <c r="W47" i="147" s="1"/>
  <c r="J46" i="147"/>
  <c r="W46" i="147" s="1"/>
  <c r="J45" i="147"/>
  <c r="J44" i="147"/>
  <c r="W44" i="147" s="1"/>
  <c r="J43" i="147"/>
  <c r="V43" i="147" s="1"/>
  <c r="J42" i="147"/>
  <c r="W42" i="147" s="1"/>
  <c r="J41" i="147"/>
  <c r="W41" i="147" s="1"/>
  <c r="J40" i="147"/>
  <c r="W40" i="147" s="1"/>
  <c r="J39" i="147"/>
  <c r="V39" i="147" s="1"/>
  <c r="J38" i="147"/>
  <c r="W38" i="147" s="1"/>
  <c r="J37" i="147"/>
  <c r="W37" i="147" s="1"/>
  <c r="J36" i="147"/>
  <c r="J35" i="147"/>
  <c r="V35" i="147" s="1"/>
  <c r="J34" i="147"/>
  <c r="V34" i="147" s="1"/>
  <c r="J33" i="147"/>
  <c r="W33" i="147" s="1"/>
  <c r="J32" i="147"/>
  <c r="W32" i="147" s="1"/>
  <c r="J31" i="147"/>
  <c r="V31" i="147" s="1"/>
  <c r="J30" i="147"/>
  <c r="V30" i="147" s="1"/>
  <c r="J29" i="147"/>
  <c r="W29" i="147" s="1"/>
  <c r="J28" i="147"/>
  <c r="W28" i="147" s="1"/>
  <c r="J27" i="147"/>
  <c r="W27" i="147" s="1"/>
  <c r="J26" i="147"/>
  <c r="V26" i="147" s="1"/>
  <c r="J25" i="147"/>
  <c r="V25" i="147" s="1"/>
  <c r="J24" i="147"/>
  <c r="J23" i="147"/>
  <c r="W23" i="147" s="1"/>
  <c r="J22" i="147"/>
  <c r="W22" i="147" s="1"/>
  <c r="J21" i="147"/>
  <c r="W21" i="147" s="1"/>
  <c r="J20" i="147"/>
  <c r="V20" i="147" s="1"/>
  <c r="J19" i="147"/>
  <c r="J18" i="147"/>
  <c r="W18" i="147" s="1"/>
  <c r="J17" i="147"/>
  <c r="W17" i="147" s="1"/>
  <c r="J16" i="147"/>
  <c r="J15" i="147"/>
  <c r="V15" i="147" s="1"/>
  <c r="J14" i="147"/>
  <c r="W14" i="147" s="1"/>
  <c r="J13" i="147"/>
  <c r="V13" i="147" s="1"/>
  <c r="J12" i="147"/>
  <c r="W12" i="147" s="1"/>
  <c r="J11" i="147"/>
  <c r="V11" i="147" s="1"/>
  <c r="N10" i="147"/>
  <c r="J10" i="147"/>
  <c r="W10" i="147" s="1"/>
  <c r="J9" i="147"/>
  <c r="W9" i="147" s="1"/>
  <c r="N8" i="147"/>
  <c r="J8" i="147"/>
  <c r="J7" i="147"/>
  <c r="V7" i="147" s="1"/>
  <c r="N6" i="147"/>
  <c r="J6" i="147"/>
  <c r="W6" i="147" s="1"/>
  <c r="N4" i="147"/>
  <c r="H162" i="146"/>
  <c r="H130" i="146"/>
  <c r="H98" i="146"/>
  <c r="H45" i="146"/>
  <c r="H94" i="146"/>
  <c r="H161" i="146"/>
  <c r="H129" i="146"/>
  <c r="H159" i="146"/>
  <c r="H93" i="146"/>
  <c r="J93" i="146" s="1"/>
  <c r="H92" i="146"/>
  <c r="H78" i="146"/>
  <c r="J78" i="146" s="1"/>
  <c r="H36" i="146"/>
  <c r="J36" i="146" s="1"/>
  <c r="H157" i="146"/>
  <c r="J157" i="146" s="1"/>
  <c r="W157" i="146" s="1"/>
  <c r="H88" i="146"/>
  <c r="H124" i="146"/>
  <c r="H84" i="146"/>
  <c r="J84" i="146" s="1"/>
  <c r="W84" i="146" s="1"/>
  <c r="H155" i="146"/>
  <c r="J155" i="146" s="1"/>
  <c r="V155" i="146" s="1"/>
  <c r="H154" i="146"/>
  <c r="H82" i="146"/>
  <c r="H28" i="146"/>
  <c r="H80" i="146"/>
  <c r="J80" i="146" s="1"/>
  <c r="V80" i="146" s="1"/>
  <c r="H153" i="146"/>
  <c r="H120" i="146"/>
  <c r="H24" i="146"/>
  <c r="H74" i="146"/>
  <c r="J74" i="146" s="1"/>
  <c r="V74" i="146" s="1"/>
  <c r="H149" i="146"/>
  <c r="H72" i="146"/>
  <c r="H19" i="146"/>
  <c r="J19" i="146" s="1"/>
  <c r="W19" i="146" s="1"/>
  <c r="H16" i="146"/>
  <c r="H70" i="146"/>
  <c r="H116" i="146"/>
  <c r="H148" i="146"/>
  <c r="H13" i="146"/>
  <c r="J13" i="146" s="1"/>
  <c r="V13" i="146" s="1"/>
  <c r="H66" i="146"/>
  <c r="H64" i="146"/>
  <c r="H11" i="146"/>
  <c r="J11" i="146" s="1"/>
  <c r="W11" i="146" s="1"/>
  <c r="H9" i="146"/>
  <c r="H8" i="146"/>
  <c r="H63" i="146"/>
  <c r="H144" i="146"/>
  <c r="J144" i="146" s="1"/>
  <c r="W144" i="146" s="1"/>
  <c r="H143" i="146"/>
  <c r="J143" i="146" s="1"/>
  <c r="H61" i="146"/>
  <c r="H60" i="146"/>
  <c r="H93" i="145"/>
  <c r="H92" i="145"/>
  <c r="J92" i="145" s="1"/>
  <c r="W92" i="145" s="1"/>
  <c r="H87" i="145"/>
  <c r="H86" i="145"/>
  <c r="H84" i="145"/>
  <c r="J84" i="145" s="1"/>
  <c r="H80" i="145"/>
  <c r="J80" i="145" s="1"/>
  <c r="W80" i="145" s="1"/>
  <c r="H79" i="145"/>
  <c r="H74" i="145"/>
  <c r="H72" i="145"/>
  <c r="H70" i="145"/>
  <c r="J70" i="145" s="1"/>
  <c r="W70" i="145" s="1"/>
  <c r="H68" i="145"/>
  <c r="H65" i="145"/>
  <c r="H64" i="145"/>
  <c r="H63" i="145"/>
  <c r="J63" i="145" s="1"/>
  <c r="V63" i="145" s="1"/>
  <c r="J165" i="146"/>
  <c r="J164" i="146"/>
  <c r="V164" i="146" s="1"/>
  <c r="W163" i="146"/>
  <c r="J163" i="146"/>
  <c r="V163" i="146" s="1"/>
  <c r="J162" i="146"/>
  <c r="W162" i="146" s="1"/>
  <c r="J161" i="146"/>
  <c r="J160" i="146"/>
  <c r="V160" i="146" s="1"/>
  <c r="J159" i="146"/>
  <c r="V159" i="146" s="1"/>
  <c r="J158" i="146"/>
  <c r="W158" i="146" s="1"/>
  <c r="J156" i="146"/>
  <c r="J154" i="146"/>
  <c r="V154" i="146" s="1"/>
  <c r="J153" i="146"/>
  <c r="W153" i="146" s="1"/>
  <c r="J152" i="146"/>
  <c r="W152" i="146" s="1"/>
  <c r="J151" i="146"/>
  <c r="J150" i="146"/>
  <c r="V150" i="146" s="1"/>
  <c r="J149" i="146"/>
  <c r="W149" i="146" s="1"/>
  <c r="J148" i="146"/>
  <c r="W148" i="146" s="1"/>
  <c r="V147" i="146"/>
  <c r="J147" i="146"/>
  <c r="W147" i="146" s="1"/>
  <c r="J146" i="146"/>
  <c r="W146" i="146" s="1"/>
  <c r="J145" i="146"/>
  <c r="W145" i="146" s="1"/>
  <c r="W134" i="146"/>
  <c r="J134" i="146"/>
  <c r="V134" i="146" s="1"/>
  <c r="J133" i="146"/>
  <c r="W133" i="146" s="1"/>
  <c r="J132" i="146"/>
  <c r="W132" i="146" s="1"/>
  <c r="J131" i="146"/>
  <c r="W130" i="146"/>
  <c r="J130" i="146"/>
  <c r="V130" i="146" s="1"/>
  <c r="J129" i="146"/>
  <c r="W129" i="146" s="1"/>
  <c r="J128" i="146"/>
  <c r="W128" i="146" s="1"/>
  <c r="J127" i="146"/>
  <c r="W127" i="146" s="1"/>
  <c r="J126" i="146"/>
  <c r="W126" i="146" s="1"/>
  <c r="J125" i="146"/>
  <c r="W125" i="146" s="1"/>
  <c r="J124" i="146"/>
  <c r="J123" i="146"/>
  <c r="J122" i="146"/>
  <c r="J121" i="146"/>
  <c r="V121" i="146" s="1"/>
  <c r="J120" i="146"/>
  <c r="V120" i="146" s="1"/>
  <c r="J119" i="146"/>
  <c r="V119" i="146" s="1"/>
  <c r="J118" i="146"/>
  <c r="W118" i="146" s="1"/>
  <c r="J117" i="146"/>
  <c r="W117" i="146" s="1"/>
  <c r="J116" i="146"/>
  <c r="J115" i="146"/>
  <c r="V115" i="146" s="1"/>
  <c r="J114" i="146"/>
  <c r="W114" i="146" s="1"/>
  <c r="J113" i="146"/>
  <c r="W113" i="146" s="1"/>
  <c r="J112" i="146"/>
  <c r="J111" i="146"/>
  <c r="V111" i="146" s="1"/>
  <c r="J102" i="146"/>
  <c r="W102" i="146" s="1"/>
  <c r="J101" i="146"/>
  <c r="J100" i="146"/>
  <c r="V100" i="146" s="1"/>
  <c r="J99" i="146"/>
  <c r="W99" i="146" s="1"/>
  <c r="J98" i="146"/>
  <c r="W98" i="146" s="1"/>
  <c r="J97" i="146"/>
  <c r="J96" i="146"/>
  <c r="V96" i="146" s="1"/>
  <c r="J95" i="146"/>
  <c r="W95" i="146" s="1"/>
  <c r="J94" i="146"/>
  <c r="W94" i="146" s="1"/>
  <c r="J92" i="146"/>
  <c r="V92" i="146" s="1"/>
  <c r="J91" i="146"/>
  <c r="W91" i="146" s="1"/>
  <c r="J90" i="146"/>
  <c r="W90" i="146" s="1"/>
  <c r="J89" i="146"/>
  <c r="J88" i="146"/>
  <c r="W88" i="146" s="1"/>
  <c r="J87" i="146"/>
  <c r="V87" i="146" s="1"/>
  <c r="J86" i="146"/>
  <c r="W86" i="146" s="1"/>
  <c r="J85" i="146"/>
  <c r="J83" i="146"/>
  <c r="W83" i="146" s="1"/>
  <c r="J82" i="146"/>
  <c r="W82" i="146" s="1"/>
  <c r="J81" i="146"/>
  <c r="J79" i="146"/>
  <c r="W79" i="146" s="1"/>
  <c r="J77" i="146"/>
  <c r="J76" i="146"/>
  <c r="J75" i="146"/>
  <c r="J73" i="146"/>
  <c r="V73" i="146" s="1"/>
  <c r="J72" i="146"/>
  <c r="V72" i="146" s="1"/>
  <c r="J71" i="146"/>
  <c r="V71" i="146" s="1"/>
  <c r="J70" i="146"/>
  <c r="W70" i="146" s="1"/>
  <c r="J69" i="146"/>
  <c r="W69" i="146" s="1"/>
  <c r="J68" i="146"/>
  <c r="V68" i="146" s="1"/>
  <c r="J67" i="146"/>
  <c r="W67" i="146" s="1"/>
  <c r="J66" i="146"/>
  <c r="J65" i="146"/>
  <c r="J64" i="146"/>
  <c r="J63" i="146"/>
  <c r="V63" i="146" s="1"/>
  <c r="J62" i="146"/>
  <c r="W62" i="146" s="1"/>
  <c r="J61" i="146"/>
  <c r="W61" i="146" s="1"/>
  <c r="J60" i="146"/>
  <c r="V60" i="146" s="1"/>
  <c r="J51" i="146"/>
  <c r="V51" i="146" s="1"/>
  <c r="J50" i="146"/>
  <c r="W50" i="146" s="1"/>
  <c r="J49" i="146"/>
  <c r="W49" i="146" s="1"/>
  <c r="J48" i="146"/>
  <c r="J47" i="146"/>
  <c r="V47" i="146" s="1"/>
  <c r="J46" i="146"/>
  <c r="W46" i="146" s="1"/>
  <c r="J45" i="146"/>
  <c r="W45" i="146" s="1"/>
  <c r="J44" i="146"/>
  <c r="J43" i="146"/>
  <c r="V43" i="146" s="1"/>
  <c r="J42" i="146"/>
  <c r="W42" i="146" s="1"/>
  <c r="J41" i="146"/>
  <c r="W41" i="146" s="1"/>
  <c r="J40" i="146"/>
  <c r="J39" i="146"/>
  <c r="V39" i="146" s="1"/>
  <c r="J38" i="146"/>
  <c r="V38" i="146" s="1"/>
  <c r="V37" i="146"/>
  <c r="J37" i="146"/>
  <c r="W37" i="146" s="1"/>
  <c r="J35" i="146"/>
  <c r="J34" i="146"/>
  <c r="V34" i="146" s="1"/>
  <c r="J33" i="146"/>
  <c r="V33" i="146" s="1"/>
  <c r="J32" i="146"/>
  <c r="W32" i="146" s="1"/>
  <c r="J31" i="146"/>
  <c r="W31" i="146" s="1"/>
  <c r="J30" i="146"/>
  <c r="J29" i="146"/>
  <c r="V29" i="146" s="1"/>
  <c r="J28" i="146"/>
  <c r="V28" i="146" s="1"/>
  <c r="J27" i="146"/>
  <c r="V27" i="146" s="1"/>
  <c r="J26" i="146"/>
  <c r="V26" i="146" s="1"/>
  <c r="J25" i="146"/>
  <c r="V25" i="146" s="1"/>
  <c r="J24" i="146"/>
  <c r="W24" i="146" s="1"/>
  <c r="J23" i="146"/>
  <c r="J22" i="146"/>
  <c r="V22" i="146" s="1"/>
  <c r="J21" i="146"/>
  <c r="V21" i="146" s="1"/>
  <c r="J20" i="146"/>
  <c r="W20" i="146" s="1"/>
  <c r="J18" i="146"/>
  <c r="W18" i="146" s="1"/>
  <c r="J17" i="146"/>
  <c r="J16" i="146"/>
  <c r="V16" i="146" s="1"/>
  <c r="J15" i="146"/>
  <c r="W15" i="146" s="1"/>
  <c r="J14" i="146"/>
  <c r="W14" i="146" s="1"/>
  <c r="J12" i="146"/>
  <c r="W12" i="146" s="1"/>
  <c r="N10" i="146"/>
  <c r="J10" i="146"/>
  <c r="J9" i="146"/>
  <c r="N8" i="146"/>
  <c r="J8" i="146"/>
  <c r="V8" i="146" s="1"/>
  <c r="J7" i="146"/>
  <c r="V7" i="146" s="1"/>
  <c r="N6" i="146"/>
  <c r="J6" i="146"/>
  <c r="V6" i="146" s="1"/>
  <c r="N4" i="146"/>
  <c r="J74" i="145"/>
  <c r="W74" i="145" s="1"/>
  <c r="J12" i="145"/>
  <c r="W12" i="145" s="1"/>
  <c r="H158" i="145"/>
  <c r="H154" i="145"/>
  <c r="J154" i="145" s="1"/>
  <c r="W154" i="145" s="1"/>
  <c r="H128" i="145"/>
  <c r="J128" i="145" s="1"/>
  <c r="W128" i="145" s="1"/>
  <c r="H127" i="145"/>
  <c r="J127" i="145" s="1"/>
  <c r="W127" i="145" s="1"/>
  <c r="H126" i="145"/>
  <c r="J126" i="145" s="1"/>
  <c r="W126" i="145" s="1"/>
  <c r="H124" i="145"/>
  <c r="J124" i="145" s="1"/>
  <c r="H122" i="145"/>
  <c r="J122" i="145" s="1"/>
  <c r="W122" i="145" s="1"/>
  <c r="H120" i="145"/>
  <c r="J120" i="145" s="1"/>
  <c r="W120" i="145" s="1"/>
  <c r="H118" i="145"/>
  <c r="J118" i="145" s="1"/>
  <c r="J69" i="145"/>
  <c r="J67" i="145"/>
  <c r="J66" i="145"/>
  <c r="H36" i="145"/>
  <c r="H33" i="145"/>
  <c r="H29" i="145"/>
  <c r="J29" i="145" s="1"/>
  <c r="H28" i="145"/>
  <c r="H27" i="145"/>
  <c r="H20" i="145"/>
  <c r="J20" i="145" s="1"/>
  <c r="W20" i="145" s="1"/>
  <c r="H19" i="145"/>
  <c r="J19" i="145" s="1"/>
  <c r="W19" i="145" s="1"/>
  <c r="J17" i="145"/>
  <c r="W17" i="145" s="1"/>
  <c r="H15" i="145"/>
  <c r="J65" i="145"/>
  <c r="H148" i="145"/>
  <c r="J148" i="145" s="1"/>
  <c r="H147" i="145"/>
  <c r="J147" i="145" s="1"/>
  <c r="J10" i="145"/>
  <c r="V10" i="145" s="1"/>
  <c r="J114" i="145"/>
  <c r="H146" i="145"/>
  <c r="J146" i="145" s="1"/>
  <c r="W146" i="145" s="1"/>
  <c r="H145" i="145"/>
  <c r="J145" i="145" s="1"/>
  <c r="W145" i="145" s="1"/>
  <c r="J62" i="145"/>
  <c r="V62" i="145" s="1"/>
  <c r="H6" i="145"/>
  <c r="J6" i="145" s="1"/>
  <c r="W6" i="145" s="1"/>
  <c r="H144" i="145"/>
  <c r="J144" i="145" s="1"/>
  <c r="W144" i="145" s="1"/>
  <c r="W165" i="145"/>
  <c r="J165" i="145"/>
  <c r="V165" i="145" s="1"/>
  <c r="J164" i="145"/>
  <c r="W164" i="145" s="1"/>
  <c r="J163" i="145"/>
  <c r="W163" i="145" s="1"/>
  <c r="J162" i="145"/>
  <c r="W162" i="145" s="1"/>
  <c r="J161" i="145"/>
  <c r="V161" i="145" s="1"/>
  <c r="J160" i="145"/>
  <c r="V160" i="145" s="1"/>
  <c r="J159" i="145"/>
  <c r="J158" i="145"/>
  <c r="J157" i="145"/>
  <c r="J156" i="145"/>
  <c r="J155" i="145"/>
  <c r="W155" i="145" s="1"/>
  <c r="J153" i="145"/>
  <c r="W153" i="145" s="1"/>
  <c r="V152" i="145"/>
  <c r="J152" i="145"/>
  <c r="W152" i="145" s="1"/>
  <c r="J151" i="145"/>
  <c r="V151" i="145" s="1"/>
  <c r="J150" i="145"/>
  <c r="W150" i="145" s="1"/>
  <c r="J149" i="145"/>
  <c r="W149" i="145" s="1"/>
  <c r="J143" i="145"/>
  <c r="W143" i="145" s="1"/>
  <c r="W134" i="145"/>
  <c r="V134" i="145"/>
  <c r="J134" i="145"/>
  <c r="J133" i="145"/>
  <c r="W133" i="145" s="1"/>
  <c r="J132" i="145"/>
  <c r="W132" i="145" s="1"/>
  <c r="J131" i="145"/>
  <c r="V131" i="145" s="1"/>
  <c r="W130" i="145"/>
  <c r="V130" i="145"/>
  <c r="J130" i="145"/>
  <c r="J129" i="145"/>
  <c r="W129" i="145" s="1"/>
  <c r="J125" i="145"/>
  <c r="J123" i="145"/>
  <c r="W123" i="145" s="1"/>
  <c r="J121" i="145"/>
  <c r="W121" i="145" s="1"/>
  <c r="J119" i="145"/>
  <c r="J117" i="145"/>
  <c r="V117" i="145" s="1"/>
  <c r="J116" i="145"/>
  <c r="W116" i="145" s="1"/>
  <c r="J115" i="145"/>
  <c r="W115" i="145" s="1"/>
  <c r="J113" i="145"/>
  <c r="V113" i="145" s="1"/>
  <c r="J112" i="145"/>
  <c r="V112" i="145" s="1"/>
  <c r="J111" i="145"/>
  <c r="V111" i="145" s="1"/>
  <c r="J102" i="145"/>
  <c r="W102" i="145" s="1"/>
  <c r="J101" i="145"/>
  <c r="V101" i="145" s="1"/>
  <c r="J100" i="145"/>
  <c r="W100" i="145" s="1"/>
  <c r="J99" i="145"/>
  <c r="W99" i="145" s="1"/>
  <c r="J98" i="145"/>
  <c r="W98" i="145" s="1"/>
  <c r="J97" i="145"/>
  <c r="V97" i="145" s="1"/>
  <c r="J96" i="145"/>
  <c r="V96" i="145" s="1"/>
  <c r="J95" i="145"/>
  <c r="V95" i="145" s="1"/>
  <c r="J94" i="145"/>
  <c r="W94" i="145" s="1"/>
  <c r="J93" i="145"/>
  <c r="W93" i="145" s="1"/>
  <c r="J91" i="145"/>
  <c r="W91" i="145" s="1"/>
  <c r="J90" i="145"/>
  <c r="J89" i="145"/>
  <c r="V89" i="145" s="1"/>
  <c r="J88" i="145"/>
  <c r="V88" i="145" s="1"/>
  <c r="J87" i="145"/>
  <c r="V87" i="145" s="1"/>
  <c r="J86" i="145"/>
  <c r="W86" i="145" s="1"/>
  <c r="J85" i="145"/>
  <c r="J83" i="145"/>
  <c r="V83" i="145" s="1"/>
  <c r="J82" i="145"/>
  <c r="V82" i="145" s="1"/>
  <c r="J81" i="145"/>
  <c r="V81" i="145" s="1"/>
  <c r="J79" i="145"/>
  <c r="W79" i="145" s="1"/>
  <c r="J78" i="145"/>
  <c r="J77" i="145"/>
  <c r="V77" i="145" s="1"/>
  <c r="J76" i="145"/>
  <c r="V76" i="145" s="1"/>
  <c r="J75" i="145"/>
  <c r="W75" i="145" s="1"/>
  <c r="J73" i="145"/>
  <c r="J72" i="145"/>
  <c r="V72" i="145" s="1"/>
  <c r="J71" i="145"/>
  <c r="V71" i="145" s="1"/>
  <c r="J68" i="145"/>
  <c r="W68" i="145" s="1"/>
  <c r="J64" i="145"/>
  <c r="J61" i="145"/>
  <c r="V61" i="145" s="1"/>
  <c r="J60" i="145"/>
  <c r="V60" i="145" s="1"/>
  <c r="J51" i="145"/>
  <c r="J50" i="145"/>
  <c r="V50" i="145" s="1"/>
  <c r="J49" i="145"/>
  <c r="W49" i="145" s="1"/>
  <c r="V48" i="145"/>
  <c r="J48" i="145"/>
  <c r="W48" i="145" s="1"/>
  <c r="J47" i="145"/>
  <c r="J46" i="145"/>
  <c r="V46" i="145" s="1"/>
  <c r="J45" i="145"/>
  <c r="V45" i="145" s="1"/>
  <c r="J44" i="145"/>
  <c r="V44" i="145" s="1"/>
  <c r="J43" i="145"/>
  <c r="W43" i="145" s="1"/>
  <c r="J42" i="145"/>
  <c r="W42" i="145" s="1"/>
  <c r="J41" i="145"/>
  <c r="J40" i="145"/>
  <c r="J39" i="145"/>
  <c r="J38" i="145"/>
  <c r="J37" i="145"/>
  <c r="J36" i="145"/>
  <c r="V36" i="145" s="1"/>
  <c r="J35" i="145"/>
  <c r="V35" i="145" s="1"/>
  <c r="J34" i="145"/>
  <c r="W34" i="145" s="1"/>
  <c r="J33" i="145"/>
  <c r="W33" i="145" s="1"/>
  <c r="J32" i="145"/>
  <c r="J31" i="145"/>
  <c r="V31" i="145" s="1"/>
  <c r="J30" i="145"/>
  <c r="W30" i="145" s="1"/>
  <c r="J28" i="145"/>
  <c r="W28" i="145" s="1"/>
  <c r="J27" i="145"/>
  <c r="J26" i="145"/>
  <c r="V26" i="145" s="1"/>
  <c r="J25" i="145"/>
  <c r="W25" i="145" s="1"/>
  <c r="J24" i="145"/>
  <c r="W24" i="145" s="1"/>
  <c r="J23" i="145"/>
  <c r="J22" i="145"/>
  <c r="V22" i="145" s="1"/>
  <c r="J21" i="145"/>
  <c r="V21" i="145" s="1"/>
  <c r="J18" i="145"/>
  <c r="V18" i="145" s="1"/>
  <c r="J16" i="145"/>
  <c r="J15" i="145"/>
  <c r="W15" i="145" s="1"/>
  <c r="J14" i="145"/>
  <c r="V14" i="145" s="1"/>
  <c r="J13" i="145"/>
  <c r="W13" i="145" s="1"/>
  <c r="J11" i="145"/>
  <c r="V11" i="145" s="1"/>
  <c r="N10" i="145"/>
  <c r="J9" i="145"/>
  <c r="W9" i="145" s="1"/>
  <c r="N8" i="145"/>
  <c r="J8" i="145"/>
  <c r="V8" i="145" s="1"/>
  <c r="J7" i="145"/>
  <c r="W7" i="145" s="1"/>
  <c r="N6" i="145"/>
  <c r="N4" i="145"/>
  <c r="H45" i="144"/>
  <c r="H44" i="144"/>
  <c r="H41" i="144"/>
  <c r="H40" i="144"/>
  <c r="H39" i="144"/>
  <c r="H37" i="144"/>
  <c r="H35" i="144"/>
  <c r="H96" i="144"/>
  <c r="H94" i="144"/>
  <c r="H93" i="144"/>
  <c r="H92" i="144"/>
  <c r="H88" i="144"/>
  <c r="H84" i="144"/>
  <c r="H129" i="144"/>
  <c r="H127" i="144"/>
  <c r="H125" i="144"/>
  <c r="H161" i="144"/>
  <c r="H159" i="144"/>
  <c r="H158" i="144"/>
  <c r="H157" i="144"/>
  <c r="H156" i="144"/>
  <c r="H82" i="144"/>
  <c r="H154" i="144"/>
  <c r="H121" i="144"/>
  <c r="H80" i="144"/>
  <c r="H29" i="144"/>
  <c r="H119" i="144"/>
  <c r="H76" i="144"/>
  <c r="H21" i="144"/>
  <c r="H20" i="144"/>
  <c r="H19" i="144"/>
  <c r="H71" i="144"/>
  <c r="H146" i="144"/>
  <c r="H145" i="144"/>
  <c r="H114" i="144"/>
  <c r="H111" i="144"/>
  <c r="H69" i="144"/>
  <c r="H67" i="144"/>
  <c r="H66" i="144"/>
  <c r="H64" i="144"/>
  <c r="H62" i="144"/>
  <c r="H61" i="144"/>
  <c r="H14" i="144"/>
  <c r="H11" i="144"/>
  <c r="H10" i="144"/>
  <c r="H8" i="144"/>
  <c r="W143" i="146" l="1"/>
  <c r="V143" i="146"/>
  <c r="V100" i="145"/>
  <c r="W49" i="147"/>
  <c r="W171" i="150"/>
  <c r="P10" i="150" s="1"/>
  <c r="V140" i="150"/>
  <c r="O8" i="150" s="1"/>
  <c r="R8" i="150" s="1"/>
  <c r="W140" i="150"/>
  <c r="P8" i="150" s="1"/>
  <c r="V103" i="150"/>
  <c r="V50" i="146"/>
  <c r="V133" i="146"/>
  <c r="W26" i="145"/>
  <c r="V133" i="145"/>
  <c r="W151" i="145"/>
  <c r="V162" i="145"/>
  <c r="V164" i="145"/>
  <c r="W25" i="146"/>
  <c r="W121" i="146"/>
  <c r="V146" i="146"/>
  <c r="W164" i="146"/>
  <c r="V138" i="147"/>
  <c r="V168" i="147"/>
  <c r="W103" i="150"/>
  <c r="P6" i="150" s="1"/>
  <c r="V93" i="145"/>
  <c r="V41" i="146"/>
  <c r="V162" i="146"/>
  <c r="W50" i="145"/>
  <c r="W101" i="145"/>
  <c r="W112" i="145"/>
  <c r="W131" i="145"/>
  <c r="W33" i="146"/>
  <c r="V46" i="146"/>
  <c r="V49" i="146"/>
  <c r="W92" i="146"/>
  <c r="W100" i="146"/>
  <c r="W111" i="146"/>
  <c r="V132" i="146"/>
  <c r="V153" i="146"/>
  <c r="R10" i="150"/>
  <c r="Q10" i="150"/>
  <c r="V52" i="150"/>
  <c r="O4" i="150" s="1"/>
  <c r="W52" i="150"/>
  <c r="P4" i="150" s="1"/>
  <c r="W103" i="149"/>
  <c r="P6" i="149" s="1"/>
  <c r="V52" i="149"/>
  <c r="O4" i="149" s="1"/>
  <c r="R4" i="149" s="1"/>
  <c r="W52" i="149"/>
  <c r="P4" i="149" s="1"/>
  <c r="V103" i="149"/>
  <c r="O6" i="149" s="1"/>
  <c r="R6" i="149" s="1"/>
  <c r="W140" i="149"/>
  <c r="V171" i="149"/>
  <c r="O10" i="149" s="1"/>
  <c r="V140" i="149"/>
  <c r="W171" i="149"/>
  <c r="P10" i="149" s="1"/>
  <c r="W52" i="148"/>
  <c r="P4" i="148" s="1"/>
  <c r="V52" i="148"/>
  <c r="O4" i="148" s="1"/>
  <c r="R4" i="148" s="1"/>
  <c r="W140" i="148"/>
  <c r="P8" i="148" s="1"/>
  <c r="W103" i="148"/>
  <c r="P6" i="148" s="1"/>
  <c r="V171" i="148"/>
  <c r="O10" i="148" s="1"/>
  <c r="W171" i="148"/>
  <c r="P10" i="148" s="1"/>
  <c r="V140" i="148"/>
  <c r="O8" i="148" s="1"/>
  <c r="V103" i="148"/>
  <c r="O6" i="148" s="1"/>
  <c r="R6" i="148" s="1"/>
  <c r="V136" i="147"/>
  <c r="W48" i="147"/>
  <c r="W68" i="147"/>
  <c r="W7" i="147"/>
  <c r="V12" i="147"/>
  <c r="W31" i="147"/>
  <c r="W96" i="147"/>
  <c r="V99" i="147"/>
  <c r="W137" i="147"/>
  <c r="W157" i="147"/>
  <c r="W101" i="147"/>
  <c r="V163" i="147"/>
  <c r="W166" i="147"/>
  <c r="W15" i="147"/>
  <c r="W26" i="147"/>
  <c r="V29" i="147"/>
  <c r="W43" i="147"/>
  <c r="V51" i="147"/>
  <c r="V170" i="147"/>
  <c r="V47" i="147"/>
  <c r="V44" i="147"/>
  <c r="V18" i="147"/>
  <c r="V91" i="147"/>
  <c r="V89" i="147"/>
  <c r="V42" i="147"/>
  <c r="V40" i="147"/>
  <c r="W39" i="147"/>
  <c r="V38" i="147"/>
  <c r="W35" i="147"/>
  <c r="V155" i="147"/>
  <c r="W150" i="147"/>
  <c r="W126" i="147"/>
  <c r="V125" i="147"/>
  <c r="V119" i="147"/>
  <c r="V117" i="147"/>
  <c r="W116" i="147"/>
  <c r="W115" i="147"/>
  <c r="V114" i="147"/>
  <c r="W87" i="147"/>
  <c r="V73" i="147"/>
  <c r="W62" i="147"/>
  <c r="V33" i="147"/>
  <c r="W25" i="147"/>
  <c r="W20" i="147"/>
  <c r="V14" i="147"/>
  <c r="W13" i="147"/>
  <c r="V151" i="147"/>
  <c r="W156" i="147"/>
  <c r="W167" i="147"/>
  <c r="V122" i="147"/>
  <c r="V112" i="147"/>
  <c r="V127" i="147"/>
  <c r="W121" i="147"/>
  <c r="V83" i="147"/>
  <c r="V67" i="147"/>
  <c r="V69" i="147"/>
  <c r="W76" i="147"/>
  <c r="V79" i="147"/>
  <c r="V86" i="147"/>
  <c r="W88" i="147"/>
  <c r="W100" i="147"/>
  <c r="W61" i="147"/>
  <c r="W81" i="147"/>
  <c r="W95" i="147"/>
  <c r="W75" i="147"/>
  <c r="W82" i="147"/>
  <c r="W11" i="147"/>
  <c r="V21" i="147"/>
  <c r="V23" i="147"/>
  <c r="W30" i="147"/>
  <c r="W34" i="147"/>
  <c r="V10" i="147"/>
  <c r="W16" i="147"/>
  <c r="V16" i="147"/>
  <c r="V19" i="147"/>
  <c r="W19" i="147"/>
  <c r="W64" i="147"/>
  <c r="V64" i="147"/>
  <c r="V80" i="147"/>
  <c r="W80" i="147"/>
  <c r="V92" i="147"/>
  <c r="W92" i="147"/>
  <c r="V149" i="147"/>
  <c r="W149" i="147"/>
  <c r="W160" i="147"/>
  <c r="V160" i="147"/>
  <c r="W8" i="147"/>
  <c r="V8" i="147"/>
  <c r="V24" i="147"/>
  <c r="W24" i="147"/>
  <c r="W36" i="147"/>
  <c r="V36" i="147"/>
  <c r="V74" i="147"/>
  <c r="W74" i="147"/>
  <c r="W84" i="147"/>
  <c r="V84" i="147"/>
  <c r="V93" i="147"/>
  <c r="W93" i="147"/>
  <c r="W45" i="147"/>
  <c r="V45" i="147"/>
  <c r="V94" i="147"/>
  <c r="W94" i="147"/>
  <c r="V120" i="147"/>
  <c r="W120" i="147"/>
  <c r="W158" i="147"/>
  <c r="V158" i="147"/>
  <c r="V164" i="147"/>
  <c r="W164" i="147"/>
  <c r="J103" i="147"/>
  <c r="W63" i="147"/>
  <c r="V63" i="147"/>
  <c r="W70" i="147"/>
  <c r="V70" i="147"/>
  <c r="J140" i="147"/>
  <c r="V148" i="147"/>
  <c r="J171" i="147"/>
  <c r="W148" i="147"/>
  <c r="W159" i="147"/>
  <c r="V159" i="147"/>
  <c r="V17" i="147"/>
  <c r="V22" i="147"/>
  <c r="V27" i="147"/>
  <c r="V28" i="147"/>
  <c r="V32" i="147"/>
  <c r="V37" i="147"/>
  <c r="V41" i="147"/>
  <c r="V46" i="147"/>
  <c r="V50" i="147"/>
  <c r="V65" i="147"/>
  <c r="V66" i="147"/>
  <c r="V71" i="147"/>
  <c r="V72" i="147"/>
  <c r="V77" i="147"/>
  <c r="V78" i="147"/>
  <c r="V85" i="147"/>
  <c r="V90" i="147"/>
  <c r="V97" i="147"/>
  <c r="V98" i="147"/>
  <c r="V102" i="147"/>
  <c r="V113" i="147"/>
  <c r="V118" i="147"/>
  <c r="V123" i="147"/>
  <c r="V124" i="147"/>
  <c r="V128" i="147"/>
  <c r="V129" i="147"/>
  <c r="V135" i="147"/>
  <c r="V139" i="147"/>
  <c r="V152" i="147"/>
  <c r="V153" i="147"/>
  <c r="V154" i="147"/>
  <c r="V161" i="147"/>
  <c r="V162" i="147"/>
  <c r="V169" i="147"/>
  <c r="N12" i="147"/>
  <c r="J52" i="147"/>
  <c r="V6" i="147"/>
  <c r="V9" i="147"/>
  <c r="V60" i="147"/>
  <c r="V111" i="147"/>
  <c r="V165" i="147"/>
  <c r="V45" i="146"/>
  <c r="W96" i="146"/>
  <c r="V42" i="146"/>
  <c r="W159" i="146"/>
  <c r="W39" i="146"/>
  <c r="W78" i="146"/>
  <c r="V78" i="146"/>
  <c r="W43" i="146"/>
  <c r="W47" i="146"/>
  <c r="W51" i="146"/>
  <c r="V91" i="146"/>
  <c r="V90" i="146"/>
  <c r="V31" i="146"/>
  <c r="W87" i="146"/>
  <c r="W155" i="146"/>
  <c r="V82" i="146"/>
  <c r="W29" i="146"/>
  <c r="V152" i="146"/>
  <c r="W80" i="146"/>
  <c r="V84" i="146"/>
  <c r="V86" i="146"/>
  <c r="V95" i="146"/>
  <c r="V99" i="146"/>
  <c r="V79" i="146"/>
  <c r="V83" i="146"/>
  <c r="V88" i="146"/>
  <c r="V94" i="146"/>
  <c r="V98" i="146"/>
  <c r="V102" i="146"/>
  <c r="W119" i="146"/>
  <c r="W22" i="146"/>
  <c r="V149" i="146"/>
  <c r="W71" i="146"/>
  <c r="W68" i="146"/>
  <c r="V148" i="146"/>
  <c r="W115" i="146"/>
  <c r="W13" i="146"/>
  <c r="V145" i="146"/>
  <c r="W63" i="146"/>
  <c r="V144" i="146"/>
  <c r="W7" i="146"/>
  <c r="W95" i="145"/>
  <c r="W63" i="145"/>
  <c r="W77" i="145"/>
  <c r="W81" i="145"/>
  <c r="V158" i="146"/>
  <c r="W160" i="146"/>
  <c r="W150" i="146"/>
  <c r="V157" i="146"/>
  <c r="V114" i="146"/>
  <c r="V118" i="146"/>
  <c r="V125" i="146"/>
  <c r="V127" i="146"/>
  <c r="V129" i="146"/>
  <c r="W120" i="146"/>
  <c r="V113" i="146"/>
  <c r="V117" i="146"/>
  <c r="V126" i="146"/>
  <c r="V128" i="146"/>
  <c r="V62" i="146"/>
  <c r="V67" i="146"/>
  <c r="V70" i="146"/>
  <c r="W74" i="146"/>
  <c r="V69" i="146"/>
  <c r="W72" i="146"/>
  <c r="N12" i="146"/>
  <c r="V61" i="146"/>
  <c r="V12" i="146"/>
  <c r="V18" i="146"/>
  <c r="W27" i="146"/>
  <c r="V32" i="146"/>
  <c r="V14" i="146"/>
  <c r="W16" i="146"/>
  <c r="W21" i="146"/>
  <c r="W38" i="146"/>
  <c r="V11" i="146"/>
  <c r="W26" i="146"/>
  <c r="W34" i="146"/>
  <c r="V77" i="146"/>
  <c r="W77" i="146"/>
  <c r="J52" i="146"/>
  <c r="V66" i="146"/>
  <c r="W66" i="146"/>
  <c r="V36" i="146"/>
  <c r="W36" i="146"/>
  <c r="V35" i="146"/>
  <c r="W35" i="146"/>
  <c r="V97" i="146"/>
  <c r="W97" i="146"/>
  <c r="V101" i="146"/>
  <c r="W101" i="146"/>
  <c r="V123" i="146"/>
  <c r="W123" i="146"/>
  <c r="V156" i="146"/>
  <c r="W156" i="146"/>
  <c r="V15" i="146"/>
  <c r="V17" i="146"/>
  <c r="W17" i="146"/>
  <c r="V20" i="146"/>
  <c r="V64" i="146"/>
  <c r="W64" i="146"/>
  <c r="W154" i="146"/>
  <c r="W6" i="146"/>
  <c r="V9" i="146"/>
  <c r="W9" i="146"/>
  <c r="V19" i="146"/>
  <c r="W28" i="146"/>
  <c r="V40" i="146"/>
  <c r="W40" i="146"/>
  <c r="V44" i="146"/>
  <c r="W44" i="146"/>
  <c r="V48" i="146"/>
  <c r="W48" i="146"/>
  <c r="W73" i="146"/>
  <c r="V85" i="146"/>
  <c r="W85" i="146"/>
  <c r="V112" i="146"/>
  <c r="W112" i="146"/>
  <c r="V116" i="146"/>
  <c r="W116" i="146"/>
  <c r="V124" i="146"/>
  <c r="W124" i="146"/>
  <c r="V151" i="146"/>
  <c r="W151" i="146"/>
  <c r="V93" i="146"/>
  <c r="W93" i="146"/>
  <c r="W8" i="146"/>
  <c r="V24" i="146"/>
  <c r="V30" i="146"/>
  <c r="W30" i="146"/>
  <c r="V75" i="146"/>
  <c r="W75" i="146"/>
  <c r="V81" i="146"/>
  <c r="W81" i="146"/>
  <c r="V10" i="146"/>
  <c r="W10" i="146"/>
  <c r="V23" i="146"/>
  <c r="W23" i="146"/>
  <c r="W60" i="146"/>
  <c r="J103" i="146"/>
  <c r="V65" i="146"/>
  <c r="W65" i="146"/>
  <c r="V76" i="146"/>
  <c r="W76" i="146"/>
  <c r="V89" i="146"/>
  <c r="W89" i="146"/>
  <c r="W122" i="146"/>
  <c r="V122" i="146"/>
  <c r="V131" i="146"/>
  <c r="W131" i="146"/>
  <c r="J135" i="146"/>
  <c r="V161" i="146"/>
  <c r="W161" i="146"/>
  <c r="V165" i="146"/>
  <c r="W165" i="146"/>
  <c r="J166" i="146"/>
  <c r="V91" i="145"/>
  <c r="V86" i="145"/>
  <c r="W89" i="145"/>
  <c r="W96" i="145"/>
  <c r="V99" i="145"/>
  <c r="V43" i="145"/>
  <c r="V49" i="145"/>
  <c r="W45" i="145"/>
  <c r="V150" i="145"/>
  <c r="V124" i="145"/>
  <c r="W124" i="145"/>
  <c r="V118" i="145"/>
  <c r="W118" i="145"/>
  <c r="W117" i="145"/>
  <c r="V75" i="145"/>
  <c r="W69" i="145"/>
  <c r="V69" i="145"/>
  <c r="W36" i="145"/>
  <c r="V33" i="145"/>
  <c r="W29" i="145"/>
  <c r="V29" i="145"/>
  <c r="V25" i="145"/>
  <c r="W22" i="145"/>
  <c r="V19" i="145"/>
  <c r="W18" i="145"/>
  <c r="W11" i="145"/>
  <c r="W14" i="145"/>
  <c r="W148" i="145"/>
  <c r="V148" i="145"/>
  <c r="V147" i="145"/>
  <c r="W147" i="145"/>
  <c r="W8" i="145"/>
  <c r="V7" i="145"/>
  <c r="V144" i="145"/>
  <c r="V146" i="145"/>
  <c r="W160" i="145"/>
  <c r="V145" i="145"/>
  <c r="V155" i="145"/>
  <c r="W161" i="145"/>
  <c r="W113" i="145"/>
  <c r="V116" i="145"/>
  <c r="V123" i="145"/>
  <c r="V128" i="145"/>
  <c r="J135" i="145"/>
  <c r="V122" i="145"/>
  <c r="V129" i="145"/>
  <c r="W61" i="145"/>
  <c r="W71" i="145"/>
  <c r="V80" i="145"/>
  <c r="N12" i="145"/>
  <c r="V68" i="145"/>
  <c r="V70" i="145"/>
  <c r="V74" i="145"/>
  <c r="W87" i="145"/>
  <c r="V92" i="145"/>
  <c r="V94" i="145"/>
  <c r="W97" i="145"/>
  <c r="J103" i="145"/>
  <c r="W60" i="145"/>
  <c r="W72" i="145"/>
  <c r="V79" i="145"/>
  <c r="W83" i="145"/>
  <c r="V13" i="145"/>
  <c r="W21" i="145"/>
  <c r="W31" i="145"/>
  <c r="W35" i="145"/>
  <c r="V9" i="145"/>
  <c r="V12" i="145"/>
  <c r="V15" i="145"/>
  <c r="V17" i="145"/>
  <c r="V20" i="145"/>
  <c r="V24" i="145"/>
  <c r="V28" i="145"/>
  <c r="V30" i="145"/>
  <c r="V34" i="145"/>
  <c r="V42" i="145"/>
  <c r="W46" i="145"/>
  <c r="W38" i="145"/>
  <c r="V38" i="145"/>
  <c r="W66" i="145"/>
  <c r="V66" i="145"/>
  <c r="W119" i="145"/>
  <c r="V119" i="145"/>
  <c r="W32" i="145"/>
  <c r="V32" i="145"/>
  <c r="W44" i="145"/>
  <c r="W64" i="145"/>
  <c r="V64" i="145"/>
  <c r="W78" i="145"/>
  <c r="V78" i="145"/>
  <c r="W90" i="145"/>
  <c r="V90" i="145"/>
  <c r="W158" i="145"/>
  <c r="V158" i="145"/>
  <c r="W16" i="145"/>
  <c r="V16" i="145"/>
  <c r="W40" i="145"/>
  <c r="V40" i="145"/>
  <c r="V157" i="145"/>
  <c r="W157" i="145"/>
  <c r="J52" i="145"/>
  <c r="W23" i="145"/>
  <c r="V23" i="145"/>
  <c r="W27" i="145"/>
  <c r="V27" i="145"/>
  <c r="W39" i="145"/>
  <c r="V39" i="145"/>
  <c r="W41" i="145"/>
  <c r="V41" i="145"/>
  <c r="W47" i="145"/>
  <c r="V47" i="145"/>
  <c r="W51" i="145"/>
  <c r="V51" i="145"/>
  <c r="W62" i="145"/>
  <c r="W65" i="145"/>
  <c r="V65" i="145"/>
  <c r="W67" i="145"/>
  <c r="V67" i="145"/>
  <c r="W76" i="145"/>
  <c r="W84" i="145"/>
  <c r="V84" i="145"/>
  <c r="W88" i="145"/>
  <c r="V159" i="145"/>
  <c r="W159" i="145"/>
  <c r="W10" i="145"/>
  <c r="W37" i="145"/>
  <c r="V37" i="145"/>
  <c r="W73" i="145"/>
  <c r="V73" i="145"/>
  <c r="W82" i="145"/>
  <c r="W85" i="145"/>
  <c r="V85" i="145"/>
  <c r="W114" i="145"/>
  <c r="V114" i="145"/>
  <c r="W125" i="145"/>
  <c r="V125" i="145"/>
  <c r="W156" i="145"/>
  <c r="V156" i="145"/>
  <c r="V98" i="145"/>
  <c r="V102" i="145"/>
  <c r="W111" i="145"/>
  <c r="V115" i="145"/>
  <c r="V120" i="145"/>
  <c r="V121" i="145"/>
  <c r="V126" i="145"/>
  <c r="V127" i="145"/>
  <c r="V132" i="145"/>
  <c r="V143" i="145"/>
  <c r="V149" i="145"/>
  <c r="V153" i="145"/>
  <c r="V154" i="145"/>
  <c r="V163" i="145"/>
  <c r="J166" i="145"/>
  <c r="V6" i="145"/>
  <c r="J165" i="144"/>
  <c r="W165" i="144" s="1"/>
  <c r="J164" i="144"/>
  <c r="J163" i="144"/>
  <c r="W163" i="144" s="1"/>
  <c r="J162" i="144"/>
  <c r="W162" i="144" s="1"/>
  <c r="J161" i="144"/>
  <c r="W161" i="144" s="1"/>
  <c r="J160" i="144"/>
  <c r="J159" i="144"/>
  <c r="W159" i="144" s="1"/>
  <c r="J158" i="144"/>
  <c r="V158" i="144" s="1"/>
  <c r="J157" i="144"/>
  <c r="W157" i="144" s="1"/>
  <c r="J156" i="144"/>
  <c r="W156" i="144" s="1"/>
  <c r="J155" i="144"/>
  <c r="J154" i="144"/>
  <c r="J153" i="144"/>
  <c r="J152" i="144"/>
  <c r="W152" i="144" s="1"/>
  <c r="J151" i="144"/>
  <c r="V151" i="144" s="1"/>
  <c r="J150" i="144"/>
  <c r="V150" i="144" s="1"/>
  <c r="J149" i="144"/>
  <c r="W149" i="144" s="1"/>
  <c r="J148" i="144"/>
  <c r="J147" i="144"/>
  <c r="W147" i="144" s="1"/>
  <c r="J146" i="144"/>
  <c r="V146" i="144" s="1"/>
  <c r="J145" i="144"/>
  <c r="W145" i="144" s="1"/>
  <c r="J144" i="144"/>
  <c r="J143" i="144"/>
  <c r="W143" i="144" s="1"/>
  <c r="J134" i="144"/>
  <c r="W134" i="144" s="1"/>
  <c r="J133" i="144"/>
  <c r="J132" i="144"/>
  <c r="W132" i="144" s="1"/>
  <c r="J131" i="144"/>
  <c r="V131" i="144" s="1"/>
  <c r="J130" i="144"/>
  <c r="W130" i="144" s="1"/>
  <c r="J129" i="144"/>
  <c r="J128" i="144"/>
  <c r="J127" i="144"/>
  <c r="W127" i="144" s="1"/>
  <c r="J126" i="144"/>
  <c r="V126" i="144" s="1"/>
  <c r="J125" i="144"/>
  <c r="V125" i="144" s="1"/>
  <c r="J124" i="144"/>
  <c r="W124" i="144" s="1"/>
  <c r="J123" i="144"/>
  <c r="V123" i="144" s="1"/>
  <c r="J122" i="144"/>
  <c r="J121" i="144"/>
  <c r="J120" i="144"/>
  <c r="W120" i="144" s="1"/>
  <c r="J119" i="144"/>
  <c r="V119" i="144" s="1"/>
  <c r="J118" i="144"/>
  <c r="V118" i="144" s="1"/>
  <c r="J117" i="144"/>
  <c r="V117" i="144" s="1"/>
  <c r="J116" i="144"/>
  <c r="W116" i="144" s="1"/>
  <c r="J115" i="144"/>
  <c r="V115" i="144" s="1"/>
  <c r="J114" i="144"/>
  <c r="J113" i="144"/>
  <c r="J112" i="144"/>
  <c r="W112" i="144" s="1"/>
  <c r="J111" i="144"/>
  <c r="W111" i="144" s="1"/>
  <c r="J102" i="144"/>
  <c r="J101" i="144"/>
  <c r="W101" i="144" s="1"/>
  <c r="J100" i="144"/>
  <c r="W100" i="144" s="1"/>
  <c r="J99" i="144"/>
  <c r="V99" i="144" s="1"/>
  <c r="J98" i="144"/>
  <c r="J97" i="144"/>
  <c r="J96" i="144"/>
  <c r="V96" i="144" s="1"/>
  <c r="J95" i="144"/>
  <c r="V95" i="144" s="1"/>
  <c r="J94" i="144"/>
  <c r="W94" i="144" s="1"/>
  <c r="J93" i="144"/>
  <c r="W93" i="144" s="1"/>
  <c r="J92" i="144"/>
  <c r="W92" i="144" s="1"/>
  <c r="J91" i="144"/>
  <c r="W91" i="144" s="1"/>
  <c r="J90" i="144"/>
  <c r="W90" i="144" s="1"/>
  <c r="J89" i="144"/>
  <c r="W89" i="144" s="1"/>
  <c r="J88" i="144"/>
  <c r="J87" i="144"/>
  <c r="J86" i="144"/>
  <c r="V86" i="144" s="1"/>
  <c r="J85" i="144"/>
  <c r="V85" i="144" s="1"/>
  <c r="J84" i="144"/>
  <c r="W84" i="144" s="1"/>
  <c r="J83" i="144"/>
  <c r="V83" i="144" s="1"/>
  <c r="J82" i="144"/>
  <c r="W82" i="144" s="1"/>
  <c r="J81" i="144"/>
  <c r="W81" i="144" s="1"/>
  <c r="J80" i="144"/>
  <c r="J79" i="144"/>
  <c r="J78" i="144"/>
  <c r="W78" i="144" s="1"/>
  <c r="J77" i="144"/>
  <c r="W77" i="144" s="1"/>
  <c r="J76" i="144"/>
  <c r="W76" i="144" s="1"/>
  <c r="J75" i="144"/>
  <c r="J74" i="144"/>
  <c r="W74" i="144" s="1"/>
  <c r="J73" i="144"/>
  <c r="W73" i="144" s="1"/>
  <c r="J72" i="144"/>
  <c r="W72" i="144" s="1"/>
  <c r="J71" i="144"/>
  <c r="J70" i="144"/>
  <c r="V70" i="144" s="1"/>
  <c r="J69" i="144"/>
  <c r="W69" i="144" s="1"/>
  <c r="J68" i="144"/>
  <c r="W68" i="144" s="1"/>
  <c r="J67" i="144"/>
  <c r="J66" i="144"/>
  <c r="V66" i="144" s="1"/>
  <c r="J65" i="144"/>
  <c r="V65" i="144" s="1"/>
  <c r="J64" i="144"/>
  <c r="W64" i="144" s="1"/>
  <c r="J63" i="144"/>
  <c r="W63" i="144" s="1"/>
  <c r="J62" i="144"/>
  <c r="V62" i="144" s="1"/>
  <c r="J61" i="144"/>
  <c r="W61" i="144" s="1"/>
  <c r="J60" i="144"/>
  <c r="J51" i="144"/>
  <c r="V51" i="144" s="1"/>
  <c r="J50" i="144"/>
  <c r="W50" i="144" s="1"/>
  <c r="J49" i="144"/>
  <c r="W49" i="144" s="1"/>
  <c r="J48" i="144"/>
  <c r="J47" i="144"/>
  <c r="V47" i="144" s="1"/>
  <c r="J46" i="144"/>
  <c r="W46" i="144" s="1"/>
  <c r="J45" i="144"/>
  <c r="W45" i="144" s="1"/>
  <c r="J44" i="144"/>
  <c r="J43" i="144"/>
  <c r="V43" i="144" s="1"/>
  <c r="J42" i="144"/>
  <c r="V42" i="144" s="1"/>
  <c r="J41" i="144"/>
  <c r="V41" i="144" s="1"/>
  <c r="J40" i="144"/>
  <c r="W40" i="144" s="1"/>
  <c r="J39" i="144"/>
  <c r="W39" i="144" s="1"/>
  <c r="J38" i="144"/>
  <c r="J37" i="144"/>
  <c r="V37" i="144" s="1"/>
  <c r="J36" i="144"/>
  <c r="V36" i="144" s="1"/>
  <c r="J35" i="144"/>
  <c r="W35" i="144" s="1"/>
  <c r="J34" i="144"/>
  <c r="J33" i="144"/>
  <c r="J32" i="144"/>
  <c r="J31" i="144"/>
  <c r="J30" i="144"/>
  <c r="J29" i="144"/>
  <c r="V29" i="144" s="1"/>
  <c r="J28" i="144"/>
  <c r="W28" i="144" s="1"/>
  <c r="J27" i="144"/>
  <c r="V27" i="144" s="1"/>
  <c r="J26" i="144"/>
  <c r="W26" i="144" s="1"/>
  <c r="J25" i="144"/>
  <c r="J24" i="144"/>
  <c r="V24" i="144" s="1"/>
  <c r="J23" i="144"/>
  <c r="V23" i="144" s="1"/>
  <c r="J22" i="144"/>
  <c r="W22" i="144" s="1"/>
  <c r="J21" i="144"/>
  <c r="W21" i="144" s="1"/>
  <c r="J20" i="144"/>
  <c r="V20" i="144" s="1"/>
  <c r="J19" i="144"/>
  <c r="W19" i="144" s="1"/>
  <c r="J18" i="144"/>
  <c r="W18" i="144" s="1"/>
  <c r="J17" i="144"/>
  <c r="W17" i="144" s="1"/>
  <c r="J16" i="144"/>
  <c r="J15" i="144"/>
  <c r="V15" i="144" s="1"/>
  <c r="J14" i="144"/>
  <c r="V14" i="144" s="1"/>
  <c r="J13" i="144"/>
  <c r="V13" i="144" s="1"/>
  <c r="J12" i="144"/>
  <c r="V12" i="144" s="1"/>
  <c r="J11" i="144"/>
  <c r="N10" i="144"/>
  <c r="J10" i="144"/>
  <c r="V10" i="144" s="1"/>
  <c r="J9" i="144"/>
  <c r="V9" i="144" s="1"/>
  <c r="N8" i="144"/>
  <c r="J8" i="144"/>
  <c r="V8" i="144" s="1"/>
  <c r="J7" i="144"/>
  <c r="V7" i="144" s="1"/>
  <c r="N6" i="144"/>
  <c r="J6" i="144"/>
  <c r="V6" i="144" s="1"/>
  <c r="N4" i="144"/>
  <c r="O6" i="150" l="1"/>
  <c r="R6" i="150" s="1"/>
  <c r="V100" i="144"/>
  <c r="W150" i="144"/>
  <c r="P12" i="150"/>
  <c r="O12" i="150"/>
  <c r="R12" i="150" s="1"/>
  <c r="P14" i="150" s="1"/>
  <c r="R4" i="150"/>
  <c r="Q4" i="150"/>
  <c r="Q12" i="150" s="1"/>
  <c r="Q4" i="149"/>
  <c r="P12" i="149"/>
  <c r="O12" i="149"/>
  <c r="R12" i="149" s="1"/>
  <c r="P14" i="149" s="1"/>
  <c r="R10" i="149"/>
  <c r="Q10" i="149"/>
  <c r="R8" i="149"/>
  <c r="Q4" i="148"/>
  <c r="P12" i="148"/>
  <c r="R10" i="148"/>
  <c r="Q10" i="148"/>
  <c r="O12" i="148"/>
  <c r="R12" i="148" s="1"/>
  <c r="P14" i="148" s="1"/>
  <c r="R8" i="148"/>
  <c r="Q8" i="148"/>
  <c r="W140" i="147"/>
  <c r="P8" i="147" s="1"/>
  <c r="V103" i="147"/>
  <c r="O6" i="147" s="1"/>
  <c r="R6" i="147" s="1"/>
  <c r="W103" i="147"/>
  <c r="P6" i="147" s="1"/>
  <c r="W52" i="147"/>
  <c r="P4" i="147" s="1"/>
  <c r="W171" i="147"/>
  <c r="P10" i="147" s="1"/>
  <c r="V52" i="147"/>
  <c r="O4" i="147" s="1"/>
  <c r="V140" i="147"/>
  <c r="O8" i="147" s="1"/>
  <c r="V171" i="147"/>
  <c r="O10" i="147" s="1"/>
  <c r="W166" i="146"/>
  <c r="P10" i="146" s="1"/>
  <c r="W103" i="146"/>
  <c r="P6" i="146" s="1"/>
  <c r="V52" i="146"/>
  <c r="O4" i="146" s="1"/>
  <c r="R4" i="146" s="1"/>
  <c r="V166" i="146"/>
  <c r="O10" i="146" s="1"/>
  <c r="V135" i="146"/>
  <c r="O8" i="146" s="1"/>
  <c r="R8" i="146" s="1"/>
  <c r="W135" i="146"/>
  <c r="P8" i="146" s="1"/>
  <c r="V103" i="146"/>
  <c r="O6" i="146" s="1"/>
  <c r="R6" i="146" s="1"/>
  <c r="W52" i="146"/>
  <c r="P4" i="146" s="1"/>
  <c r="W166" i="145"/>
  <c r="P10" i="145" s="1"/>
  <c r="V103" i="145"/>
  <c r="O6" i="145" s="1"/>
  <c r="R6" i="145" s="1"/>
  <c r="V135" i="145"/>
  <c r="O8" i="145" s="1"/>
  <c r="R8" i="145" s="1"/>
  <c r="W103" i="145"/>
  <c r="P6" i="145" s="1"/>
  <c r="W52" i="145"/>
  <c r="P4" i="145" s="1"/>
  <c r="V52" i="145"/>
  <c r="O4" i="145" s="1"/>
  <c r="W135" i="145"/>
  <c r="P8" i="145" s="1"/>
  <c r="V166" i="145"/>
  <c r="O10" i="145" s="1"/>
  <c r="V46" i="144"/>
  <c r="W51" i="144"/>
  <c r="V61" i="144"/>
  <c r="V130" i="144"/>
  <c r="W47" i="144"/>
  <c r="V50" i="144"/>
  <c r="W131" i="144"/>
  <c r="V134" i="144"/>
  <c r="W65" i="144"/>
  <c r="V84" i="144"/>
  <c r="W99" i="144"/>
  <c r="W41" i="144"/>
  <c r="W36" i="144"/>
  <c r="V93" i="144"/>
  <c r="W123" i="144"/>
  <c r="V161" i="144"/>
  <c r="W158" i="144"/>
  <c r="V157" i="144"/>
  <c r="W27" i="144"/>
  <c r="W23" i="144"/>
  <c r="V19" i="144"/>
  <c r="W70" i="144"/>
  <c r="W37" i="144"/>
  <c r="V40" i="144"/>
  <c r="V45" i="144"/>
  <c r="V74" i="144"/>
  <c r="V76" i="144"/>
  <c r="W85" i="144"/>
  <c r="V162" i="144"/>
  <c r="W20" i="144"/>
  <c r="V49" i="144"/>
  <c r="V72" i="144"/>
  <c r="W146" i="144"/>
  <c r="V165" i="144"/>
  <c r="V17" i="144"/>
  <c r="W96" i="144"/>
  <c r="W115" i="144"/>
  <c r="V111" i="144"/>
  <c r="V69" i="144"/>
  <c r="W66" i="144"/>
  <c r="W62" i="144"/>
  <c r="W14" i="144"/>
  <c r="W6" i="144"/>
  <c r="V145" i="144"/>
  <c r="V149" i="144"/>
  <c r="V156" i="144"/>
  <c r="W151" i="144"/>
  <c r="V116" i="144"/>
  <c r="W118" i="144"/>
  <c r="W125" i="144"/>
  <c r="V124" i="144"/>
  <c r="J135" i="144"/>
  <c r="V64" i="144"/>
  <c r="V73" i="144"/>
  <c r="V78" i="144"/>
  <c r="V63" i="144"/>
  <c r="V77" i="144"/>
  <c r="V81" i="144"/>
  <c r="W83" i="144"/>
  <c r="V94" i="144"/>
  <c r="W95" i="144"/>
  <c r="V89" i="144"/>
  <c r="V92" i="144"/>
  <c r="V22" i="144"/>
  <c r="V21" i="144"/>
  <c r="V28" i="144"/>
  <c r="W24" i="144"/>
  <c r="W43" i="144"/>
  <c r="V18" i="144"/>
  <c r="W9" i="144"/>
  <c r="W80" i="144"/>
  <c r="V80" i="144"/>
  <c r="W88" i="144"/>
  <c r="V88" i="144"/>
  <c r="W31" i="144"/>
  <c r="V31" i="144"/>
  <c r="W33" i="144"/>
  <c r="V33" i="144"/>
  <c r="W25" i="144"/>
  <c r="V25" i="144"/>
  <c r="J103" i="144"/>
  <c r="W60" i="144"/>
  <c r="W67" i="144"/>
  <c r="V67" i="144"/>
  <c r="V122" i="144"/>
  <c r="W122" i="144"/>
  <c r="W128" i="144"/>
  <c r="V128" i="144"/>
  <c r="N12" i="144"/>
  <c r="W7" i="144"/>
  <c r="W10" i="144"/>
  <c r="W13" i="144"/>
  <c r="V35" i="144"/>
  <c r="W71" i="144"/>
  <c r="V71" i="144"/>
  <c r="V91" i="144"/>
  <c r="W97" i="144"/>
  <c r="V97" i="144"/>
  <c r="V114" i="144"/>
  <c r="W114" i="144"/>
  <c r="W117" i="144"/>
  <c r="W119" i="144"/>
  <c r="V129" i="144"/>
  <c r="W129" i="144"/>
  <c r="V133" i="144"/>
  <c r="W133" i="144"/>
  <c r="W153" i="144"/>
  <c r="V153" i="144"/>
  <c r="W8" i="144"/>
  <c r="W11" i="144"/>
  <c r="V11" i="144"/>
  <c r="W16" i="144"/>
  <c r="V16" i="144"/>
  <c r="V26" i="144"/>
  <c r="W29" i="144"/>
  <c r="V39" i="144"/>
  <c r="W42" i="144"/>
  <c r="W48" i="144"/>
  <c r="V48" i="144"/>
  <c r="V68" i="144"/>
  <c r="W75" i="144"/>
  <c r="V75" i="144"/>
  <c r="V82" i="144"/>
  <c r="W86" i="144"/>
  <c r="V90" i="144"/>
  <c r="V98" i="144"/>
  <c r="W98" i="144"/>
  <c r="V102" i="144"/>
  <c r="W102" i="144"/>
  <c r="W126" i="144"/>
  <c r="W154" i="144"/>
  <c r="V154" i="144"/>
  <c r="W38" i="144"/>
  <c r="V38" i="144"/>
  <c r="W113" i="144"/>
  <c r="V113" i="144"/>
  <c r="W15" i="144"/>
  <c r="W44" i="144"/>
  <c r="V44" i="144"/>
  <c r="V60" i="144"/>
  <c r="W12" i="144"/>
  <c r="W30" i="144"/>
  <c r="V30" i="144"/>
  <c r="W32" i="144"/>
  <c r="V32" i="144"/>
  <c r="W34" i="144"/>
  <c r="V34" i="144"/>
  <c r="J52" i="144"/>
  <c r="W79" i="144"/>
  <c r="V79" i="144"/>
  <c r="W87" i="144"/>
  <c r="V87" i="144"/>
  <c r="W121" i="144"/>
  <c r="V121" i="144"/>
  <c r="V144" i="144"/>
  <c r="W144" i="144"/>
  <c r="V148" i="144"/>
  <c r="W148" i="144"/>
  <c r="V155" i="144"/>
  <c r="W155" i="144"/>
  <c r="V160" i="144"/>
  <c r="W160" i="144"/>
  <c r="V164" i="144"/>
  <c r="W164" i="144"/>
  <c r="V101" i="144"/>
  <c r="V112" i="144"/>
  <c r="V120" i="144"/>
  <c r="V127" i="144"/>
  <c r="V132" i="144"/>
  <c r="V143" i="144"/>
  <c r="V147" i="144"/>
  <c r="V152" i="144"/>
  <c r="V159" i="144"/>
  <c r="V163" i="144"/>
  <c r="J166" i="144"/>
  <c r="H96" i="143"/>
  <c r="H43" i="143"/>
  <c r="H42" i="143"/>
  <c r="Q12" i="149" l="1"/>
  <c r="Q12" i="148"/>
  <c r="P12" i="147"/>
  <c r="R8" i="147"/>
  <c r="Q8" i="147"/>
  <c r="O12" i="147"/>
  <c r="R12" i="147" s="1"/>
  <c r="P14" i="147" s="1"/>
  <c r="R4" i="147"/>
  <c r="Q4" i="147"/>
  <c r="R10" i="147"/>
  <c r="Q10" i="147"/>
  <c r="Q10" i="146"/>
  <c r="R10" i="146"/>
  <c r="Q8" i="146"/>
  <c r="P12" i="146"/>
  <c r="O12" i="146"/>
  <c r="R12" i="146" s="1"/>
  <c r="P14" i="146" s="1"/>
  <c r="Q4" i="146"/>
  <c r="Q4" i="145"/>
  <c r="R4" i="145"/>
  <c r="Q8" i="145"/>
  <c r="P12" i="145"/>
  <c r="R10" i="145"/>
  <c r="Q10" i="145"/>
  <c r="O12" i="145"/>
  <c r="R12" i="145" s="1"/>
  <c r="P14" i="145" s="1"/>
  <c r="W135" i="144"/>
  <c r="P8" i="144" s="1"/>
  <c r="V166" i="144"/>
  <c r="O10" i="144" s="1"/>
  <c r="R10" i="144" s="1"/>
  <c r="W166" i="144"/>
  <c r="P10" i="144" s="1"/>
  <c r="V135" i="144"/>
  <c r="O8" i="144" s="1"/>
  <c r="R8" i="144" s="1"/>
  <c r="V52" i="144"/>
  <c r="O4" i="144" s="1"/>
  <c r="R4" i="144" s="1"/>
  <c r="W52" i="144"/>
  <c r="P4" i="144" s="1"/>
  <c r="V103" i="144"/>
  <c r="O6" i="144" s="1"/>
  <c r="R6" i="144" s="1"/>
  <c r="W103" i="144"/>
  <c r="P6" i="144" s="1"/>
  <c r="H128" i="143"/>
  <c r="H94" i="143"/>
  <c r="Q12" i="147" l="1"/>
  <c r="Q12" i="146"/>
  <c r="Q12" i="145"/>
  <c r="Q10" i="144"/>
  <c r="Q8" i="144"/>
  <c r="O12" i="144"/>
  <c r="R12" i="144" s="1"/>
  <c r="P14" i="144" s="1"/>
  <c r="Q4" i="144"/>
  <c r="P12" i="144"/>
  <c r="H126" i="143"/>
  <c r="Q12" i="144" l="1"/>
  <c r="H92" i="143"/>
  <c r="H157" i="143"/>
  <c r="H125" i="143"/>
  <c r="H91" i="143"/>
  <c r="H90" i="143"/>
  <c r="H88" i="143"/>
  <c r="H34" i="143"/>
  <c r="H33" i="143"/>
  <c r="H32" i="143"/>
  <c r="H86" i="143"/>
  <c r="H84" i="143" l="1"/>
  <c r="H31" i="143"/>
  <c r="H29" i="143" l="1"/>
  <c r="H24" i="143"/>
  <c r="H22" i="143"/>
  <c r="H21" i="143"/>
  <c r="H20" i="143"/>
  <c r="H18" i="143"/>
  <c r="H15" i="143"/>
  <c r="H154" i="143"/>
  <c r="H153" i="143"/>
  <c r="H151" i="143" l="1"/>
  <c r="H121" i="143" l="1"/>
  <c r="H119" i="143"/>
  <c r="H118" i="143"/>
  <c r="H117" i="143"/>
  <c r="H82" i="143"/>
  <c r="H80" i="143"/>
  <c r="H13" i="143" l="1"/>
  <c r="J13" i="143" s="1"/>
  <c r="W13" i="143" s="1"/>
  <c r="H12" i="143"/>
  <c r="H65" i="143"/>
  <c r="H64" i="143"/>
  <c r="J64" i="143" s="1"/>
  <c r="W64" i="143" s="1"/>
  <c r="H113" i="143"/>
  <c r="J113" i="143" s="1"/>
  <c r="V113" i="143" s="1"/>
  <c r="H63" i="143"/>
  <c r="H62" i="143"/>
  <c r="H9" i="143"/>
  <c r="J9" i="143" s="1"/>
  <c r="W9" i="143" s="1"/>
  <c r="H7" i="143"/>
  <c r="J165" i="143"/>
  <c r="W165" i="143" s="1"/>
  <c r="J164" i="143"/>
  <c r="W163" i="143"/>
  <c r="J163" i="143"/>
  <c r="V163" i="143" s="1"/>
  <c r="J162" i="143"/>
  <c r="J161" i="143"/>
  <c r="J160" i="143"/>
  <c r="W160" i="143" s="1"/>
  <c r="J159" i="143"/>
  <c r="J158" i="143"/>
  <c r="W158" i="143" s="1"/>
  <c r="J157" i="143"/>
  <c r="W157" i="143" s="1"/>
  <c r="J156" i="143"/>
  <c r="J155" i="143"/>
  <c r="V155" i="143" s="1"/>
  <c r="J154" i="143"/>
  <c r="W154" i="143" s="1"/>
  <c r="J153" i="143"/>
  <c r="W153" i="143" s="1"/>
  <c r="J152" i="143"/>
  <c r="V152" i="143" s="1"/>
  <c r="J151" i="143"/>
  <c r="W151" i="143" s="1"/>
  <c r="J150" i="143"/>
  <c r="J149" i="143"/>
  <c r="V149" i="143" s="1"/>
  <c r="J148" i="143"/>
  <c r="W148" i="143" s="1"/>
  <c r="V147" i="143"/>
  <c r="J147" i="143"/>
  <c r="W147" i="143" s="1"/>
  <c r="J146" i="143"/>
  <c r="V146" i="143" s="1"/>
  <c r="J145" i="143"/>
  <c r="V145" i="143" s="1"/>
  <c r="J144" i="143"/>
  <c r="V144" i="143" s="1"/>
  <c r="J143" i="143"/>
  <c r="W143" i="143" s="1"/>
  <c r="J134" i="143"/>
  <c r="V134" i="143" s="1"/>
  <c r="J133" i="143"/>
  <c r="V133" i="143" s="1"/>
  <c r="J132" i="143"/>
  <c r="W132" i="143" s="1"/>
  <c r="J131" i="143"/>
  <c r="W131" i="143" s="1"/>
  <c r="J130" i="143"/>
  <c r="V130" i="143" s="1"/>
  <c r="J129" i="143"/>
  <c r="J128" i="143"/>
  <c r="W128" i="143" s="1"/>
  <c r="J127" i="143"/>
  <c r="W127" i="143" s="1"/>
  <c r="J126" i="143"/>
  <c r="V126" i="143" s="1"/>
  <c r="J125" i="143"/>
  <c r="V125" i="143" s="1"/>
  <c r="J124" i="143"/>
  <c r="W124" i="143" s="1"/>
  <c r="J123" i="143"/>
  <c r="J122" i="143"/>
  <c r="W122" i="143" s="1"/>
  <c r="J121" i="143"/>
  <c r="V121" i="143" s="1"/>
  <c r="J120" i="143"/>
  <c r="W120" i="143" s="1"/>
  <c r="J119" i="143"/>
  <c r="V119" i="143" s="1"/>
  <c r="J118" i="143"/>
  <c r="W118" i="143" s="1"/>
  <c r="J117" i="143"/>
  <c r="J116" i="143"/>
  <c r="V116" i="143" s="1"/>
  <c r="J115" i="143"/>
  <c r="W115" i="143" s="1"/>
  <c r="J114" i="143"/>
  <c r="V114" i="143" s="1"/>
  <c r="J112" i="143"/>
  <c r="W112" i="143" s="1"/>
  <c r="J111" i="143"/>
  <c r="V111" i="143" s="1"/>
  <c r="J102" i="143"/>
  <c r="J101" i="143"/>
  <c r="W101" i="143" s="1"/>
  <c r="J100" i="143"/>
  <c r="J99" i="143"/>
  <c r="W99" i="143" s="1"/>
  <c r="W98" i="143"/>
  <c r="J98" i="143"/>
  <c r="V98" i="143" s="1"/>
  <c r="J97" i="143"/>
  <c r="W97" i="143" s="1"/>
  <c r="J96" i="143"/>
  <c r="V96" i="143" s="1"/>
  <c r="J95" i="143"/>
  <c r="J94" i="143"/>
  <c r="W94" i="143" s="1"/>
  <c r="J93" i="143"/>
  <c r="V93" i="143" s="1"/>
  <c r="J92" i="143"/>
  <c r="J91" i="143"/>
  <c r="V91" i="143" s="1"/>
  <c r="J90" i="143"/>
  <c r="W90" i="143" s="1"/>
  <c r="J89" i="143"/>
  <c r="W89" i="143" s="1"/>
  <c r="J88" i="143"/>
  <c r="W88" i="143" s="1"/>
  <c r="J87" i="143"/>
  <c r="J86" i="143"/>
  <c r="W86" i="143" s="1"/>
  <c r="J85" i="143"/>
  <c r="W85" i="143" s="1"/>
  <c r="J84" i="143"/>
  <c r="J83" i="143"/>
  <c r="V83" i="143" s="1"/>
  <c r="J82" i="143"/>
  <c r="V82" i="143" s="1"/>
  <c r="J81" i="143"/>
  <c r="V81" i="143" s="1"/>
  <c r="J80" i="143"/>
  <c r="V80" i="143" s="1"/>
  <c r="J79" i="143"/>
  <c r="W79" i="143" s="1"/>
  <c r="J78" i="143"/>
  <c r="J77" i="143"/>
  <c r="V77" i="143" s="1"/>
  <c r="J76" i="143"/>
  <c r="V76" i="143" s="1"/>
  <c r="J75" i="143"/>
  <c r="J74" i="143"/>
  <c r="W74" i="143" s="1"/>
  <c r="J73" i="143"/>
  <c r="W73" i="143" s="1"/>
  <c r="J72" i="143"/>
  <c r="W72" i="143" s="1"/>
  <c r="J71" i="143"/>
  <c r="J70" i="143"/>
  <c r="V70" i="143" s="1"/>
  <c r="J69" i="143"/>
  <c r="W69" i="143" s="1"/>
  <c r="J68" i="143"/>
  <c r="J67" i="143"/>
  <c r="W67" i="143" s="1"/>
  <c r="J66" i="143"/>
  <c r="W66" i="143" s="1"/>
  <c r="J65" i="143"/>
  <c r="J63" i="143"/>
  <c r="V63" i="143" s="1"/>
  <c r="J62" i="143"/>
  <c r="J61" i="143"/>
  <c r="J60" i="143"/>
  <c r="W60" i="143" s="1"/>
  <c r="J51" i="143"/>
  <c r="V51" i="143" s="1"/>
  <c r="J50" i="143"/>
  <c r="W50" i="143" s="1"/>
  <c r="J49" i="143"/>
  <c r="J48" i="143"/>
  <c r="W48" i="143" s="1"/>
  <c r="J47" i="143"/>
  <c r="W47" i="143" s="1"/>
  <c r="J46" i="143"/>
  <c r="J45" i="143"/>
  <c r="V45" i="143" s="1"/>
  <c r="J44" i="143"/>
  <c r="W44" i="143" s="1"/>
  <c r="J43" i="143"/>
  <c r="V43" i="143" s="1"/>
  <c r="J42" i="143"/>
  <c r="V42" i="143" s="1"/>
  <c r="J41" i="143"/>
  <c r="W41" i="143" s="1"/>
  <c r="J40" i="143"/>
  <c r="W40" i="143" s="1"/>
  <c r="J39" i="143"/>
  <c r="V39" i="143" s="1"/>
  <c r="J38" i="143"/>
  <c r="V38" i="143" s="1"/>
  <c r="J37" i="143"/>
  <c r="V37" i="143" s="1"/>
  <c r="J36" i="143"/>
  <c r="W36" i="143" s="1"/>
  <c r="J35" i="143"/>
  <c r="W35" i="143" s="1"/>
  <c r="J34" i="143"/>
  <c r="W34" i="143" s="1"/>
  <c r="J33" i="143"/>
  <c r="V33" i="143" s="1"/>
  <c r="J32" i="143"/>
  <c r="V32" i="143" s="1"/>
  <c r="J31" i="143"/>
  <c r="W31" i="143" s="1"/>
  <c r="J30" i="143"/>
  <c r="V30" i="143" s="1"/>
  <c r="J29" i="143"/>
  <c r="W29" i="143" s="1"/>
  <c r="J28" i="143"/>
  <c r="J27" i="143"/>
  <c r="J26" i="143"/>
  <c r="V26" i="143" s="1"/>
  <c r="J25" i="143"/>
  <c r="V25" i="143" s="1"/>
  <c r="J24" i="143"/>
  <c r="V24" i="143" s="1"/>
  <c r="J23" i="143"/>
  <c r="W23" i="143" s="1"/>
  <c r="J22" i="143"/>
  <c r="J21" i="143"/>
  <c r="V21" i="143" s="1"/>
  <c r="J20" i="143"/>
  <c r="V20" i="143" s="1"/>
  <c r="J19" i="143"/>
  <c r="W19" i="143" s="1"/>
  <c r="J18" i="143"/>
  <c r="W18" i="143" s="1"/>
  <c r="J17" i="143"/>
  <c r="W17" i="143" s="1"/>
  <c r="J16" i="143"/>
  <c r="W16" i="143" s="1"/>
  <c r="J15" i="143"/>
  <c r="W15" i="143" s="1"/>
  <c r="J14" i="143"/>
  <c r="W14" i="143" s="1"/>
  <c r="J12" i="143"/>
  <c r="J11" i="143"/>
  <c r="W11" i="143" s="1"/>
  <c r="N10" i="143"/>
  <c r="J10" i="143"/>
  <c r="W10" i="143" s="1"/>
  <c r="N8" i="143"/>
  <c r="J8" i="143"/>
  <c r="V8" i="143" s="1"/>
  <c r="J7" i="143"/>
  <c r="W7" i="143" s="1"/>
  <c r="N6" i="143"/>
  <c r="J6" i="143"/>
  <c r="N4" i="143"/>
  <c r="W133" i="143" l="1"/>
  <c r="W114" i="143"/>
  <c r="W125" i="143"/>
  <c r="V44" i="143"/>
  <c r="V48" i="143"/>
  <c r="V97" i="143"/>
  <c r="V99" i="143"/>
  <c r="V101" i="143"/>
  <c r="V132" i="143"/>
  <c r="W155" i="143"/>
  <c r="V158" i="143"/>
  <c r="W38" i="143"/>
  <c r="V47" i="143"/>
  <c r="W126" i="143"/>
  <c r="W20" i="143"/>
  <c r="W80" i="143"/>
  <c r="W43" i="143"/>
  <c r="V160" i="143"/>
  <c r="V128" i="143"/>
  <c r="V40" i="143"/>
  <c r="V35" i="143"/>
  <c r="V90" i="143"/>
  <c r="V36" i="143"/>
  <c r="V124" i="143"/>
  <c r="W30" i="143"/>
  <c r="W25" i="143"/>
  <c r="V23" i="143"/>
  <c r="V153" i="143"/>
  <c r="W152" i="143"/>
  <c r="W149" i="143"/>
  <c r="W146" i="143"/>
  <c r="W121" i="143"/>
  <c r="W119" i="143"/>
  <c r="W116" i="143"/>
  <c r="V72" i="143"/>
  <c r="W70" i="143"/>
  <c r="W145" i="143"/>
  <c r="W144" i="143"/>
  <c r="V112" i="143"/>
  <c r="V9" i="143"/>
  <c r="W8" i="143"/>
  <c r="V157" i="143"/>
  <c r="W113" i="143"/>
  <c r="V120" i="143"/>
  <c r="V127" i="143"/>
  <c r="V69" i="143"/>
  <c r="V74" i="143"/>
  <c r="V79" i="143"/>
  <c r="V73" i="143"/>
  <c r="W77" i="143"/>
  <c r="W81" i="143"/>
  <c r="W96" i="143"/>
  <c r="V66" i="143"/>
  <c r="N12" i="143"/>
  <c r="W91" i="143"/>
  <c r="V11" i="143"/>
  <c r="V18" i="143"/>
  <c r="V31" i="143"/>
  <c r="W21" i="143"/>
  <c r="W95" i="143"/>
  <c r="V95" i="143"/>
  <c r="V12" i="143"/>
  <c r="W12" i="143"/>
  <c r="W123" i="143"/>
  <c r="V123" i="143"/>
  <c r="W28" i="143"/>
  <c r="V28" i="143"/>
  <c r="V22" i="143"/>
  <c r="W22" i="143"/>
  <c r="V62" i="143"/>
  <c r="W62" i="143"/>
  <c r="W65" i="143"/>
  <c r="V65" i="143"/>
  <c r="J52" i="143"/>
  <c r="V6" i="143"/>
  <c r="W6" i="143"/>
  <c r="V100" i="143"/>
  <c r="W100" i="143"/>
  <c r="V14" i="143"/>
  <c r="V17" i="143"/>
  <c r="W32" i="143"/>
  <c r="V34" i="143"/>
  <c r="W37" i="143"/>
  <c r="W51" i="143"/>
  <c r="V85" i="143"/>
  <c r="W130" i="143"/>
  <c r="J135" i="143"/>
  <c r="V150" i="143"/>
  <c r="W150" i="143"/>
  <c r="W156" i="143"/>
  <c r="V156" i="143"/>
  <c r="W162" i="143"/>
  <c r="V162" i="143"/>
  <c r="V7" i="143"/>
  <c r="V10" i="143"/>
  <c r="V16" i="143"/>
  <c r="W24" i="143"/>
  <c r="V29" i="143"/>
  <c r="W39" i="143"/>
  <c r="W46" i="143"/>
  <c r="V46" i="143"/>
  <c r="W63" i="143"/>
  <c r="V67" i="143"/>
  <c r="W76" i="143"/>
  <c r="W84" i="143"/>
  <c r="V84" i="143"/>
  <c r="V88" i="143"/>
  <c r="W93" i="143"/>
  <c r="W117" i="143"/>
  <c r="V117" i="143"/>
  <c r="V129" i="143"/>
  <c r="W129" i="143"/>
  <c r="V148" i="143"/>
  <c r="V154" i="143"/>
  <c r="W27" i="143"/>
  <c r="V27" i="143"/>
  <c r="W75" i="143"/>
  <c r="V75" i="143"/>
  <c r="W87" i="143"/>
  <c r="V87" i="143"/>
  <c r="V159" i="143"/>
  <c r="W159" i="143"/>
  <c r="W42" i="143"/>
  <c r="W45" i="143"/>
  <c r="V49" i="143"/>
  <c r="W49" i="143"/>
  <c r="V61" i="143"/>
  <c r="W61" i="143"/>
  <c r="W71" i="143"/>
  <c r="V71" i="143"/>
  <c r="W78" i="143"/>
  <c r="V78" i="143"/>
  <c r="W83" i="143"/>
  <c r="V89" i="143"/>
  <c r="V118" i="143"/>
  <c r="V13" i="143"/>
  <c r="V15" i="143"/>
  <c r="V19" i="143"/>
  <c r="W26" i="143"/>
  <c r="W33" i="143"/>
  <c r="V41" i="143"/>
  <c r="V50" i="143"/>
  <c r="W68" i="143"/>
  <c r="V68" i="143"/>
  <c r="W82" i="143"/>
  <c r="V86" i="143"/>
  <c r="V92" i="143"/>
  <c r="W92" i="143"/>
  <c r="W102" i="143"/>
  <c r="V102" i="143"/>
  <c r="V115" i="143"/>
  <c r="V151" i="143"/>
  <c r="W161" i="143"/>
  <c r="V161" i="143"/>
  <c r="V165" i="143"/>
  <c r="J166" i="143"/>
  <c r="J103" i="143"/>
  <c r="V60" i="143"/>
  <c r="V64" i="143"/>
  <c r="V94" i="143"/>
  <c r="W111" i="143"/>
  <c r="V122" i="143"/>
  <c r="V131" i="143"/>
  <c r="W134" i="143"/>
  <c r="V143" i="143"/>
  <c r="W164" i="143"/>
  <c r="V164" i="143"/>
  <c r="H162" i="142"/>
  <c r="H130" i="142"/>
  <c r="H98" i="142"/>
  <c r="H97" i="142"/>
  <c r="H43" i="142"/>
  <c r="V166" i="143" l="1"/>
  <c r="O10" i="143" s="1"/>
  <c r="R10" i="143" s="1"/>
  <c r="W166" i="143"/>
  <c r="P10" i="143" s="1"/>
  <c r="V135" i="143"/>
  <c r="O8" i="143" s="1"/>
  <c r="R8" i="143" s="1"/>
  <c r="W103" i="143"/>
  <c r="P6" i="143" s="1"/>
  <c r="W135" i="143"/>
  <c r="P8" i="143" s="1"/>
  <c r="W52" i="143"/>
  <c r="P4" i="143" s="1"/>
  <c r="V52" i="143"/>
  <c r="O4" i="143" s="1"/>
  <c r="V103" i="143"/>
  <c r="R6" i="143" s="1"/>
  <c r="H127" i="142"/>
  <c r="H126" i="142"/>
  <c r="H95" i="142"/>
  <c r="H93" i="142"/>
  <c r="H91" i="142"/>
  <c r="H89" i="142"/>
  <c r="H41" i="142"/>
  <c r="H39" i="142"/>
  <c r="H38" i="142"/>
  <c r="Q10" i="143" l="1"/>
  <c r="Q8" i="143"/>
  <c r="P12" i="143"/>
  <c r="O12" i="143"/>
  <c r="R12" i="143" s="1"/>
  <c r="P14" i="143" s="1"/>
  <c r="R4" i="143"/>
  <c r="Q4" i="143"/>
  <c r="H125" i="142"/>
  <c r="H123" i="142"/>
  <c r="H87" i="142"/>
  <c r="H86" i="142"/>
  <c r="H85" i="142"/>
  <c r="H83" i="142"/>
  <c r="H33" i="142"/>
  <c r="H29" i="142"/>
  <c r="H28" i="142"/>
  <c r="Q12" i="143" l="1"/>
  <c r="J84" i="142"/>
  <c r="V84" i="142" s="1"/>
  <c r="J85" i="142"/>
  <c r="V85" i="142" s="1"/>
  <c r="J86" i="142"/>
  <c r="V86" i="142" s="1"/>
  <c r="J87" i="142"/>
  <c r="V87" i="142" s="1"/>
  <c r="J88" i="142"/>
  <c r="V88" i="142" s="1"/>
  <c r="J89" i="142"/>
  <c r="V89" i="142" s="1"/>
  <c r="J90" i="142"/>
  <c r="V90" i="142" s="1"/>
  <c r="J91" i="142"/>
  <c r="V91" i="142" s="1"/>
  <c r="J92" i="142"/>
  <c r="V92" i="142" s="1"/>
  <c r="J93" i="142"/>
  <c r="V93" i="142" s="1"/>
  <c r="J94" i="142"/>
  <c r="V94" i="142" s="1"/>
  <c r="J95" i="142"/>
  <c r="V95" i="142" s="1"/>
  <c r="J96" i="142"/>
  <c r="V96" i="142" s="1"/>
  <c r="H154" i="142"/>
  <c r="H22" i="142"/>
  <c r="H79" i="142"/>
  <c r="H77" i="142"/>
  <c r="H75" i="142"/>
  <c r="H150" i="142"/>
  <c r="H118" i="142"/>
  <c r="H73" i="142"/>
  <c r="H19" i="142"/>
  <c r="H18" i="142"/>
  <c r="W96" i="142" l="1"/>
  <c r="W95" i="142"/>
  <c r="W94" i="142"/>
  <c r="W93" i="142"/>
  <c r="W92" i="142"/>
  <c r="W91" i="142"/>
  <c r="W90" i="142"/>
  <c r="W89" i="142"/>
  <c r="W88" i="142"/>
  <c r="W87" i="142"/>
  <c r="W86" i="142"/>
  <c r="W85" i="142"/>
  <c r="W84" i="142"/>
  <c r="H17" i="142"/>
  <c r="H16" i="142"/>
  <c r="H148" i="142"/>
  <c r="H115" i="142" l="1"/>
  <c r="H67" i="142"/>
  <c r="H12" i="142"/>
  <c r="J12" i="142" s="1"/>
  <c r="V12" i="142" s="1"/>
  <c r="H66" i="142"/>
  <c r="J66" i="142" s="1"/>
  <c r="H65" i="142"/>
  <c r="H146" i="142"/>
  <c r="H63" i="142"/>
  <c r="H62" i="142"/>
  <c r="J62" i="142" s="1"/>
  <c r="H145" i="142"/>
  <c r="H11" i="142"/>
  <c r="H10" i="142"/>
  <c r="H9" i="142"/>
  <c r="J9" i="142" s="1"/>
  <c r="W9" i="142" s="1"/>
  <c r="H8" i="142"/>
  <c r="H61" i="142"/>
  <c r="H144" i="142"/>
  <c r="J144" i="142" s="1"/>
  <c r="H7" i="142"/>
  <c r="J7" i="142" s="1"/>
  <c r="V7" i="142" s="1"/>
  <c r="H6" i="142"/>
  <c r="J165" i="142"/>
  <c r="V165" i="142" s="1"/>
  <c r="J164" i="142"/>
  <c r="W164" i="142" s="1"/>
  <c r="J163" i="142"/>
  <c r="J162" i="142"/>
  <c r="W162" i="142" s="1"/>
  <c r="J161" i="142"/>
  <c r="V161" i="142" s="1"/>
  <c r="J160" i="142"/>
  <c r="W160" i="142" s="1"/>
  <c r="J159" i="142"/>
  <c r="J158" i="142"/>
  <c r="W158" i="142" s="1"/>
  <c r="J157" i="142"/>
  <c r="V157" i="142" s="1"/>
  <c r="J156" i="142"/>
  <c r="W156" i="142" s="1"/>
  <c r="J155" i="142"/>
  <c r="J154" i="142"/>
  <c r="J153" i="142"/>
  <c r="J152" i="142"/>
  <c r="J151" i="142"/>
  <c r="J150" i="142"/>
  <c r="W150" i="142" s="1"/>
  <c r="J149" i="142"/>
  <c r="V149" i="142" s="1"/>
  <c r="J148" i="142"/>
  <c r="W148" i="142" s="1"/>
  <c r="J147" i="142"/>
  <c r="W147" i="142" s="1"/>
  <c r="J146" i="142"/>
  <c r="W146" i="142" s="1"/>
  <c r="J145" i="142"/>
  <c r="J143" i="142"/>
  <c r="J134" i="142"/>
  <c r="V134" i="142" s="1"/>
  <c r="J133" i="142"/>
  <c r="W133" i="142" s="1"/>
  <c r="J132" i="142"/>
  <c r="J131" i="142"/>
  <c r="W131" i="142" s="1"/>
  <c r="J130" i="142"/>
  <c r="V130" i="142" s="1"/>
  <c r="J129" i="142"/>
  <c r="W129" i="142" s="1"/>
  <c r="J128" i="142"/>
  <c r="J127" i="142"/>
  <c r="V127" i="142" s="1"/>
  <c r="J126" i="142"/>
  <c r="V126" i="142" s="1"/>
  <c r="J125" i="142"/>
  <c r="W125" i="142" s="1"/>
  <c r="J124" i="142"/>
  <c r="W124" i="142" s="1"/>
  <c r="J123" i="142"/>
  <c r="J122" i="142"/>
  <c r="J121" i="142"/>
  <c r="W121" i="142" s="1"/>
  <c r="J120" i="142"/>
  <c r="V120" i="142" s="1"/>
  <c r="J119" i="142"/>
  <c r="W119" i="142" s="1"/>
  <c r="J118" i="142"/>
  <c r="J117" i="142"/>
  <c r="V117" i="142" s="1"/>
  <c r="J116" i="142"/>
  <c r="V116" i="142" s="1"/>
  <c r="W115" i="142"/>
  <c r="J115" i="142"/>
  <c r="V115" i="142" s="1"/>
  <c r="J114" i="142"/>
  <c r="W114" i="142" s="1"/>
  <c r="J113" i="142"/>
  <c r="J112" i="142"/>
  <c r="J111" i="142"/>
  <c r="W111" i="142" s="1"/>
  <c r="J102" i="142"/>
  <c r="W102" i="142" s="1"/>
  <c r="J101" i="142"/>
  <c r="J100" i="142"/>
  <c r="W100" i="142" s="1"/>
  <c r="J99" i="142"/>
  <c r="V99" i="142" s="1"/>
  <c r="J98" i="142"/>
  <c r="W98" i="142" s="1"/>
  <c r="J97" i="142"/>
  <c r="J83" i="142"/>
  <c r="J82" i="142"/>
  <c r="J81" i="142"/>
  <c r="W81" i="142" s="1"/>
  <c r="J80" i="142"/>
  <c r="V80" i="142" s="1"/>
  <c r="J79" i="142"/>
  <c r="V79" i="142" s="1"/>
  <c r="J78" i="142"/>
  <c r="W78" i="142" s="1"/>
  <c r="J77" i="142"/>
  <c r="W77" i="142" s="1"/>
  <c r="J76" i="142"/>
  <c r="W76" i="142" s="1"/>
  <c r="J75" i="142"/>
  <c r="J74" i="142"/>
  <c r="J73" i="142"/>
  <c r="W73" i="142" s="1"/>
  <c r="J72" i="142"/>
  <c r="V72" i="142" s="1"/>
  <c r="J71" i="142"/>
  <c r="W71" i="142" s="1"/>
  <c r="J70" i="142"/>
  <c r="W70" i="142" s="1"/>
  <c r="J69" i="142"/>
  <c r="J68" i="142"/>
  <c r="J67" i="142"/>
  <c r="J65" i="142"/>
  <c r="W65" i="142" s="1"/>
  <c r="J64" i="142"/>
  <c r="V64" i="142" s="1"/>
  <c r="J63" i="142"/>
  <c r="W63" i="142" s="1"/>
  <c r="J61" i="142"/>
  <c r="J60" i="142"/>
  <c r="J51" i="142"/>
  <c r="W51" i="142" s="1"/>
  <c r="J50" i="142"/>
  <c r="V50" i="142" s="1"/>
  <c r="J49" i="142"/>
  <c r="W49" i="142" s="1"/>
  <c r="J48" i="142"/>
  <c r="J47" i="142"/>
  <c r="W47" i="142" s="1"/>
  <c r="J46" i="142"/>
  <c r="V46" i="142" s="1"/>
  <c r="J45" i="142"/>
  <c r="W45" i="142" s="1"/>
  <c r="J44" i="142"/>
  <c r="J43" i="142"/>
  <c r="W43" i="142" s="1"/>
  <c r="J42" i="142"/>
  <c r="V42" i="142" s="1"/>
  <c r="J41" i="142"/>
  <c r="W41" i="142" s="1"/>
  <c r="J40" i="142"/>
  <c r="J39" i="142"/>
  <c r="W39" i="142" s="1"/>
  <c r="J38" i="142"/>
  <c r="V38" i="142" s="1"/>
  <c r="J37" i="142"/>
  <c r="W37" i="142" s="1"/>
  <c r="J36" i="142"/>
  <c r="J35" i="142"/>
  <c r="J34" i="142"/>
  <c r="W34" i="142" s="1"/>
  <c r="J33" i="142"/>
  <c r="V33" i="142" s="1"/>
  <c r="J32" i="142"/>
  <c r="W32" i="142" s="1"/>
  <c r="J31" i="142"/>
  <c r="J30" i="142"/>
  <c r="J29" i="142"/>
  <c r="J28" i="142"/>
  <c r="W28" i="142" s="1"/>
  <c r="J27" i="142"/>
  <c r="V27" i="142" s="1"/>
  <c r="J26" i="142"/>
  <c r="W26" i="142" s="1"/>
  <c r="J25" i="142"/>
  <c r="J24" i="142"/>
  <c r="J23" i="142"/>
  <c r="J22" i="142"/>
  <c r="W22" i="142" s="1"/>
  <c r="J21" i="142"/>
  <c r="V21" i="142" s="1"/>
  <c r="J20" i="142"/>
  <c r="V20" i="142" s="1"/>
  <c r="J19" i="142"/>
  <c r="W19" i="142" s="1"/>
  <c r="J18" i="142"/>
  <c r="V18" i="142" s="1"/>
  <c r="J17" i="142"/>
  <c r="W17" i="142" s="1"/>
  <c r="J16" i="142"/>
  <c r="W16" i="142" s="1"/>
  <c r="J15" i="142"/>
  <c r="W15" i="142" s="1"/>
  <c r="J14" i="142"/>
  <c r="W14" i="142" s="1"/>
  <c r="J13" i="142"/>
  <c r="V13" i="142" s="1"/>
  <c r="J11" i="142"/>
  <c r="W11" i="142" s="1"/>
  <c r="N10" i="142"/>
  <c r="J10" i="142"/>
  <c r="V10" i="142" s="1"/>
  <c r="N8" i="142"/>
  <c r="J8" i="142"/>
  <c r="W8" i="142" s="1"/>
  <c r="N6" i="142"/>
  <c r="J6" i="142"/>
  <c r="W6" i="142" s="1"/>
  <c r="N4" i="142"/>
  <c r="V164" i="142" l="1"/>
  <c r="W134" i="142"/>
  <c r="W50" i="142"/>
  <c r="V6" i="142"/>
  <c r="V102" i="142"/>
  <c r="W165" i="142"/>
  <c r="V51" i="142"/>
  <c r="W117" i="142"/>
  <c r="W42" i="142"/>
  <c r="W46" i="142"/>
  <c r="V49" i="142"/>
  <c r="V45" i="142"/>
  <c r="V47" i="142"/>
  <c r="V100" i="142"/>
  <c r="V131" i="142"/>
  <c r="V133" i="142"/>
  <c r="W130" i="142"/>
  <c r="V98" i="142"/>
  <c r="V43" i="142"/>
  <c r="V162" i="142"/>
  <c r="W161" i="142"/>
  <c r="V129" i="142"/>
  <c r="W127" i="142"/>
  <c r="W126" i="142"/>
  <c r="V41" i="142"/>
  <c r="V39" i="142"/>
  <c r="W38" i="142"/>
  <c r="V124" i="142"/>
  <c r="V28" i="142"/>
  <c r="W27" i="142"/>
  <c r="V26" i="142"/>
  <c r="V121" i="142"/>
  <c r="V119" i="142"/>
  <c r="W80" i="142"/>
  <c r="V111" i="142"/>
  <c r="V150" i="142"/>
  <c r="V156" i="142"/>
  <c r="V158" i="142"/>
  <c r="V160" i="142"/>
  <c r="V146" i="142"/>
  <c r="W149" i="142"/>
  <c r="W157" i="142"/>
  <c r="V114" i="142"/>
  <c r="W116" i="142"/>
  <c r="W120" i="142"/>
  <c r="V125" i="142"/>
  <c r="N12" i="142"/>
  <c r="V63" i="142"/>
  <c r="V65" i="142"/>
  <c r="V71" i="142"/>
  <c r="V73" i="142"/>
  <c r="V76" i="142"/>
  <c r="W79" i="142"/>
  <c r="V81" i="142"/>
  <c r="W99" i="142"/>
  <c r="W64" i="142"/>
  <c r="V70" i="142"/>
  <c r="W72" i="142"/>
  <c r="V15" i="142"/>
  <c r="V17" i="142"/>
  <c r="V19" i="142"/>
  <c r="W21" i="142"/>
  <c r="V32" i="142"/>
  <c r="V34" i="142"/>
  <c r="V37" i="142"/>
  <c r="J52" i="142"/>
  <c r="W7" i="142"/>
  <c r="V9" i="142"/>
  <c r="V11" i="142"/>
  <c r="V14" i="142"/>
  <c r="V16" i="142"/>
  <c r="W18" i="142"/>
  <c r="W20" i="142"/>
  <c r="V22" i="142"/>
  <c r="W33" i="142"/>
  <c r="W12" i="142"/>
  <c r="W68" i="142"/>
  <c r="V68" i="142"/>
  <c r="W74" i="142"/>
  <c r="V74" i="142"/>
  <c r="W82" i="142"/>
  <c r="V82" i="142"/>
  <c r="W123" i="142"/>
  <c r="V123" i="142"/>
  <c r="W144" i="142"/>
  <c r="V144" i="142"/>
  <c r="W10" i="142"/>
  <c r="W24" i="142"/>
  <c r="V24" i="142"/>
  <c r="W31" i="142"/>
  <c r="V31" i="142"/>
  <c r="W36" i="142"/>
  <c r="V36" i="142"/>
  <c r="W61" i="142"/>
  <c r="V61" i="142"/>
  <c r="W75" i="142"/>
  <c r="V75" i="142"/>
  <c r="V77" i="142"/>
  <c r="W83" i="142"/>
  <c r="V83" i="142"/>
  <c r="W145" i="142"/>
  <c r="V145" i="142"/>
  <c r="V147" i="142"/>
  <c r="W151" i="142"/>
  <c r="V151" i="142"/>
  <c r="W154" i="142"/>
  <c r="V154" i="142"/>
  <c r="W40" i="142"/>
  <c r="V40" i="142"/>
  <c r="V8" i="142"/>
  <c r="W29" i="142"/>
  <c r="V29" i="142"/>
  <c r="W48" i="142"/>
  <c r="V48" i="142"/>
  <c r="W66" i="142"/>
  <c r="V66" i="142"/>
  <c r="W69" i="142"/>
  <c r="V69" i="142"/>
  <c r="W112" i="142"/>
  <c r="V112" i="142"/>
  <c r="W118" i="142"/>
  <c r="V118" i="142"/>
  <c r="W122" i="142"/>
  <c r="V122" i="142"/>
  <c r="W128" i="142"/>
  <c r="V128" i="142"/>
  <c r="W132" i="142"/>
  <c r="V132" i="142"/>
  <c r="W152" i="142"/>
  <c r="V152" i="142"/>
  <c r="W23" i="142"/>
  <c r="V23" i="142"/>
  <c r="W35" i="142"/>
  <c r="V35" i="142"/>
  <c r="W13" i="142"/>
  <c r="W25" i="142"/>
  <c r="V25" i="142"/>
  <c r="W30" i="142"/>
  <c r="V30" i="142"/>
  <c r="W44" i="142"/>
  <c r="V44" i="142"/>
  <c r="J103" i="142"/>
  <c r="W60" i="142"/>
  <c r="V60" i="142"/>
  <c r="W62" i="142"/>
  <c r="V62" i="142"/>
  <c r="W67" i="142"/>
  <c r="V67" i="142"/>
  <c r="V78" i="142"/>
  <c r="W97" i="142"/>
  <c r="V97" i="142"/>
  <c r="W101" i="142"/>
  <c r="V101" i="142"/>
  <c r="J135" i="142"/>
  <c r="W113" i="142"/>
  <c r="V113" i="142"/>
  <c r="W143" i="142"/>
  <c r="V143" i="142"/>
  <c r="J166" i="142"/>
  <c r="V148" i="142"/>
  <c r="W153" i="142"/>
  <c r="V153" i="142"/>
  <c r="W155" i="142"/>
  <c r="V155" i="142"/>
  <c r="W159" i="142"/>
  <c r="V159" i="142"/>
  <c r="W163" i="142"/>
  <c r="V163" i="142"/>
  <c r="H112" i="141"/>
  <c r="V52" i="142" l="1"/>
  <c r="O4" i="142" s="1"/>
  <c r="R4" i="142" s="1"/>
  <c r="W166" i="142"/>
  <c r="P10" i="142" s="1"/>
  <c r="V135" i="142"/>
  <c r="O8" i="142" s="1"/>
  <c r="R8" i="142" s="1"/>
  <c r="W135" i="142"/>
  <c r="P8" i="142" s="1"/>
  <c r="W52" i="142"/>
  <c r="P4" i="142" s="1"/>
  <c r="V103" i="142"/>
  <c r="O6" i="142" s="1"/>
  <c r="R6" i="142" s="1"/>
  <c r="W103" i="142"/>
  <c r="P6" i="142" s="1"/>
  <c r="V166" i="142"/>
  <c r="O10" i="142" s="1"/>
  <c r="H130" i="141"/>
  <c r="H103" i="141"/>
  <c r="H99" i="141"/>
  <c r="H77" i="141"/>
  <c r="Q4" i="142" l="1"/>
  <c r="Q8" i="142"/>
  <c r="P12" i="142"/>
  <c r="R10" i="142"/>
  <c r="Q10" i="142"/>
  <c r="O12" i="142"/>
  <c r="R12" i="142" s="1"/>
  <c r="P14" i="142" s="1"/>
  <c r="H67" i="141"/>
  <c r="H35" i="141"/>
  <c r="H29" i="141"/>
  <c r="H25" i="141"/>
  <c r="H13" i="141"/>
  <c r="Q12" i="142" l="1"/>
  <c r="H142" i="141"/>
  <c r="H141" i="141"/>
  <c r="H139" i="141"/>
  <c r="H138" i="141"/>
  <c r="H135" i="141"/>
  <c r="H134" i="141"/>
  <c r="H131" i="141"/>
  <c r="H31" i="141"/>
  <c r="H23" i="141"/>
  <c r="H21" i="141"/>
  <c r="H17" i="141"/>
  <c r="H16" i="141"/>
  <c r="H15" i="141"/>
  <c r="H14" i="141"/>
  <c r="H12" i="141"/>
  <c r="H84" i="141"/>
  <c r="H82" i="141"/>
  <c r="H80" i="141"/>
  <c r="H78" i="141"/>
  <c r="J78" i="141" s="1"/>
  <c r="W78" i="141" s="1"/>
  <c r="J76" i="141"/>
  <c r="V76" i="141" s="1"/>
  <c r="J77" i="141"/>
  <c r="V77" i="141" s="1"/>
  <c r="J79" i="141"/>
  <c r="V79" i="141" s="1"/>
  <c r="J80" i="141"/>
  <c r="V80" i="141" s="1"/>
  <c r="J81" i="141"/>
  <c r="V81" i="141" s="1"/>
  <c r="J82" i="141"/>
  <c r="V82" i="141" s="1"/>
  <c r="H74" i="141"/>
  <c r="H71" i="141"/>
  <c r="H69" i="141"/>
  <c r="H66" i="141"/>
  <c r="H110" i="141"/>
  <c r="H62" i="141"/>
  <c r="H61" i="141"/>
  <c r="H60" i="141"/>
  <c r="H10" i="141"/>
  <c r="H9" i="141"/>
  <c r="H8" i="141"/>
  <c r="W80" i="141" l="1"/>
  <c r="W79" i="141"/>
  <c r="W81" i="141"/>
  <c r="W82" i="141"/>
  <c r="W77" i="141"/>
  <c r="V78" i="141"/>
  <c r="W76" i="141"/>
  <c r="W152" i="141"/>
  <c r="J152" i="141"/>
  <c r="V152" i="141" s="1"/>
  <c r="J151" i="141"/>
  <c r="W151" i="141" s="1"/>
  <c r="J150" i="141"/>
  <c r="W150" i="141" s="1"/>
  <c r="J149" i="141"/>
  <c r="W149" i="141" s="1"/>
  <c r="J148" i="141"/>
  <c r="W148" i="141" s="1"/>
  <c r="J147" i="141"/>
  <c r="W147" i="141" s="1"/>
  <c r="J146" i="141"/>
  <c r="W146" i="141" s="1"/>
  <c r="J145" i="141"/>
  <c r="J144" i="141"/>
  <c r="W144" i="141" s="1"/>
  <c r="J143" i="141"/>
  <c r="W143" i="141" s="1"/>
  <c r="J142" i="141"/>
  <c r="V142" i="141" s="1"/>
  <c r="J141" i="141"/>
  <c r="W141" i="141" s="1"/>
  <c r="J140" i="141"/>
  <c r="W140" i="141" s="1"/>
  <c r="J139" i="141"/>
  <c r="W139" i="141" s="1"/>
  <c r="J138" i="141"/>
  <c r="V138" i="141" s="1"/>
  <c r="J137" i="141"/>
  <c r="W137" i="141" s="1"/>
  <c r="J136" i="141"/>
  <c r="W136" i="141" s="1"/>
  <c r="J135" i="141"/>
  <c r="W135" i="141" s="1"/>
  <c r="W134" i="141"/>
  <c r="J134" i="141"/>
  <c r="V134" i="141" s="1"/>
  <c r="J133" i="141"/>
  <c r="V133" i="141" s="1"/>
  <c r="J132" i="141"/>
  <c r="W132" i="141" s="1"/>
  <c r="J131" i="141"/>
  <c r="W131" i="141" s="1"/>
  <c r="J130" i="141"/>
  <c r="W130" i="141" s="1"/>
  <c r="J121" i="141"/>
  <c r="W121" i="141" s="1"/>
  <c r="J120" i="141"/>
  <c r="W120" i="141" s="1"/>
  <c r="W119" i="141"/>
  <c r="J119" i="141"/>
  <c r="V119" i="141" s="1"/>
  <c r="J118" i="141"/>
  <c r="W118" i="141" s="1"/>
  <c r="J117" i="141"/>
  <c r="W117" i="141" s="1"/>
  <c r="J116" i="141"/>
  <c r="W116" i="141" s="1"/>
  <c r="J115" i="141"/>
  <c r="J114" i="141"/>
  <c r="W114" i="141" s="1"/>
  <c r="J113" i="141"/>
  <c r="V113" i="141" s="1"/>
  <c r="J112" i="141"/>
  <c r="W112" i="141" s="1"/>
  <c r="J111" i="141"/>
  <c r="W111" i="141" s="1"/>
  <c r="J110" i="141"/>
  <c r="J109" i="141"/>
  <c r="J108" i="141"/>
  <c r="J107" i="141"/>
  <c r="W107" i="141" s="1"/>
  <c r="J106" i="141"/>
  <c r="W106" i="141" s="1"/>
  <c r="J105" i="141"/>
  <c r="V105" i="141" s="1"/>
  <c r="J104" i="141"/>
  <c r="W104" i="141" s="1"/>
  <c r="J103" i="141"/>
  <c r="W103" i="141" s="1"/>
  <c r="J102" i="141"/>
  <c r="W102" i="141" s="1"/>
  <c r="J101" i="141"/>
  <c r="W101" i="141" s="1"/>
  <c r="J100" i="141"/>
  <c r="W100" i="141" s="1"/>
  <c r="J99" i="141"/>
  <c r="W99" i="141" s="1"/>
  <c r="J98" i="141"/>
  <c r="J89" i="141"/>
  <c r="V89" i="141" s="1"/>
  <c r="J88" i="141"/>
  <c r="W88" i="141" s="1"/>
  <c r="J87" i="141"/>
  <c r="W87" i="141" s="1"/>
  <c r="J86" i="141"/>
  <c r="W86" i="141" s="1"/>
  <c r="J85" i="141"/>
  <c r="V85" i="141" s="1"/>
  <c r="J84" i="141"/>
  <c r="W84" i="141" s="1"/>
  <c r="J83" i="141"/>
  <c r="W83" i="141" s="1"/>
  <c r="J75" i="141"/>
  <c r="W75" i="141" s="1"/>
  <c r="J74" i="141"/>
  <c r="W74" i="141" s="1"/>
  <c r="J73" i="141"/>
  <c r="W73" i="141" s="1"/>
  <c r="J72" i="141"/>
  <c r="W72" i="141" s="1"/>
  <c r="J71" i="141"/>
  <c r="W71" i="141" s="1"/>
  <c r="J70" i="141"/>
  <c r="W70" i="141" s="1"/>
  <c r="J69" i="141"/>
  <c r="W69" i="141" s="1"/>
  <c r="J68" i="141"/>
  <c r="W68" i="141" s="1"/>
  <c r="J67" i="141"/>
  <c r="W67" i="141" s="1"/>
  <c r="J66" i="141"/>
  <c r="V66" i="141" s="1"/>
  <c r="J65" i="141"/>
  <c r="V65" i="141" s="1"/>
  <c r="J64" i="141"/>
  <c r="W64" i="141" s="1"/>
  <c r="J63" i="141"/>
  <c r="J62" i="141"/>
  <c r="W62" i="141" s="1"/>
  <c r="J61" i="141"/>
  <c r="J60" i="141"/>
  <c r="J51" i="141"/>
  <c r="V51" i="141" s="1"/>
  <c r="J50" i="141"/>
  <c r="W50" i="141" s="1"/>
  <c r="J49" i="141"/>
  <c r="W49" i="141" s="1"/>
  <c r="J48" i="141"/>
  <c r="W48" i="141" s="1"/>
  <c r="J47" i="141"/>
  <c r="V47" i="141" s="1"/>
  <c r="J46" i="141"/>
  <c r="W46" i="141" s="1"/>
  <c r="J45" i="141"/>
  <c r="W45" i="141" s="1"/>
  <c r="J44" i="141"/>
  <c r="W44" i="141" s="1"/>
  <c r="J43" i="141"/>
  <c r="V43" i="141" s="1"/>
  <c r="W42" i="141"/>
  <c r="J42" i="141"/>
  <c r="V42" i="141" s="1"/>
  <c r="J41" i="141"/>
  <c r="W41" i="141" s="1"/>
  <c r="J40" i="141"/>
  <c r="W40" i="141" s="1"/>
  <c r="J39" i="141"/>
  <c r="J38" i="141"/>
  <c r="W38" i="141" s="1"/>
  <c r="J37" i="141"/>
  <c r="W37" i="141" s="1"/>
  <c r="J36" i="141"/>
  <c r="W36" i="141" s="1"/>
  <c r="J35" i="141"/>
  <c r="W35" i="141" s="1"/>
  <c r="J34" i="141"/>
  <c r="W34" i="141" s="1"/>
  <c r="J33" i="141"/>
  <c r="V33" i="141" s="1"/>
  <c r="J32" i="141"/>
  <c r="W32" i="141" s="1"/>
  <c r="J31" i="141"/>
  <c r="W31" i="141" s="1"/>
  <c r="J30" i="141"/>
  <c r="W30" i="141" s="1"/>
  <c r="J29" i="141"/>
  <c r="V29" i="141" s="1"/>
  <c r="J28" i="141"/>
  <c r="W28" i="141" s="1"/>
  <c r="J27" i="141"/>
  <c r="W27" i="141" s="1"/>
  <c r="J26" i="141"/>
  <c r="J25" i="141"/>
  <c r="J24" i="141"/>
  <c r="V24" i="141" s="1"/>
  <c r="J23" i="141"/>
  <c r="W23" i="141" s="1"/>
  <c r="J22" i="141"/>
  <c r="W22" i="141" s="1"/>
  <c r="J21" i="141"/>
  <c r="W21" i="141" s="1"/>
  <c r="J20" i="141"/>
  <c r="V20" i="141" s="1"/>
  <c r="J19" i="141"/>
  <c r="W19" i="141" s="1"/>
  <c r="J18" i="141"/>
  <c r="W18" i="141" s="1"/>
  <c r="J17" i="141"/>
  <c r="V17" i="141" s="1"/>
  <c r="J16" i="141"/>
  <c r="W16" i="141" s="1"/>
  <c r="J15" i="141"/>
  <c r="W15" i="141" s="1"/>
  <c r="J14" i="141"/>
  <c r="W14" i="141" s="1"/>
  <c r="J13" i="141"/>
  <c r="V13" i="141" s="1"/>
  <c r="J12" i="141"/>
  <c r="W12" i="141" s="1"/>
  <c r="J11" i="141"/>
  <c r="V11" i="141" s="1"/>
  <c r="N10" i="141"/>
  <c r="J10" i="141"/>
  <c r="W10" i="141" s="1"/>
  <c r="J9" i="141"/>
  <c r="W9" i="141" s="1"/>
  <c r="N8" i="141"/>
  <c r="J8" i="141"/>
  <c r="W8" i="141" s="1"/>
  <c r="J7" i="141"/>
  <c r="W7" i="141" s="1"/>
  <c r="N6" i="141"/>
  <c r="J6" i="141"/>
  <c r="W6" i="141" s="1"/>
  <c r="N4" i="141"/>
  <c r="V118" i="141" l="1"/>
  <c r="W47" i="141"/>
  <c r="W20" i="141"/>
  <c r="W51" i="141"/>
  <c r="W89" i="141"/>
  <c r="V144" i="141"/>
  <c r="V16" i="141"/>
  <c r="W43" i="141"/>
  <c r="V48" i="141"/>
  <c r="W113" i="141"/>
  <c r="V149" i="141"/>
  <c r="W65" i="141"/>
  <c r="V140" i="141"/>
  <c r="V37" i="141"/>
  <c r="V36" i="141"/>
  <c r="W29" i="141"/>
  <c r="W13" i="141"/>
  <c r="W142" i="141"/>
  <c r="V141" i="141"/>
  <c r="W138" i="141"/>
  <c r="W133" i="141"/>
  <c r="W33" i="141"/>
  <c r="W24" i="141"/>
  <c r="W17" i="141"/>
  <c r="V12" i="141"/>
  <c r="W85" i="141"/>
  <c r="V84" i="141"/>
  <c r="W66" i="141"/>
  <c r="W105" i="141"/>
  <c r="V8" i="141"/>
  <c r="J153" i="141"/>
  <c r="V135" i="141"/>
  <c r="V139" i="141"/>
  <c r="V143" i="141"/>
  <c r="V130" i="141"/>
  <c r="V148" i="141"/>
  <c r="V101" i="141"/>
  <c r="V100" i="141"/>
  <c r="V106" i="141"/>
  <c r="V114" i="141"/>
  <c r="N12" i="141"/>
  <c r="V72" i="141"/>
  <c r="V71" i="141"/>
  <c r="V86" i="141"/>
  <c r="V15" i="141"/>
  <c r="V19" i="141"/>
  <c r="V23" i="141"/>
  <c r="V35" i="141"/>
  <c r="V41" i="141"/>
  <c r="V9" i="141"/>
  <c r="V10" i="141"/>
  <c r="W11" i="141"/>
  <c r="V14" i="141"/>
  <c r="V18" i="141"/>
  <c r="V30" i="141"/>
  <c r="V34" i="141"/>
  <c r="V44" i="141"/>
  <c r="W63" i="141"/>
  <c r="V63" i="141"/>
  <c r="W108" i="141"/>
  <c r="V108" i="141"/>
  <c r="V115" i="141"/>
  <c r="W115" i="141"/>
  <c r="V25" i="141"/>
  <c r="W25" i="141"/>
  <c r="V60" i="141"/>
  <c r="W60" i="141"/>
  <c r="J90" i="141"/>
  <c r="J122" i="141"/>
  <c r="W109" i="141"/>
  <c r="V109" i="141"/>
  <c r="V26" i="141"/>
  <c r="W26" i="141"/>
  <c r="V61" i="141"/>
  <c r="W61" i="141"/>
  <c r="W110" i="141"/>
  <c r="V110" i="141"/>
  <c r="V145" i="141"/>
  <c r="W145" i="141"/>
  <c r="W39" i="141"/>
  <c r="V39" i="141"/>
  <c r="V7" i="141"/>
  <c r="V22" i="141"/>
  <c r="V28" i="141"/>
  <c r="V32" i="141"/>
  <c r="V40" i="141"/>
  <c r="V46" i="141"/>
  <c r="V50" i="141"/>
  <c r="V64" i="141"/>
  <c r="V68" i="141"/>
  <c r="V69" i="141"/>
  <c r="V70" i="141"/>
  <c r="V74" i="141"/>
  <c r="V75" i="141"/>
  <c r="V83" i="141"/>
  <c r="V88" i="141"/>
  <c r="V99" i="141"/>
  <c r="V103" i="141"/>
  <c r="V104" i="141"/>
  <c r="V111" i="141"/>
  <c r="V112" i="141"/>
  <c r="V117" i="141"/>
  <c r="V121" i="141"/>
  <c r="V132" i="141"/>
  <c r="V137" i="141"/>
  <c r="V147" i="141"/>
  <c r="V151" i="141"/>
  <c r="V6" i="141"/>
  <c r="V21" i="141"/>
  <c r="V27" i="141"/>
  <c r="V31" i="141"/>
  <c r="V38" i="141"/>
  <c r="V45" i="141"/>
  <c r="V49" i="141"/>
  <c r="J52" i="141"/>
  <c r="V62" i="141"/>
  <c r="V67" i="141"/>
  <c r="V73" i="141"/>
  <c r="V87" i="141"/>
  <c r="V98" i="141"/>
  <c r="V102" i="141"/>
  <c r="V107" i="141"/>
  <c r="V116" i="141"/>
  <c r="V120" i="141"/>
  <c r="V131" i="141"/>
  <c r="V136" i="141"/>
  <c r="V146" i="141"/>
  <c r="V150" i="141"/>
  <c r="W98" i="141"/>
  <c r="H43" i="140"/>
  <c r="H42" i="140"/>
  <c r="H108" i="140"/>
  <c r="H70" i="140"/>
  <c r="W153" i="141" l="1"/>
  <c r="P10" i="141" s="1"/>
  <c r="W52" i="141"/>
  <c r="P4" i="141" s="1"/>
  <c r="W122" i="141"/>
  <c r="P8" i="141" s="1"/>
  <c r="V153" i="141"/>
  <c r="O10" i="141" s="1"/>
  <c r="R10" i="141" s="1"/>
  <c r="V52" i="141"/>
  <c r="O4" i="141" s="1"/>
  <c r="R4" i="141" s="1"/>
  <c r="V122" i="141"/>
  <c r="O8" i="141" s="1"/>
  <c r="V90" i="141"/>
  <c r="O6" i="141" s="1"/>
  <c r="R6" i="141" s="1"/>
  <c r="W90" i="141"/>
  <c r="P6" i="141" s="1"/>
  <c r="H78" i="140"/>
  <c r="H39" i="140"/>
  <c r="H138" i="140"/>
  <c r="H76" i="140"/>
  <c r="H36" i="140"/>
  <c r="H35" i="140"/>
  <c r="H34" i="140"/>
  <c r="H75" i="140"/>
  <c r="H105" i="140"/>
  <c r="H136" i="140"/>
  <c r="H135" i="140"/>
  <c r="H103" i="140"/>
  <c r="H102" i="140"/>
  <c r="H134" i="140"/>
  <c r="H133" i="140"/>
  <c r="H101" i="140"/>
  <c r="H26" i="140"/>
  <c r="P12" i="141" l="1"/>
  <c r="Q10" i="141"/>
  <c r="Q4" i="141"/>
  <c r="R8" i="141"/>
  <c r="Q8" i="141"/>
  <c r="O12" i="141"/>
  <c r="R12" i="141" s="1"/>
  <c r="P14" i="141" s="1"/>
  <c r="H132" i="140"/>
  <c r="H69" i="140"/>
  <c r="H25" i="140"/>
  <c r="Q12" i="141" l="1"/>
  <c r="H97" i="140"/>
  <c r="H19" i="140"/>
  <c r="H18" i="140"/>
  <c r="H17" i="140"/>
  <c r="H16" i="140"/>
  <c r="J16" i="140" s="1"/>
  <c r="H127" i="140"/>
  <c r="J127" i="140" s="1"/>
  <c r="V127" i="140" s="1"/>
  <c r="H15" i="140"/>
  <c r="J15" i="140" s="1"/>
  <c r="V15" i="140" s="1"/>
  <c r="H13" i="140"/>
  <c r="H63" i="140"/>
  <c r="H11" i="140"/>
  <c r="H61" i="140"/>
  <c r="H60" i="140"/>
  <c r="J145" i="140"/>
  <c r="V145" i="140" s="1"/>
  <c r="W144" i="140"/>
  <c r="J144" i="140"/>
  <c r="V144" i="140" s="1"/>
  <c r="J143" i="140"/>
  <c r="J142" i="140"/>
  <c r="W142" i="140" s="1"/>
  <c r="J141" i="140"/>
  <c r="V141" i="140" s="1"/>
  <c r="J140" i="140"/>
  <c r="W140" i="140" s="1"/>
  <c r="J139" i="140"/>
  <c r="J138" i="140"/>
  <c r="J137" i="140"/>
  <c r="J136" i="140"/>
  <c r="W136" i="140" s="1"/>
  <c r="J135" i="140"/>
  <c r="V135" i="140" s="1"/>
  <c r="J134" i="140"/>
  <c r="V134" i="140" s="1"/>
  <c r="J133" i="140"/>
  <c r="J132" i="140"/>
  <c r="J131" i="140"/>
  <c r="W131" i="140" s="1"/>
  <c r="J130" i="140"/>
  <c r="V130" i="140" s="1"/>
  <c r="J129" i="140"/>
  <c r="V129" i="140" s="1"/>
  <c r="J128" i="140"/>
  <c r="V128" i="140" s="1"/>
  <c r="J126" i="140"/>
  <c r="W126" i="140" s="1"/>
  <c r="J125" i="140"/>
  <c r="J124" i="140"/>
  <c r="W124" i="140" s="1"/>
  <c r="J123" i="140"/>
  <c r="V123" i="140" s="1"/>
  <c r="J114" i="140"/>
  <c r="J113" i="140"/>
  <c r="W113" i="140" s="1"/>
  <c r="J112" i="140"/>
  <c r="V112" i="140" s="1"/>
  <c r="J111" i="140"/>
  <c r="W111" i="140" s="1"/>
  <c r="J110" i="140"/>
  <c r="W110" i="140" s="1"/>
  <c r="J109" i="140"/>
  <c r="W109" i="140" s="1"/>
  <c r="J108" i="140"/>
  <c r="J107" i="140"/>
  <c r="W107" i="140" s="1"/>
  <c r="J106" i="140"/>
  <c r="W106" i="140" s="1"/>
  <c r="J105" i="140"/>
  <c r="W105" i="140" s="1"/>
  <c r="J104" i="140"/>
  <c r="J103" i="140"/>
  <c r="W103" i="140" s="1"/>
  <c r="J102" i="140"/>
  <c r="W102" i="140" s="1"/>
  <c r="J101" i="140"/>
  <c r="W101" i="140" s="1"/>
  <c r="J100" i="140"/>
  <c r="J99" i="140"/>
  <c r="J98" i="140"/>
  <c r="J97" i="140"/>
  <c r="W97" i="140" s="1"/>
  <c r="J96" i="140"/>
  <c r="V96" i="140" s="1"/>
  <c r="J95" i="140"/>
  <c r="W95" i="140" s="1"/>
  <c r="J94" i="140"/>
  <c r="W94" i="140" s="1"/>
  <c r="J93" i="140"/>
  <c r="W93" i="140" s="1"/>
  <c r="J92" i="140"/>
  <c r="J91" i="140"/>
  <c r="J82" i="140"/>
  <c r="W82" i="140" s="1"/>
  <c r="J81" i="140"/>
  <c r="J80" i="140"/>
  <c r="W80" i="140" s="1"/>
  <c r="J79" i="140"/>
  <c r="V79" i="140" s="1"/>
  <c r="J78" i="140"/>
  <c r="V78" i="140" s="1"/>
  <c r="J77" i="140"/>
  <c r="V77" i="140" s="1"/>
  <c r="J76" i="140"/>
  <c r="V76" i="140" s="1"/>
  <c r="J75" i="140"/>
  <c r="V75" i="140" s="1"/>
  <c r="J74" i="140"/>
  <c r="W74" i="140" s="1"/>
  <c r="J73" i="140"/>
  <c r="W73" i="140" s="1"/>
  <c r="J72" i="140"/>
  <c r="J71" i="140"/>
  <c r="J70" i="140"/>
  <c r="W70" i="140" s="1"/>
  <c r="J69" i="140"/>
  <c r="W69" i="140" s="1"/>
  <c r="J68" i="140"/>
  <c r="W68" i="140" s="1"/>
  <c r="J67" i="140"/>
  <c r="J66" i="140"/>
  <c r="J65" i="140"/>
  <c r="J64" i="140"/>
  <c r="W64" i="140" s="1"/>
  <c r="J63" i="140"/>
  <c r="V63" i="140" s="1"/>
  <c r="J62" i="140"/>
  <c r="W62" i="140" s="1"/>
  <c r="J61" i="140"/>
  <c r="W61" i="140" s="1"/>
  <c r="J60" i="140"/>
  <c r="V60" i="140" s="1"/>
  <c r="J51" i="140"/>
  <c r="W51" i="140" s="1"/>
  <c r="J50" i="140"/>
  <c r="W50" i="140" s="1"/>
  <c r="V49" i="140"/>
  <c r="J49" i="140"/>
  <c r="W49" i="140" s="1"/>
  <c r="J48" i="140"/>
  <c r="W48" i="140" s="1"/>
  <c r="J47" i="140"/>
  <c r="J46" i="140"/>
  <c r="W46" i="140" s="1"/>
  <c r="J45" i="140"/>
  <c r="W45" i="140" s="1"/>
  <c r="J44" i="140"/>
  <c r="V44" i="140" s="1"/>
  <c r="J43" i="140"/>
  <c r="W43" i="140" s="1"/>
  <c r="J42" i="140"/>
  <c r="J41" i="140"/>
  <c r="V41" i="140" s="1"/>
  <c r="J40" i="140"/>
  <c r="V40" i="140" s="1"/>
  <c r="J39" i="140"/>
  <c r="V39" i="140" s="1"/>
  <c r="J38" i="140"/>
  <c r="V38" i="140" s="1"/>
  <c r="J37" i="140"/>
  <c r="V37" i="140" s="1"/>
  <c r="J36" i="140"/>
  <c r="W36" i="140" s="1"/>
  <c r="J35" i="140"/>
  <c r="J34" i="140"/>
  <c r="V34" i="140" s="1"/>
  <c r="J33" i="140"/>
  <c r="V33" i="140" s="1"/>
  <c r="J32" i="140"/>
  <c r="W32" i="140" s="1"/>
  <c r="J31" i="140"/>
  <c r="W31" i="140" s="1"/>
  <c r="J30" i="140"/>
  <c r="J29" i="140"/>
  <c r="V29" i="140" s="1"/>
  <c r="J28" i="140"/>
  <c r="W28" i="140" s="1"/>
  <c r="J27" i="140"/>
  <c r="W27" i="140" s="1"/>
  <c r="J26" i="140"/>
  <c r="W26" i="140" s="1"/>
  <c r="V25" i="140"/>
  <c r="J25" i="140"/>
  <c r="W25" i="140" s="1"/>
  <c r="J24" i="140"/>
  <c r="J23" i="140"/>
  <c r="V23" i="140" s="1"/>
  <c r="J22" i="140"/>
  <c r="W22" i="140" s="1"/>
  <c r="J21" i="140"/>
  <c r="W21" i="140" s="1"/>
  <c r="J20" i="140"/>
  <c r="J19" i="140"/>
  <c r="V19" i="140" s="1"/>
  <c r="J18" i="140"/>
  <c r="W18" i="140" s="1"/>
  <c r="J17" i="140"/>
  <c r="W17" i="140" s="1"/>
  <c r="J14" i="140"/>
  <c r="V14" i="140" s="1"/>
  <c r="W13" i="140"/>
  <c r="J13" i="140"/>
  <c r="V13" i="140" s="1"/>
  <c r="J12" i="140"/>
  <c r="W12" i="140" s="1"/>
  <c r="J11" i="140"/>
  <c r="W11" i="140" s="1"/>
  <c r="N10" i="140"/>
  <c r="J10" i="140"/>
  <c r="W10" i="140" s="1"/>
  <c r="J9" i="140"/>
  <c r="W9" i="140" s="1"/>
  <c r="N8" i="140"/>
  <c r="J8" i="140"/>
  <c r="J7" i="140"/>
  <c r="N6" i="140"/>
  <c r="J6" i="140"/>
  <c r="V6" i="140" s="1"/>
  <c r="N4" i="140"/>
  <c r="W34" i="140" l="1"/>
  <c r="W44" i="140"/>
  <c r="W145" i="140"/>
  <c r="W37" i="140"/>
  <c r="V46" i="140"/>
  <c r="V50" i="140"/>
  <c r="W112" i="140"/>
  <c r="W123" i="140"/>
  <c r="V109" i="140"/>
  <c r="V82" i="140"/>
  <c r="V140" i="140"/>
  <c r="W38" i="140"/>
  <c r="W75" i="140"/>
  <c r="V105" i="140"/>
  <c r="W33" i="140"/>
  <c r="W29" i="140"/>
  <c r="W134" i="140"/>
  <c r="V101" i="140"/>
  <c r="V69" i="140"/>
  <c r="V22" i="140"/>
  <c r="V21" i="140"/>
  <c r="W130" i="140"/>
  <c r="V18" i="140"/>
  <c r="V17" i="140"/>
  <c r="V12" i="140"/>
  <c r="V94" i="140"/>
  <c r="V126" i="140"/>
  <c r="V93" i="140"/>
  <c r="V11" i="140"/>
  <c r="W127" i="140"/>
  <c r="W135" i="140"/>
  <c r="W128" i="140"/>
  <c r="W141" i="140"/>
  <c r="W60" i="140"/>
  <c r="W96" i="140"/>
  <c r="V111" i="140"/>
  <c r="V95" i="140"/>
  <c r="V102" i="140"/>
  <c r="V106" i="140"/>
  <c r="V110" i="140"/>
  <c r="V62" i="140"/>
  <c r="V68" i="140"/>
  <c r="V74" i="140"/>
  <c r="V61" i="140"/>
  <c r="V73" i="140"/>
  <c r="W79" i="140"/>
  <c r="W77" i="140"/>
  <c r="W6" i="140"/>
  <c r="V10" i="140"/>
  <c r="W15" i="140"/>
  <c r="W19" i="140"/>
  <c r="W23" i="140"/>
  <c r="V28" i="140"/>
  <c r="V32" i="140"/>
  <c r="V36" i="140"/>
  <c r="W40" i="140"/>
  <c r="V43" i="140"/>
  <c r="V9" i="140"/>
  <c r="V45" i="140"/>
  <c r="V27" i="140"/>
  <c r="V31" i="140"/>
  <c r="W20" i="140"/>
  <c r="V20" i="140"/>
  <c r="W24" i="140"/>
  <c r="V24" i="140"/>
  <c r="W35" i="140"/>
  <c r="V35" i="140"/>
  <c r="V66" i="140"/>
  <c r="W66" i="140"/>
  <c r="W114" i="140"/>
  <c r="V114" i="140"/>
  <c r="N12" i="140"/>
  <c r="W7" i="140"/>
  <c r="V7" i="140"/>
  <c r="W14" i="140"/>
  <c r="V26" i="140"/>
  <c r="W39" i="140"/>
  <c r="W41" i="140"/>
  <c r="V48" i="140"/>
  <c r="J52" i="140"/>
  <c r="W63" i="140"/>
  <c r="W76" i="140"/>
  <c r="W78" i="140"/>
  <c r="V81" i="140"/>
  <c r="W81" i="140"/>
  <c r="W98" i="140"/>
  <c r="V98" i="140"/>
  <c r="W100" i="140"/>
  <c r="V100" i="140"/>
  <c r="V104" i="140"/>
  <c r="W104" i="140"/>
  <c r="V108" i="140"/>
  <c r="W108" i="140"/>
  <c r="W125" i="140"/>
  <c r="V125" i="140"/>
  <c r="V138" i="140"/>
  <c r="W138" i="140"/>
  <c r="W16" i="140"/>
  <c r="V16" i="140"/>
  <c r="V133" i="140"/>
  <c r="W133" i="140"/>
  <c r="W8" i="140"/>
  <c r="V8" i="140"/>
  <c r="W30" i="140"/>
  <c r="V30" i="140"/>
  <c r="W42" i="140"/>
  <c r="V42" i="140"/>
  <c r="J83" i="140"/>
  <c r="W67" i="140"/>
  <c r="V67" i="140"/>
  <c r="W71" i="140"/>
  <c r="V71" i="140"/>
  <c r="J115" i="140"/>
  <c r="W129" i="140"/>
  <c r="V132" i="140"/>
  <c r="W132" i="140"/>
  <c r="V143" i="140"/>
  <c r="W143" i="140"/>
  <c r="W47" i="140"/>
  <c r="V47" i="140"/>
  <c r="W65" i="140"/>
  <c r="V65" i="140"/>
  <c r="V72" i="140"/>
  <c r="W72" i="140"/>
  <c r="W92" i="140"/>
  <c r="V92" i="140"/>
  <c r="V99" i="140"/>
  <c r="W99" i="140"/>
  <c r="W137" i="140"/>
  <c r="V137" i="140"/>
  <c r="W139" i="140"/>
  <c r="V139" i="140"/>
  <c r="V51" i="140"/>
  <c r="V64" i="140"/>
  <c r="V70" i="140"/>
  <c r="V80" i="140"/>
  <c r="V91" i="140"/>
  <c r="V97" i="140"/>
  <c r="V103" i="140"/>
  <c r="V107" i="140"/>
  <c r="V113" i="140"/>
  <c r="V124" i="140"/>
  <c r="V131" i="140"/>
  <c r="V136" i="140"/>
  <c r="V142" i="140"/>
  <c r="J146" i="140"/>
  <c r="W91" i="140"/>
  <c r="H79" i="139"/>
  <c r="H45" i="139"/>
  <c r="V146" i="140" l="1"/>
  <c r="O10" i="140" s="1"/>
  <c r="R10" i="140" s="1"/>
  <c r="W146" i="140"/>
  <c r="P10" i="140" s="1"/>
  <c r="V115" i="140"/>
  <c r="O8" i="140" s="1"/>
  <c r="R8" i="140" s="1"/>
  <c r="V83" i="140"/>
  <c r="O6" i="140" s="1"/>
  <c r="R6" i="140" s="1"/>
  <c r="W83" i="140"/>
  <c r="P6" i="140" s="1"/>
  <c r="V52" i="140"/>
  <c r="O4" i="140" s="1"/>
  <c r="R4" i="140" s="1"/>
  <c r="W52" i="140"/>
  <c r="P4" i="140" s="1"/>
  <c r="W115" i="140"/>
  <c r="P8" i="140" s="1"/>
  <c r="H111" i="139"/>
  <c r="H110" i="139"/>
  <c r="J106" i="139"/>
  <c r="H61" i="139"/>
  <c r="H34" i="139"/>
  <c r="Q10" i="140" l="1"/>
  <c r="Q8" i="140"/>
  <c r="O12" i="140"/>
  <c r="R12" i="140" s="1"/>
  <c r="P14" i="140" s="1"/>
  <c r="P12" i="140"/>
  <c r="Q4" i="140"/>
  <c r="H15" i="139"/>
  <c r="V106" i="139"/>
  <c r="W106" i="139"/>
  <c r="Q12" i="140" l="1"/>
  <c r="H78" i="139"/>
  <c r="H77" i="139"/>
  <c r="H41" i="139"/>
  <c r="H40" i="139"/>
  <c r="H39" i="139"/>
  <c r="H76" i="139"/>
  <c r="H139" i="139"/>
  <c r="H138" i="139"/>
  <c r="H75" i="139"/>
  <c r="H27" i="139"/>
  <c r="H26" i="139"/>
  <c r="H71" i="139"/>
  <c r="H133" i="139"/>
  <c r="H100" i="139"/>
  <c r="H99" i="139"/>
  <c r="H130" i="139"/>
  <c r="H67" i="139"/>
  <c r="H129" i="139"/>
  <c r="H128" i="139"/>
  <c r="H96" i="139"/>
  <c r="H65" i="139"/>
  <c r="H63" i="139" l="1"/>
  <c r="H94" i="139"/>
  <c r="J145" i="139"/>
  <c r="W145" i="139" s="1"/>
  <c r="J144" i="139"/>
  <c r="W144" i="139" s="1"/>
  <c r="J143" i="139"/>
  <c r="J142" i="139"/>
  <c r="W142" i="139" s="1"/>
  <c r="J141" i="139"/>
  <c r="V141" i="139" s="1"/>
  <c r="J140" i="139"/>
  <c r="V140" i="139" s="1"/>
  <c r="J139" i="139"/>
  <c r="J138" i="139"/>
  <c r="J137" i="139"/>
  <c r="J136" i="139"/>
  <c r="J135" i="139"/>
  <c r="W135" i="139" s="1"/>
  <c r="J134" i="139"/>
  <c r="W134" i="139" s="1"/>
  <c r="J133" i="139"/>
  <c r="W133" i="139" s="1"/>
  <c r="J132" i="139"/>
  <c r="W132" i="139" s="1"/>
  <c r="J131" i="139"/>
  <c r="J130" i="139"/>
  <c r="J129" i="139"/>
  <c r="J128" i="139"/>
  <c r="J127" i="139"/>
  <c r="J126" i="139"/>
  <c r="J125" i="139"/>
  <c r="W125" i="139" s="1"/>
  <c r="J124" i="139"/>
  <c r="V124" i="139" s="1"/>
  <c r="J123" i="139"/>
  <c r="W123" i="139" s="1"/>
  <c r="J114" i="139"/>
  <c r="V114" i="139" s="1"/>
  <c r="J113" i="139"/>
  <c r="J112" i="139"/>
  <c r="W112" i="139" s="1"/>
  <c r="J111" i="139"/>
  <c r="W111" i="139" s="1"/>
  <c r="J110" i="139"/>
  <c r="V110" i="139" s="1"/>
  <c r="J109" i="139"/>
  <c r="J108" i="139"/>
  <c r="J107" i="139"/>
  <c r="J105" i="139"/>
  <c r="J104" i="139"/>
  <c r="W104" i="139" s="1"/>
  <c r="J103" i="139"/>
  <c r="V103" i="139" s="1"/>
  <c r="J102" i="139"/>
  <c r="W102" i="139" s="1"/>
  <c r="J101" i="139"/>
  <c r="J100" i="139"/>
  <c r="W100" i="139" s="1"/>
  <c r="J99" i="139"/>
  <c r="W99" i="139" s="1"/>
  <c r="J98" i="139"/>
  <c r="W98" i="139" s="1"/>
  <c r="J97" i="139"/>
  <c r="J96" i="139"/>
  <c r="J95" i="139"/>
  <c r="W95" i="139" s="1"/>
  <c r="J94" i="139"/>
  <c r="W94" i="139" s="1"/>
  <c r="J93" i="139"/>
  <c r="W93" i="139" s="1"/>
  <c r="J92" i="139"/>
  <c r="J91" i="139"/>
  <c r="W91" i="139" s="1"/>
  <c r="J82" i="139"/>
  <c r="W82" i="139" s="1"/>
  <c r="J81" i="139"/>
  <c r="J80" i="139"/>
  <c r="V80" i="139" s="1"/>
  <c r="J79" i="139"/>
  <c r="W79" i="139" s="1"/>
  <c r="J78" i="139"/>
  <c r="W78" i="139" s="1"/>
  <c r="J77" i="139"/>
  <c r="W77" i="139" s="1"/>
  <c r="J76" i="139"/>
  <c r="J75" i="139"/>
  <c r="J74" i="139"/>
  <c r="V74" i="139" s="1"/>
  <c r="J73" i="139"/>
  <c r="W73" i="139" s="1"/>
  <c r="J72" i="139"/>
  <c r="W72" i="139" s="1"/>
  <c r="J71" i="139"/>
  <c r="W71" i="139" s="1"/>
  <c r="J70" i="139"/>
  <c r="J69" i="139"/>
  <c r="V69" i="139" s="1"/>
  <c r="J68" i="139"/>
  <c r="W68" i="139" s="1"/>
  <c r="J67" i="139"/>
  <c r="W67" i="139" s="1"/>
  <c r="J66" i="139"/>
  <c r="W66" i="139" s="1"/>
  <c r="J65" i="139"/>
  <c r="W65" i="139" s="1"/>
  <c r="J64" i="139"/>
  <c r="W64" i="139" s="1"/>
  <c r="J63" i="139"/>
  <c r="W63" i="139" s="1"/>
  <c r="J62" i="139"/>
  <c r="W62" i="139" s="1"/>
  <c r="J61" i="139"/>
  <c r="W61" i="139" s="1"/>
  <c r="J60" i="139"/>
  <c r="J51" i="139"/>
  <c r="W51" i="139" s="1"/>
  <c r="J50" i="139"/>
  <c r="V50" i="139" s="1"/>
  <c r="J49" i="139"/>
  <c r="W49" i="139" s="1"/>
  <c r="J48" i="139"/>
  <c r="V48" i="139" s="1"/>
  <c r="W47" i="139"/>
  <c r="V47" i="139"/>
  <c r="J47" i="139"/>
  <c r="J46" i="139"/>
  <c r="W46" i="139" s="1"/>
  <c r="J45" i="139"/>
  <c r="J44" i="139"/>
  <c r="V44" i="139" s="1"/>
  <c r="J43" i="139"/>
  <c r="W43" i="139" s="1"/>
  <c r="J42" i="139"/>
  <c r="V42" i="139" s="1"/>
  <c r="J41" i="139"/>
  <c r="W41" i="139" s="1"/>
  <c r="J40" i="139"/>
  <c r="V40" i="139" s="1"/>
  <c r="J39" i="139"/>
  <c r="V39" i="139" s="1"/>
  <c r="J38" i="139"/>
  <c r="V38" i="139" s="1"/>
  <c r="J37" i="139"/>
  <c r="W37" i="139" s="1"/>
  <c r="J36" i="139"/>
  <c r="W36" i="139" s="1"/>
  <c r="J35" i="139"/>
  <c r="J34" i="139"/>
  <c r="V34" i="139" s="1"/>
  <c r="J33" i="139"/>
  <c r="V33" i="139" s="1"/>
  <c r="J32" i="139"/>
  <c r="W32" i="139" s="1"/>
  <c r="J31" i="139"/>
  <c r="W31" i="139" s="1"/>
  <c r="J30" i="139"/>
  <c r="J29" i="139"/>
  <c r="W29" i="139" s="1"/>
  <c r="J28" i="139"/>
  <c r="V28" i="139" s="1"/>
  <c r="J27" i="139"/>
  <c r="V27" i="139" s="1"/>
  <c r="J26" i="139"/>
  <c r="W26" i="139" s="1"/>
  <c r="J25" i="139"/>
  <c r="W25" i="139" s="1"/>
  <c r="J24" i="139"/>
  <c r="W24" i="139" s="1"/>
  <c r="J23" i="139"/>
  <c r="V23" i="139" s="1"/>
  <c r="J22" i="139"/>
  <c r="W22" i="139" s="1"/>
  <c r="J21" i="139"/>
  <c r="W21" i="139" s="1"/>
  <c r="J20" i="139"/>
  <c r="J19" i="139"/>
  <c r="W19" i="139" s="1"/>
  <c r="J18" i="139"/>
  <c r="V18" i="139" s="1"/>
  <c r="J17" i="139"/>
  <c r="W17" i="139" s="1"/>
  <c r="J16" i="139"/>
  <c r="V16" i="139" s="1"/>
  <c r="J15" i="139"/>
  <c r="W15" i="139" s="1"/>
  <c r="J14" i="139"/>
  <c r="W14" i="139" s="1"/>
  <c r="J13" i="139"/>
  <c r="W13" i="139" s="1"/>
  <c r="J12" i="139"/>
  <c r="V12" i="139" s="1"/>
  <c r="J11" i="139"/>
  <c r="V11" i="139" s="1"/>
  <c r="N10" i="139"/>
  <c r="J10" i="139"/>
  <c r="W10" i="139" s="1"/>
  <c r="J9" i="139"/>
  <c r="V9" i="139" s="1"/>
  <c r="N8" i="139"/>
  <c r="J8" i="139"/>
  <c r="W8" i="139" s="1"/>
  <c r="J7" i="139"/>
  <c r="V7" i="139" s="1"/>
  <c r="N6" i="139"/>
  <c r="J6" i="139"/>
  <c r="W6" i="139" s="1"/>
  <c r="N4" i="139"/>
  <c r="W114" i="139" l="1"/>
  <c r="W141" i="139"/>
  <c r="W103" i="139"/>
  <c r="W38" i="139"/>
  <c r="V82" i="139"/>
  <c r="V145" i="139"/>
  <c r="V17" i="139"/>
  <c r="V24" i="139"/>
  <c r="W48" i="139"/>
  <c r="V79" i="139"/>
  <c r="V64" i="139"/>
  <c r="W42" i="139"/>
  <c r="W110" i="139"/>
  <c r="W140" i="139"/>
  <c r="V77" i="139"/>
  <c r="W39" i="139"/>
  <c r="V73" i="139"/>
  <c r="V36" i="139"/>
  <c r="W33" i="139"/>
  <c r="V26" i="139"/>
  <c r="V102" i="139"/>
  <c r="V134" i="139"/>
  <c r="V25" i="139"/>
  <c r="W23" i="139"/>
  <c r="V99" i="139"/>
  <c r="V98" i="139"/>
  <c r="V66" i="139"/>
  <c r="W16" i="139"/>
  <c r="V93" i="139"/>
  <c r="V10" i="139"/>
  <c r="W9" i="139"/>
  <c r="V8" i="139"/>
  <c r="W124" i="139"/>
  <c r="V133" i="139"/>
  <c r="V132" i="139"/>
  <c r="V142" i="139"/>
  <c r="V94" i="139"/>
  <c r="V111" i="139"/>
  <c r="V62" i="139"/>
  <c r="V67" i="139"/>
  <c r="W69" i="139"/>
  <c r="V72" i="139"/>
  <c r="V78" i="139"/>
  <c r="J83" i="139"/>
  <c r="W80" i="139"/>
  <c r="W74" i="139"/>
  <c r="W7" i="139"/>
  <c r="V15" i="139"/>
  <c r="V22" i="139"/>
  <c r="W27" i="139"/>
  <c r="V43" i="139"/>
  <c r="V21" i="139"/>
  <c r="V37" i="139"/>
  <c r="V46" i="139"/>
  <c r="V49" i="139"/>
  <c r="W30" i="139"/>
  <c r="V30" i="139"/>
  <c r="V45" i="139"/>
  <c r="W45" i="139"/>
  <c r="W20" i="139"/>
  <c r="V20" i="139"/>
  <c r="V35" i="139"/>
  <c r="W35" i="139"/>
  <c r="V109" i="139"/>
  <c r="W109" i="139"/>
  <c r="W127" i="139"/>
  <c r="V127" i="139"/>
  <c r="V131" i="139"/>
  <c r="W131" i="139"/>
  <c r="W143" i="139"/>
  <c r="V143" i="139"/>
  <c r="V6" i="139"/>
  <c r="N12" i="139"/>
  <c r="W12" i="139"/>
  <c r="W18" i="139"/>
  <c r="V29" i="139"/>
  <c r="V32" i="139"/>
  <c r="V41" i="139"/>
  <c r="W44" i="139"/>
  <c r="W50" i="139"/>
  <c r="V60" i="139"/>
  <c r="V61" i="139"/>
  <c r="V65" i="139"/>
  <c r="V68" i="139"/>
  <c r="W70" i="139"/>
  <c r="V70" i="139"/>
  <c r="V81" i="139"/>
  <c r="W81" i="139"/>
  <c r="V96" i="139"/>
  <c r="W96" i="139"/>
  <c r="J146" i="139"/>
  <c r="V123" i="139"/>
  <c r="V137" i="139"/>
  <c r="W137" i="139"/>
  <c r="V139" i="139"/>
  <c r="W139" i="139"/>
  <c r="J52" i="139"/>
  <c r="V75" i="139"/>
  <c r="W75" i="139"/>
  <c r="V107" i="139"/>
  <c r="W107" i="139"/>
  <c r="W113" i="139"/>
  <c r="V113" i="139"/>
  <c r="W129" i="139"/>
  <c r="V129" i="139"/>
  <c r="W136" i="139"/>
  <c r="V136" i="139"/>
  <c r="V14" i="139"/>
  <c r="W60" i="139"/>
  <c r="W76" i="139"/>
  <c r="V76" i="139"/>
  <c r="V92" i="139"/>
  <c r="W92" i="139"/>
  <c r="W108" i="139"/>
  <c r="V108" i="139"/>
  <c r="V126" i="139"/>
  <c r="W126" i="139"/>
  <c r="V128" i="139"/>
  <c r="W128" i="139"/>
  <c r="V130" i="139"/>
  <c r="W130" i="139"/>
  <c r="W11" i="139"/>
  <c r="V13" i="139"/>
  <c r="V19" i="139"/>
  <c r="W28" i="139"/>
  <c r="V31" i="139"/>
  <c r="W34" i="139"/>
  <c r="W40" i="139"/>
  <c r="V51" i="139"/>
  <c r="V63" i="139"/>
  <c r="V71" i="139"/>
  <c r="V97" i="139"/>
  <c r="W97" i="139"/>
  <c r="V101" i="139"/>
  <c r="W101" i="139"/>
  <c r="W105" i="139"/>
  <c r="V105" i="139"/>
  <c r="V138" i="139"/>
  <c r="W138" i="139"/>
  <c r="V91" i="139"/>
  <c r="V95" i="139"/>
  <c r="V100" i="139"/>
  <c r="V104" i="139"/>
  <c r="V112" i="139"/>
  <c r="J115" i="139"/>
  <c r="V125" i="139"/>
  <c r="V135" i="139"/>
  <c r="V144" i="139"/>
  <c r="H49" i="138"/>
  <c r="H142" i="138"/>
  <c r="H140" i="138"/>
  <c r="H45" i="138"/>
  <c r="H78" i="138"/>
  <c r="H40" i="138"/>
  <c r="H108" i="138"/>
  <c r="H138" i="138"/>
  <c r="H107" i="138"/>
  <c r="H76" i="138"/>
  <c r="H137" i="138"/>
  <c r="H105" i="138"/>
  <c r="H35" i="138"/>
  <c r="H73" i="138"/>
  <c r="H135" i="138"/>
  <c r="H31" i="138"/>
  <c r="H30" i="138"/>
  <c r="H28" i="138"/>
  <c r="H132" i="138"/>
  <c r="H130" i="138"/>
  <c r="H129" i="138"/>
  <c r="W146" i="139" l="1"/>
  <c r="P10" i="139" s="1"/>
  <c r="W52" i="139"/>
  <c r="P4" i="139" s="1"/>
  <c r="V146" i="139"/>
  <c r="O10" i="139" s="1"/>
  <c r="V52" i="139"/>
  <c r="O4" i="139" s="1"/>
  <c r="V83" i="139"/>
  <c r="O6" i="139" s="1"/>
  <c r="R6" i="139" s="1"/>
  <c r="V115" i="139"/>
  <c r="O8" i="139" s="1"/>
  <c r="W115" i="139"/>
  <c r="P8" i="139" s="1"/>
  <c r="W83" i="139"/>
  <c r="P6" i="139" s="1"/>
  <c r="H68" i="138"/>
  <c r="H20" i="138"/>
  <c r="H66" i="138"/>
  <c r="H97" i="138"/>
  <c r="H128" i="138"/>
  <c r="H65" i="138"/>
  <c r="H17" i="138"/>
  <c r="H64" i="138"/>
  <c r="H127" i="138"/>
  <c r="H126" i="138"/>
  <c r="H63" i="138"/>
  <c r="P12" i="139" l="1"/>
  <c r="O12" i="139"/>
  <c r="R12" i="139" s="1"/>
  <c r="P14" i="139" s="1"/>
  <c r="R4" i="139"/>
  <c r="Q4" i="139"/>
  <c r="R10" i="139"/>
  <c r="Q10" i="139"/>
  <c r="R8" i="139"/>
  <c r="Q8" i="139"/>
  <c r="H62" i="138"/>
  <c r="H123" i="138"/>
  <c r="H61" i="138"/>
  <c r="Q12" i="139" l="1"/>
  <c r="H60" i="138"/>
  <c r="H122" i="138"/>
  <c r="J122" i="138" s="1"/>
  <c r="W122" i="138" s="1"/>
  <c r="W144" i="138"/>
  <c r="J144" i="138"/>
  <c r="V144" i="138" s="1"/>
  <c r="J143" i="138"/>
  <c r="W143" i="138" s="1"/>
  <c r="J142" i="138"/>
  <c r="J141" i="138"/>
  <c r="J140" i="138"/>
  <c r="J139" i="138"/>
  <c r="W139" i="138" s="1"/>
  <c r="J138" i="138"/>
  <c r="V138" i="138" s="1"/>
  <c r="J137" i="138"/>
  <c r="W137" i="138" s="1"/>
  <c r="J136" i="138"/>
  <c r="J135" i="138"/>
  <c r="J134" i="138"/>
  <c r="J133" i="138"/>
  <c r="J132" i="138"/>
  <c r="J131" i="138"/>
  <c r="W131" i="138" s="1"/>
  <c r="J130" i="138"/>
  <c r="V130" i="138" s="1"/>
  <c r="V129" i="138"/>
  <c r="J129" i="138"/>
  <c r="W129" i="138" s="1"/>
  <c r="J128" i="138"/>
  <c r="J127" i="138"/>
  <c r="J126" i="138"/>
  <c r="J125" i="138"/>
  <c r="W125" i="138" s="1"/>
  <c r="J124" i="138"/>
  <c r="V124" i="138" s="1"/>
  <c r="J123" i="138"/>
  <c r="V123" i="138" s="1"/>
  <c r="J113" i="138"/>
  <c r="W113" i="138" s="1"/>
  <c r="J112" i="138"/>
  <c r="J111" i="138"/>
  <c r="V111" i="138" s="1"/>
  <c r="J110" i="138"/>
  <c r="W110" i="138" s="1"/>
  <c r="J109" i="138"/>
  <c r="W109" i="138" s="1"/>
  <c r="J108" i="138"/>
  <c r="W108" i="138" s="1"/>
  <c r="J107" i="138"/>
  <c r="J106" i="138"/>
  <c r="V106" i="138" s="1"/>
  <c r="J105" i="138"/>
  <c r="W105" i="138" s="1"/>
  <c r="J104" i="138"/>
  <c r="W104" i="138" s="1"/>
  <c r="J103" i="138"/>
  <c r="W103" i="138" s="1"/>
  <c r="J102" i="138"/>
  <c r="J101" i="138"/>
  <c r="V101" i="138" s="1"/>
  <c r="J100" i="138"/>
  <c r="W100" i="138" s="1"/>
  <c r="J99" i="138"/>
  <c r="W99" i="138" s="1"/>
  <c r="J98" i="138"/>
  <c r="W98" i="138" s="1"/>
  <c r="J97" i="138"/>
  <c r="J96" i="138"/>
  <c r="V96" i="138" s="1"/>
  <c r="J95" i="138"/>
  <c r="V95" i="138" s="1"/>
  <c r="J94" i="138"/>
  <c r="W94" i="138" s="1"/>
  <c r="J93" i="138"/>
  <c r="W93" i="138" s="1"/>
  <c r="J92" i="138"/>
  <c r="J91" i="138"/>
  <c r="J82" i="138"/>
  <c r="W82" i="138" s="1"/>
  <c r="J81" i="138"/>
  <c r="W81" i="138" s="1"/>
  <c r="J80" i="138"/>
  <c r="J79" i="138"/>
  <c r="V79" i="138" s="1"/>
  <c r="J78" i="138"/>
  <c r="V78" i="138" s="1"/>
  <c r="J77" i="138"/>
  <c r="V77" i="138" s="1"/>
  <c r="J76" i="138"/>
  <c r="W76" i="138" s="1"/>
  <c r="J75" i="138"/>
  <c r="W75" i="138" s="1"/>
  <c r="J74" i="138"/>
  <c r="W74" i="138" s="1"/>
  <c r="J73" i="138"/>
  <c r="W73" i="138" s="1"/>
  <c r="J72" i="138"/>
  <c r="W72" i="138" s="1"/>
  <c r="J71" i="138"/>
  <c r="W71" i="138" s="1"/>
  <c r="J70" i="138"/>
  <c r="W70" i="138" s="1"/>
  <c r="J69" i="138"/>
  <c r="W69" i="138" s="1"/>
  <c r="J68" i="138"/>
  <c r="J67" i="138"/>
  <c r="V67" i="138" s="1"/>
  <c r="J66" i="138"/>
  <c r="V66" i="138" s="1"/>
  <c r="J65" i="138"/>
  <c r="W65" i="138" s="1"/>
  <c r="J64" i="138"/>
  <c r="V64" i="138" s="1"/>
  <c r="J63" i="138"/>
  <c r="W63" i="138" s="1"/>
  <c r="J62" i="138"/>
  <c r="W62" i="138" s="1"/>
  <c r="J61" i="138"/>
  <c r="W61" i="138" s="1"/>
  <c r="J60" i="138"/>
  <c r="J51" i="138"/>
  <c r="W51" i="138" s="1"/>
  <c r="J50" i="138"/>
  <c r="W50" i="138" s="1"/>
  <c r="J49" i="138"/>
  <c r="J48" i="138"/>
  <c r="W48" i="138" s="1"/>
  <c r="J47" i="138"/>
  <c r="W47" i="138" s="1"/>
  <c r="J46" i="138"/>
  <c r="W46" i="138" s="1"/>
  <c r="J45" i="138"/>
  <c r="J44" i="138"/>
  <c r="J43" i="138"/>
  <c r="J42" i="138"/>
  <c r="V42" i="138" s="1"/>
  <c r="J41" i="138"/>
  <c r="W41" i="138" s="1"/>
  <c r="J40" i="138"/>
  <c r="W40" i="138" s="1"/>
  <c r="J39" i="138"/>
  <c r="W39" i="138" s="1"/>
  <c r="J38" i="138"/>
  <c r="W38" i="138" s="1"/>
  <c r="J37" i="138"/>
  <c r="J36" i="138"/>
  <c r="J35" i="138"/>
  <c r="J34" i="138"/>
  <c r="W34" i="138" s="1"/>
  <c r="J33" i="138"/>
  <c r="W33" i="138" s="1"/>
  <c r="J32" i="138"/>
  <c r="W32" i="138" s="1"/>
  <c r="J31" i="138"/>
  <c r="J30" i="138"/>
  <c r="W30" i="138" s="1"/>
  <c r="J29" i="138"/>
  <c r="W29" i="138" s="1"/>
  <c r="J28" i="138"/>
  <c r="W28" i="138" s="1"/>
  <c r="J27" i="138"/>
  <c r="J26" i="138"/>
  <c r="W26" i="138" s="1"/>
  <c r="J25" i="138"/>
  <c r="W25" i="138" s="1"/>
  <c r="J24" i="138"/>
  <c r="W24" i="138" s="1"/>
  <c r="J23" i="138"/>
  <c r="W23" i="138" s="1"/>
  <c r="J22" i="138"/>
  <c r="J21" i="138"/>
  <c r="J20" i="138"/>
  <c r="J19" i="138"/>
  <c r="W19" i="138" s="1"/>
  <c r="J18" i="138"/>
  <c r="W18" i="138" s="1"/>
  <c r="J17" i="138"/>
  <c r="V17" i="138" s="1"/>
  <c r="J16" i="138"/>
  <c r="W16" i="138" s="1"/>
  <c r="J15" i="138"/>
  <c r="W15" i="138" s="1"/>
  <c r="J14" i="138"/>
  <c r="W14" i="138" s="1"/>
  <c r="J13" i="138"/>
  <c r="V13" i="138" s="1"/>
  <c r="J12" i="138"/>
  <c r="V12" i="138" s="1"/>
  <c r="J11" i="138"/>
  <c r="V11" i="138" s="1"/>
  <c r="N10" i="138"/>
  <c r="J10" i="138"/>
  <c r="J9" i="138"/>
  <c r="N8" i="138"/>
  <c r="J8" i="138"/>
  <c r="V8" i="138" s="1"/>
  <c r="J7" i="138"/>
  <c r="W7" i="138" s="1"/>
  <c r="N6" i="138"/>
  <c r="J6" i="138"/>
  <c r="W6" i="138" s="1"/>
  <c r="N4" i="138"/>
  <c r="V30" i="138" l="1"/>
  <c r="V51" i="138"/>
  <c r="V24" i="138"/>
  <c r="W42" i="138"/>
  <c r="V82" i="138"/>
  <c r="V50" i="138"/>
  <c r="V113" i="138"/>
  <c r="W95" i="138"/>
  <c r="V143" i="138"/>
  <c r="V47" i="138"/>
  <c r="V109" i="138"/>
  <c r="W78" i="138"/>
  <c r="V41" i="138"/>
  <c r="V75" i="138"/>
  <c r="W106" i="138"/>
  <c r="V137" i="138"/>
  <c r="V74" i="138"/>
  <c r="V34" i="138"/>
  <c r="V71" i="138"/>
  <c r="V26" i="138"/>
  <c r="W101" i="138"/>
  <c r="V100" i="138"/>
  <c r="W130" i="138"/>
  <c r="W67" i="138"/>
  <c r="V65" i="138"/>
  <c r="W17" i="138"/>
  <c r="V16" i="138"/>
  <c r="W64" i="138"/>
  <c r="V94" i="138"/>
  <c r="W13" i="138"/>
  <c r="V61" i="138"/>
  <c r="V122" i="138"/>
  <c r="W123" i="138"/>
  <c r="W138" i="138"/>
  <c r="V99" i="138"/>
  <c r="V105" i="138"/>
  <c r="W111" i="138"/>
  <c r="V110" i="138"/>
  <c r="V73" i="138"/>
  <c r="V72" i="138"/>
  <c r="V76" i="138"/>
  <c r="W77" i="138"/>
  <c r="V7" i="138"/>
  <c r="W11" i="138"/>
  <c r="V15" i="138"/>
  <c r="V19" i="138"/>
  <c r="V6" i="138"/>
  <c r="V18" i="138"/>
  <c r="V25" i="138"/>
  <c r="V29" i="138"/>
  <c r="V33" i="138"/>
  <c r="V40" i="138"/>
  <c r="V46" i="138"/>
  <c r="V14" i="138"/>
  <c r="V38" i="138"/>
  <c r="V48" i="138"/>
  <c r="W21" i="138"/>
  <c r="V21" i="138"/>
  <c r="V10" i="138"/>
  <c r="W10" i="138"/>
  <c r="W37" i="138"/>
  <c r="V37" i="138"/>
  <c r="W45" i="138"/>
  <c r="V45" i="138"/>
  <c r="W68" i="138"/>
  <c r="V68" i="138"/>
  <c r="W102" i="138"/>
  <c r="V102" i="138"/>
  <c r="V127" i="138"/>
  <c r="W127" i="138"/>
  <c r="W135" i="138"/>
  <c r="V135" i="138"/>
  <c r="V23" i="138"/>
  <c r="V28" i="138"/>
  <c r="W35" i="138"/>
  <c r="V35" i="138"/>
  <c r="W43" i="138"/>
  <c r="V43" i="138"/>
  <c r="V63" i="138"/>
  <c r="V70" i="138"/>
  <c r="V81" i="138"/>
  <c r="V104" i="138"/>
  <c r="V108" i="138"/>
  <c r="W124" i="138"/>
  <c r="W132" i="138"/>
  <c r="V132" i="138"/>
  <c r="W136" i="138"/>
  <c r="V136" i="138"/>
  <c r="W141" i="138"/>
  <c r="V141" i="138"/>
  <c r="N12" i="138"/>
  <c r="J52" i="138"/>
  <c r="W8" i="138"/>
  <c r="V32" i="138"/>
  <c r="V39" i="138"/>
  <c r="W49" i="138"/>
  <c r="V49" i="138"/>
  <c r="V62" i="138"/>
  <c r="V69" i="138"/>
  <c r="W79" i="138"/>
  <c r="J114" i="138"/>
  <c r="W91" i="138"/>
  <c r="V91" i="138"/>
  <c r="V93" i="138"/>
  <c r="W96" i="138"/>
  <c r="V103" i="138"/>
  <c r="W112" i="138"/>
  <c r="V112" i="138"/>
  <c r="V128" i="138"/>
  <c r="W128" i="138"/>
  <c r="W133" i="138"/>
  <c r="V133" i="138"/>
  <c r="W142" i="138"/>
  <c r="V142" i="138"/>
  <c r="W12" i="138"/>
  <c r="W31" i="138"/>
  <c r="V31" i="138"/>
  <c r="W92" i="138"/>
  <c r="V92" i="138"/>
  <c r="W140" i="138"/>
  <c r="V140" i="138"/>
  <c r="W60" i="138"/>
  <c r="J83" i="138"/>
  <c r="V60" i="138"/>
  <c r="W66" i="138"/>
  <c r="V98" i="138"/>
  <c r="W9" i="138"/>
  <c r="V9" i="138"/>
  <c r="W20" i="138"/>
  <c r="V20" i="138"/>
  <c r="W22" i="138"/>
  <c r="V22" i="138"/>
  <c r="W27" i="138"/>
  <c r="V27" i="138"/>
  <c r="W36" i="138"/>
  <c r="V36" i="138"/>
  <c r="W44" i="138"/>
  <c r="V44" i="138"/>
  <c r="W80" i="138"/>
  <c r="V80" i="138"/>
  <c r="W97" i="138"/>
  <c r="V97" i="138"/>
  <c r="W107" i="138"/>
  <c r="V107" i="138"/>
  <c r="J145" i="138"/>
  <c r="W126" i="138"/>
  <c r="V126" i="138"/>
  <c r="W134" i="138"/>
  <c r="V134" i="138"/>
  <c r="V125" i="138"/>
  <c r="V131" i="138"/>
  <c r="V139" i="138"/>
  <c r="H141" i="137"/>
  <c r="H140" i="137"/>
  <c r="W83" i="138" l="1"/>
  <c r="P6" i="138" s="1"/>
  <c r="V145" i="138"/>
  <c r="O10" i="138" s="1"/>
  <c r="R10" i="138" s="1"/>
  <c r="W145" i="138"/>
  <c r="P10" i="138" s="1"/>
  <c r="V52" i="138"/>
  <c r="O4" i="138" s="1"/>
  <c r="R4" i="138" s="1"/>
  <c r="V114" i="138"/>
  <c r="O8" i="138" s="1"/>
  <c r="V83" i="138"/>
  <c r="O6" i="138" s="1"/>
  <c r="R6" i="138" s="1"/>
  <c r="W52" i="138"/>
  <c r="P4" i="138" s="1"/>
  <c r="W114" i="138"/>
  <c r="P8" i="138" s="1"/>
  <c r="H79" i="137"/>
  <c r="H78" i="137"/>
  <c r="H45" i="137"/>
  <c r="H44" i="137"/>
  <c r="H109" i="137"/>
  <c r="H76" i="137"/>
  <c r="H41" i="137"/>
  <c r="Q10" i="138" l="1"/>
  <c r="P12" i="138"/>
  <c r="R8" i="138"/>
  <c r="Q8" i="138"/>
  <c r="O12" i="138"/>
  <c r="R12" i="138" s="1"/>
  <c r="P14" i="138" s="1"/>
  <c r="Q4" i="138"/>
  <c r="H134" i="137"/>
  <c r="H135" i="137"/>
  <c r="H39" i="137"/>
  <c r="H37" i="137"/>
  <c r="H36" i="137"/>
  <c r="H104" i="137"/>
  <c r="H75" i="137"/>
  <c r="H74" i="137"/>
  <c r="H73" i="137"/>
  <c r="Q12" i="138" l="1"/>
  <c r="H24" i="137"/>
  <c r="H22" i="137"/>
  <c r="H21" i="137"/>
  <c r="H18" i="137"/>
  <c r="H71" i="137"/>
  <c r="H70" i="137"/>
  <c r="H67" i="137"/>
  <c r="H66" i="137"/>
  <c r="H100" i="137"/>
  <c r="H133" i="137"/>
  <c r="H132" i="137"/>
  <c r="H128" i="137"/>
  <c r="H126" i="137"/>
  <c r="H124" i="137"/>
  <c r="H96" i="137"/>
  <c r="H17" i="137"/>
  <c r="H16" i="137"/>
  <c r="H14" i="137" l="1"/>
  <c r="H13" i="137"/>
  <c r="J13" i="137" s="1"/>
  <c r="H12" i="137"/>
  <c r="H63" i="137"/>
  <c r="H62" i="137"/>
  <c r="H11" i="137"/>
  <c r="H10" i="137"/>
  <c r="H92" i="137"/>
  <c r="J92" i="137" s="1"/>
  <c r="V92" i="137" s="1"/>
  <c r="H122" i="137"/>
  <c r="H6" i="137"/>
  <c r="W144" i="137"/>
  <c r="V144" i="137"/>
  <c r="J144" i="137"/>
  <c r="J143" i="137"/>
  <c r="W143" i="137" s="1"/>
  <c r="J142" i="137"/>
  <c r="W142" i="137" s="1"/>
  <c r="J141" i="137"/>
  <c r="W141" i="137" s="1"/>
  <c r="J140" i="137"/>
  <c r="W140" i="137" s="1"/>
  <c r="J139" i="137"/>
  <c r="V139" i="137" s="1"/>
  <c r="J138" i="137"/>
  <c r="W138" i="137" s="1"/>
  <c r="J137" i="137"/>
  <c r="W137" i="137" s="1"/>
  <c r="J136" i="137"/>
  <c r="W136" i="137" s="1"/>
  <c r="J135" i="137"/>
  <c r="W135" i="137" s="1"/>
  <c r="J134" i="137"/>
  <c r="W134" i="137" s="1"/>
  <c r="J133" i="137"/>
  <c r="W133" i="137" s="1"/>
  <c r="J132" i="137"/>
  <c r="W132" i="137" s="1"/>
  <c r="J131" i="137"/>
  <c r="W131" i="137" s="1"/>
  <c r="J130" i="137"/>
  <c r="W130" i="137" s="1"/>
  <c r="J129" i="137"/>
  <c r="W129" i="137" s="1"/>
  <c r="J128" i="137"/>
  <c r="W128" i="137" s="1"/>
  <c r="J127" i="137"/>
  <c r="J126" i="137"/>
  <c r="V126" i="137" s="1"/>
  <c r="J125" i="137"/>
  <c r="W125" i="137" s="1"/>
  <c r="J124" i="137"/>
  <c r="W124" i="137" s="1"/>
  <c r="J123" i="137"/>
  <c r="W123" i="137" s="1"/>
  <c r="J122" i="137"/>
  <c r="V122" i="137" s="1"/>
  <c r="W113" i="137"/>
  <c r="J113" i="137"/>
  <c r="V113" i="137" s="1"/>
  <c r="J112" i="137"/>
  <c r="V112" i="137" s="1"/>
  <c r="J111" i="137"/>
  <c r="W111" i="137" s="1"/>
  <c r="J110" i="137"/>
  <c r="W110" i="137" s="1"/>
  <c r="J109" i="137"/>
  <c r="W109" i="137" s="1"/>
  <c r="J108" i="137"/>
  <c r="V108" i="137" s="1"/>
  <c r="J107" i="137"/>
  <c r="J106" i="137"/>
  <c r="J105" i="137"/>
  <c r="W105" i="137" s="1"/>
  <c r="J104" i="137"/>
  <c r="W104" i="137" s="1"/>
  <c r="J103" i="137"/>
  <c r="J102" i="137"/>
  <c r="J101" i="137"/>
  <c r="W101" i="137" s="1"/>
  <c r="J100" i="137"/>
  <c r="V100" i="137" s="1"/>
  <c r="J99" i="137"/>
  <c r="W99" i="137" s="1"/>
  <c r="J98" i="137"/>
  <c r="W98" i="137" s="1"/>
  <c r="J97" i="137"/>
  <c r="J96" i="137"/>
  <c r="W96" i="137" s="1"/>
  <c r="J95" i="137"/>
  <c r="V95" i="137" s="1"/>
  <c r="J94" i="137"/>
  <c r="V94" i="137" s="1"/>
  <c r="J93" i="137"/>
  <c r="V93" i="137" s="1"/>
  <c r="J91" i="137"/>
  <c r="V91" i="137" s="1"/>
  <c r="J82" i="137"/>
  <c r="W82" i="137" s="1"/>
  <c r="J81" i="137"/>
  <c r="W81" i="137" s="1"/>
  <c r="J80" i="137"/>
  <c r="W80" i="137" s="1"/>
  <c r="J79" i="137"/>
  <c r="V79" i="137" s="1"/>
  <c r="J78" i="137"/>
  <c r="W78" i="137" s="1"/>
  <c r="J77" i="137"/>
  <c r="W77" i="137" s="1"/>
  <c r="J76" i="137"/>
  <c r="J75" i="137"/>
  <c r="W75" i="137" s="1"/>
  <c r="J74" i="137"/>
  <c r="V74" i="137" s="1"/>
  <c r="J73" i="137"/>
  <c r="V73" i="137" s="1"/>
  <c r="J72" i="137"/>
  <c r="V72" i="137" s="1"/>
  <c r="J71" i="137"/>
  <c r="V71" i="137" s="1"/>
  <c r="J70" i="137"/>
  <c r="V70" i="137" s="1"/>
  <c r="J69" i="137"/>
  <c r="J68" i="137"/>
  <c r="W68" i="137" s="1"/>
  <c r="J67" i="137"/>
  <c r="W67" i="137" s="1"/>
  <c r="J66" i="137"/>
  <c r="W66" i="137" s="1"/>
  <c r="J65" i="137"/>
  <c r="J64" i="137"/>
  <c r="W64" i="137" s="1"/>
  <c r="J63" i="137"/>
  <c r="V63" i="137" s="1"/>
  <c r="J62" i="137"/>
  <c r="V62" i="137" s="1"/>
  <c r="J61" i="137"/>
  <c r="V61" i="137" s="1"/>
  <c r="J60" i="137"/>
  <c r="V60" i="137" s="1"/>
  <c r="W51" i="137"/>
  <c r="J51" i="137"/>
  <c r="V51" i="137" s="1"/>
  <c r="J50" i="137"/>
  <c r="V50" i="137" s="1"/>
  <c r="J49" i="137"/>
  <c r="W49" i="137" s="1"/>
  <c r="J48" i="137"/>
  <c r="W48" i="137" s="1"/>
  <c r="J47" i="137"/>
  <c r="V47" i="137" s="1"/>
  <c r="J46" i="137"/>
  <c r="V46" i="137" s="1"/>
  <c r="J45" i="137"/>
  <c r="J44" i="137"/>
  <c r="J43" i="137"/>
  <c r="J42" i="137"/>
  <c r="W42" i="137" s="1"/>
  <c r="J41" i="137"/>
  <c r="W41" i="137" s="1"/>
  <c r="J40" i="137"/>
  <c r="W40" i="137" s="1"/>
  <c r="J39" i="137"/>
  <c r="W39" i="137" s="1"/>
  <c r="J38" i="137"/>
  <c r="W38" i="137" s="1"/>
  <c r="J37" i="137"/>
  <c r="W37" i="137" s="1"/>
  <c r="J36" i="137"/>
  <c r="V36" i="137" s="1"/>
  <c r="J35" i="137"/>
  <c r="J34" i="137"/>
  <c r="W34" i="137" s="1"/>
  <c r="J33" i="137"/>
  <c r="W33" i="137" s="1"/>
  <c r="J32" i="137"/>
  <c r="W32" i="137" s="1"/>
  <c r="J31" i="137"/>
  <c r="V31" i="137" s="1"/>
  <c r="J30" i="137"/>
  <c r="J29" i="137"/>
  <c r="W29" i="137" s="1"/>
  <c r="J28" i="137"/>
  <c r="W28" i="137" s="1"/>
  <c r="J27" i="137"/>
  <c r="J26" i="137"/>
  <c r="W26" i="137" s="1"/>
  <c r="J25" i="137"/>
  <c r="V25" i="137" s="1"/>
  <c r="J24" i="137"/>
  <c r="V24" i="137" s="1"/>
  <c r="J23" i="137"/>
  <c r="W23" i="137" s="1"/>
  <c r="J22" i="137"/>
  <c r="W22" i="137" s="1"/>
  <c r="J21" i="137"/>
  <c r="W21" i="137" s="1"/>
  <c r="J20" i="137"/>
  <c r="V20" i="137" s="1"/>
  <c r="J19" i="137"/>
  <c r="J18" i="137"/>
  <c r="W18" i="137" s="1"/>
  <c r="J17" i="137"/>
  <c r="W17" i="137" s="1"/>
  <c r="J16" i="137"/>
  <c r="J15" i="137"/>
  <c r="J14" i="137"/>
  <c r="W14" i="137" s="1"/>
  <c r="J12" i="137"/>
  <c r="W12" i="137" s="1"/>
  <c r="J11" i="137"/>
  <c r="V11" i="137" s="1"/>
  <c r="N10" i="137"/>
  <c r="J10" i="137"/>
  <c r="W10" i="137" s="1"/>
  <c r="J9" i="137"/>
  <c r="W9" i="137" s="1"/>
  <c r="N8" i="137"/>
  <c r="J8" i="137"/>
  <c r="W8" i="137" s="1"/>
  <c r="J7" i="137"/>
  <c r="W7" i="137" s="1"/>
  <c r="N6" i="137"/>
  <c r="J6" i="137"/>
  <c r="W6" i="137" s="1"/>
  <c r="N4" i="137"/>
  <c r="V21" i="137" l="1"/>
  <c r="W50" i="137"/>
  <c r="W63" i="137"/>
  <c r="V82" i="137"/>
  <c r="W139" i="137"/>
  <c r="V101" i="137"/>
  <c r="V143" i="137"/>
  <c r="V49" i="137"/>
  <c r="W91" i="137"/>
  <c r="W126" i="137"/>
  <c r="W47" i="137"/>
  <c r="V111" i="137"/>
  <c r="V141" i="137"/>
  <c r="W79" i="137"/>
  <c r="V109" i="137"/>
  <c r="V42" i="137"/>
  <c r="V138" i="137"/>
  <c r="V136" i="137"/>
  <c r="V34" i="137"/>
  <c r="V32" i="137"/>
  <c r="V75" i="137"/>
  <c r="W73" i="137"/>
  <c r="V23" i="137"/>
  <c r="W25" i="137"/>
  <c r="W71" i="137"/>
  <c r="V68" i="137"/>
  <c r="V99" i="137"/>
  <c r="V125" i="137"/>
  <c r="W95" i="137"/>
  <c r="W13" i="137"/>
  <c r="V13" i="137"/>
  <c r="W93" i="137"/>
  <c r="V10" i="137"/>
  <c r="V8" i="137"/>
  <c r="W61" i="137"/>
  <c r="V123" i="137"/>
  <c r="V140" i="137"/>
  <c r="V124" i="137"/>
  <c r="V135" i="137"/>
  <c r="V137" i="137"/>
  <c r="W100" i="137"/>
  <c r="V105" i="137"/>
  <c r="W108" i="137"/>
  <c r="W112" i="137"/>
  <c r="W92" i="137"/>
  <c r="W94" i="137"/>
  <c r="V96" i="137"/>
  <c r="W62" i="137"/>
  <c r="V64" i="137"/>
  <c r="V78" i="137"/>
  <c r="V80" i="137"/>
  <c r="W70" i="137"/>
  <c r="W72" i="137"/>
  <c r="W74" i="137"/>
  <c r="V7" i="137"/>
  <c r="V12" i="137"/>
  <c r="V37" i="137"/>
  <c r="V9" i="137"/>
  <c r="W20" i="137"/>
  <c r="W24" i="137"/>
  <c r="V26" i="137"/>
  <c r="W31" i="137"/>
  <c r="W46" i="137"/>
  <c r="V6" i="137"/>
  <c r="W11" i="137"/>
  <c r="V18" i="137"/>
  <c r="V29" i="137"/>
  <c r="W36" i="137"/>
  <c r="W15" i="137"/>
  <c r="V15" i="137"/>
  <c r="V45" i="137"/>
  <c r="W45" i="137"/>
  <c r="W107" i="137"/>
  <c r="V107" i="137"/>
  <c r="W16" i="137"/>
  <c r="V16" i="137"/>
  <c r="V19" i="137"/>
  <c r="W19" i="137"/>
  <c r="W69" i="137"/>
  <c r="V69" i="137"/>
  <c r="W97" i="137"/>
  <c r="V97" i="137"/>
  <c r="J114" i="137"/>
  <c r="N12" i="137"/>
  <c r="W27" i="137"/>
  <c r="V27" i="137"/>
  <c r="V30" i="137"/>
  <c r="W30" i="137"/>
  <c r="W43" i="137"/>
  <c r="V43" i="137"/>
  <c r="J83" i="137"/>
  <c r="W102" i="137"/>
  <c r="V102" i="137"/>
  <c r="J145" i="137"/>
  <c r="V35" i="137"/>
  <c r="W35" i="137"/>
  <c r="V44" i="137"/>
  <c r="W44" i="137"/>
  <c r="W65" i="137"/>
  <c r="V65" i="137"/>
  <c r="W76" i="137"/>
  <c r="V76" i="137"/>
  <c r="W103" i="137"/>
  <c r="V103" i="137"/>
  <c r="W106" i="137"/>
  <c r="V106" i="137"/>
  <c r="W127" i="137"/>
  <c r="V127" i="137"/>
  <c r="V17" i="137"/>
  <c r="V22" i="137"/>
  <c r="V28" i="137"/>
  <c r="V33" i="137"/>
  <c r="V38" i="137"/>
  <c r="V39" i="137"/>
  <c r="V40" i="137"/>
  <c r="V41" i="137"/>
  <c r="V48" i="137"/>
  <c r="W60" i="137"/>
  <c r="V66" i="137"/>
  <c r="V67" i="137"/>
  <c r="V77" i="137"/>
  <c r="V81" i="137"/>
  <c r="V98" i="137"/>
  <c r="V104" i="137"/>
  <c r="V110" i="137"/>
  <c r="W122" i="137"/>
  <c r="V128" i="137"/>
  <c r="V129" i="137"/>
  <c r="V130" i="137"/>
  <c r="V131" i="137"/>
  <c r="V132" i="137"/>
  <c r="V133" i="137"/>
  <c r="V134" i="137"/>
  <c r="V142" i="137"/>
  <c r="J52" i="137"/>
  <c r="V14" i="137"/>
  <c r="H131" i="136"/>
  <c r="H140" i="136"/>
  <c r="H138" i="136"/>
  <c r="H137" i="136"/>
  <c r="H136" i="136"/>
  <c r="H107" i="136"/>
  <c r="H106" i="136"/>
  <c r="H76" i="136"/>
  <c r="H74" i="136"/>
  <c r="H45" i="136"/>
  <c r="H44" i="136"/>
  <c r="H43" i="136"/>
  <c r="H41" i="136"/>
  <c r="H40" i="136"/>
  <c r="H39" i="136"/>
  <c r="H35" i="136"/>
  <c r="V145" i="137" l="1"/>
  <c r="O10" i="137" s="1"/>
  <c r="V83" i="137"/>
  <c r="O6" i="137" s="1"/>
  <c r="R6" i="137" s="1"/>
  <c r="W145" i="137"/>
  <c r="P10" i="137" s="1"/>
  <c r="V114" i="137"/>
  <c r="O8" i="137" s="1"/>
  <c r="R8" i="137" s="1"/>
  <c r="W114" i="137"/>
  <c r="P8" i="137" s="1"/>
  <c r="W83" i="137"/>
  <c r="P6" i="137" s="1"/>
  <c r="W52" i="137"/>
  <c r="P4" i="137" s="1"/>
  <c r="V52" i="137"/>
  <c r="O4" i="137" s="1"/>
  <c r="R10" i="137"/>
  <c r="H132" i="136"/>
  <c r="H123" i="136"/>
  <c r="H95" i="136"/>
  <c r="H73" i="136"/>
  <c r="H134" i="136"/>
  <c r="H103" i="136"/>
  <c r="H72" i="136"/>
  <c r="H30" i="136"/>
  <c r="H71" i="136"/>
  <c r="H102" i="136"/>
  <c r="H133" i="136"/>
  <c r="H27" i="136"/>
  <c r="H25" i="136"/>
  <c r="H69" i="136"/>
  <c r="H130" i="136"/>
  <c r="H129" i="136"/>
  <c r="H67" i="136"/>
  <c r="H19" i="136"/>
  <c r="H97" i="136"/>
  <c r="H127" i="136"/>
  <c r="H65" i="136"/>
  <c r="H16" i="136"/>
  <c r="H15" i="136"/>
  <c r="H94" i="136"/>
  <c r="H63" i="136"/>
  <c r="Q8" i="137" l="1"/>
  <c r="Q10" i="137"/>
  <c r="P12" i="137"/>
  <c r="O12" i="137"/>
  <c r="R12" i="137" s="1"/>
  <c r="P14" i="137" s="1"/>
  <c r="Q4" i="137"/>
  <c r="R4" i="137"/>
  <c r="H62" i="136"/>
  <c r="H93" i="136"/>
  <c r="H124" i="136"/>
  <c r="Q12" i="137" l="1"/>
  <c r="H9" i="136"/>
  <c r="H92" i="136"/>
  <c r="H91" i="136"/>
  <c r="J91" i="136" s="1"/>
  <c r="V91" i="136" s="1"/>
  <c r="H7" i="136"/>
  <c r="J144" i="136"/>
  <c r="W144" i="136" s="1"/>
  <c r="J143" i="136"/>
  <c r="W143" i="136" s="1"/>
  <c r="J142" i="136"/>
  <c r="V142" i="136" s="1"/>
  <c r="J141" i="136"/>
  <c r="V141" i="136" s="1"/>
  <c r="J140" i="136"/>
  <c r="J139" i="136"/>
  <c r="W139" i="136" s="1"/>
  <c r="J138" i="136"/>
  <c r="V138" i="136" s="1"/>
  <c r="J137" i="136"/>
  <c r="V137" i="136" s="1"/>
  <c r="J136" i="136"/>
  <c r="W136" i="136" s="1"/>
  <c r="J135" i="136"/>
  <c r="J134" i="136"/>
  <c r="J133" i="136"/>
  <c r="J132" i="136"/>
  <c r="W132" i="136" s="1"/>
  <c r="J131" i="136"/>
  <c r="W131" i="136" s="1"/>
  <c r="J130" i="136"/>
  <c r="V130" i="136" s="1"/>
  <c r="J129" i="136"/>
  <c r="J128" i="136"/>
  <c r="J127" i="136"/>
  <c r="W127" i="136" s="1"/>
  <c r="J126" i="136"/>
  <c r="W126" i="136" s="1"/>
  <c r="J125" i="136"/>
  <c r="W125" i="136" s="1"/>
  <c r="J124" i="136"/>
  <c r="J123" i="136"/>
  <c r="J122" i="136"/>
  <c r="J113" i="136"/>
  <c r="W113" i="136" s="1"/>
  <c r="J112" i="136"/>
  <c r="W112" i="136" s="1"/>
  <c r="J111" i="136"/>
  <c r="W111" i="136" s="1"/>
  <c r="J110" i="136"/>
  <c r="J109" i="136"/>
  <c r="W109" i="136" s="1"/>
  <c r="J108" i="136"/>
  <c r="W108" i="136" s="1"/>
  <c r="J107" i="136"/>
  <c r="W107" i="136" s="1"/>
  <c r="J106" i="136"/>
  <c r="J105" i="136"/>
  <c r="W105" i="136" s="1"/>
  <c r="J104" i="136"/>
  <c r="V104" i="136" s="1"/>
  <c r="J103" i="136"/>
  <c r="V103" i="136" s="1"/>
  <c r="J102" i="136"/>
  <c r="V102" i="136" s="1"/>
  <c r="J101" i="136"/>
  <c r="W101" i="136" s="1"/>
  <c r="J100" i="136"/>
  <c r="V100" i="136" s="1"/>
  <c r="J99" i="136"/>
  <c r="J98" i="136"/>
  <c r="J97" i="136"/>
  <c r="V97" i="136" s="1"/>
  <c r="J96" i="136"/>
  <c r="V96" i="136" s="1"/>
  <c r="J95" i="136"/>
  <c r="W95" i="136" s="1"/>
  <c r="J94" i="136"/>
  <c r="W94" i="136" s="1"/>
  <c r="J93" i="136"/>
  <c r="J92" i="136"/>
  <c r="W92" i="136" s="1"/>
  <c r="J82" i="136"/>
  <c r="J81" i="136"/>
  <c r="V81" i="136" s="1"/>
  <c r="J80" i="136"/>
  <c r="V80" i="136" s="1"/>
  <c r="J79" i="136"/>
  <c r="W79" i="136" s="1"/>
  <c r="J78" i="136"/>
  <c r="J77" i="136"/>
  <c r="J76" i="136"/>
  <c r="V76" i="136" s="1"/>
  <c r="J75" i="136"/>
  <c r="W75" i="136" s="1"/>
  <c r="J74" i="136"/>
  <c r="W74" i="136" s="1"/>
  <c r="J73" i="136"/>
  <c r="W73" i="136" s="1"/>
  <c r="J72" i="136"/>
  <c r="W72" i="136" s="1"/>
  <c r="J71" i="136"/>
  <c r="V71" i="136" s="1"/>
  <c r="J70" i="136"/>
  <c r="W70" i="136" s="1"/>
  <c r="J69" i="136"/>
  <c r="W69" i="136" s="1"/>
  <c r="J68" i="136"/>
  <c r="W68" i="136" s="1"/>
  <c r="J67" i="136"/>
  <c r="J66" i="136"/>
  <c r="W66" i="136" s="1"/>
  <c r="J65" i="136"/>
  <c r="V65" i="136" s="1"/>
  <c r="J64" i="136"/>
  <c r="J63" i="136"/>
  <c r="V63" i="136" s="1"/>
  <c r="J62" i="136"/>
  <c r="W62" i="136" s="1"/>
  <c r="J61" i="136"/>
  <c r="W61" i="136" s="1"/>
  <c r="J60" i="136"/>
  <c r="V60" i="136" s="1"/>
  <c r="J51" i="136"/>
  <c r="V51" i="136" s="1"/>
  <c r="J50" i="136"/>
  <c r="V50" i="136" s="1"/>
  <c r="J49" i="136"/>
  <c r="W49" i="136" s="1"/>
  <c r="J48" i="136"/>
  <c r="W48" i="136" s="1"/>
  <c r="J47" i="136"/>
  <c r="V47" i="136" s="1"/>
  <c r="J46" i="136"/>
  <c r="W46" i="136" s="1"/>
  <c r="J45" i="136"/>
  <c r="V45" i="136" s="1"/>
  <c r="J44" i="136"/>
  <c r="V44" i="136" s="1"/>
  <c r="J43" i="136"/>
  <c r="W43" i="136" s="1"/>
  <c r="J42" i="136"/>
  <c r="J41" i="136"/>
  <c r="V41" i="136" s="1"/>
  <c r="J40" i="136"/>
  <c r="W40" i="136" s="1"/>
  <c r="J39" i="136"/>
  <c r="V39" i="136" s="1"/>
  <c r="J38" i="136"/>
  <c r="W38" i="136" s="1"/>
  <c r="J37" i="136"/>
  <c r="W37" i="136" s="1"/>
  <c r="J36" i="136"/>
  <c r="V36" i="136" s="1"/>
  <c r="J35" i="136"/>
  <c r="W35" i="136" s="1"/>
  <c r="J34" i="136"/>
  <c r="W34" i="136" s="1"/>
  <c r="J33" i="136"/>
  <c r="W33" i="136" s="1"/>
  <c r="J32" i="136"/>
  <c r="W32" i="136" s="1"/>
  <c r="J31" i="136"/>
  <c r="W31" i="136" s="1"/>
  <c r="J30" i="136"/>
  <c r="V30" i="136" s="1"/>
  <c r="J29" i="136"/>
  <c r="W29" i="136" s="1"/>
  <c r="J28" i="136"/>
  <c r="W28" i="136" s="1"/>
  <c r="J27" i="136"/>
  <c r="W27" i="136" s="1"/>
  <c r="J26" i="136"/>
  <c r="W26" i="136" s="1"/>
  <c r="J25" i="136"/>
  <c r="W25" i="136" s="1"/>
  <c r="J24" i="136"/>
  <c r="V24" i="136" s="1"/>
  <c r="J23" i="136"/>
  <c r="W23" i="136" s="1"/>
  <c r="J22" i="136"/>
  <c r="W22" i="136" s="1"/>
  <c r="J21" i="136"/>
  <c r="W21" i="136" s="1"/>
  <c r="J20" i="136"/>
  <c r="V20" i="136" s="1"/>
  <c r="J19" i="136"/>
  <c r="W19" i="136" s="1"/>
  <c r="J18" i="136"/>
  <c r="W18" i="136" s="1"/>
  <c r="J17" i="136"/>
  <c r="V17" i="136" s="1"/>
  <c r="J16" i="136"/>
  <c r="W16" i="136" s="1"/>
  <c r="J15" i="136"/>
  <c r="W15" i="136" s="1"/>
  <c r="J14" i="136"/>
  <c r="W14" i="136" s="1"/>
  <c r="J13" i="136"/>
  <c r="W13" i="136" s="1"/>
  <c r="J12" i="136"/>
  <c r="W12" i="136" s="1"/>
  <c r="J11" i="136"/>
  <c r="W11" i="136" s="1"/>
  <c r="N10" i="136"/>
  <c r="J10" i="136"/>
  <c r="V10" i="136" s="1"/>
  <c r="J9" i="136"/>
  <c r="V9" i="136" s="1"/>
  <c r="N8" i="136"/>
  <c r="J8" i="136"/>
  <c r="W8" i="136" s="1"/>
  <c r="J7" i="136"/>
  <c r="N6" i="136"/>
  <c r="J6" i="136"/>
  <c r="W6" i="136" s="1"/>
  <c r="N4" i="136"/>
  <c r="V12" i="136" l="1"/>
  <c r="W50" i="136"/>
  <c r="W60" i="136"/>
  <c r="W81" i="136"/>
  <c r="V74" i="136"/>
  <c r="V49" i="136"/>
  <c r="W137" i="136"/>
  <c r="W44" i="136"/>
  <c r="W51" i="136"/>
  <c r="W97" i="136"/>
  <c r="V112" i="136"/>
  <c r="V144" i="136"/>
  <c r="V48" i="136"/>
  <c r="W142" i="136"/>
  <c r="W141" i="136"/>
  <c r="V111" i="136"/>
  <c r="V108" i="136"/>
  <c r="W80" i="136"/>
  <c r="V75" i="136"/>
  <c r="W47" i="136"/>
  <c r="W45" i="136"/>
  <c r="W39" i="136"/>
  <c r="V38" i="136"/>
  <c r="W138" i="136"/>
  <c r="V95" i="136"/>
  <c r="V33" i="136"/>
  <c r="W71" i="136"/>
  <c r="V101" i="136"/>
  <c r="V70" i="136"/>
  <c r="V25" i="136"/>
  <c r="V23" i="136"/>
  <c r="W100" i="136"/>
  <c r="V68" i="136"/>
  <c r="W130" i="136"/>
  <c r="W96" i="136"/>
  <c r="V16" i="136"/>
  <c r="V14" i="136"/>
  <c r="V94" i="136"/>
  <c r="W10" i="136"/>
  <c r="W9" i="136"/>
  <c r="V92" i="136"/>
  <c r="W91" i="136"/>
  <c r="V126" i="136"/>
  <c r="V136" i="136"/>
  <c r="V125" i="136"/>
  <c r="V131" i="136"/>
  <c r="W102" i="136"/>
  <c r="W104" i="136"/>
  <c r="V107" i="136"/>
  <c r="W103" i="136"/>
  <c r="V62" i="136"/>
  <c r="V72" i="136"/>
  <c r="V79" i="136"/>
  <c r="J83" i="136"/>
  <c r="V61" i="136"/>
  <c r="V69" i="136"/>
  <c r="V22" i="136"/>
  <c r="V29" i="136"/>
  <c r="W17" i="136"/>
  <c r="W20" i="136"/>
  <c r="V32" i="136"/>
  <c r="W36" i="136"/>
  <c r="V43" i="136"/>
  <c r="V46" i="136"/>
  <c r="W30" i="136"/>
  <c r="W7" i="136"/>
  <c r="V7" i="136"/>
  <c r="V42" i="136"/>
  <c r="W42" i="136"/>
  <c r="V64" i="136"/>
  <c r="W64" i="136"/>
  <c r="W67" i="136"/>
  <c r="V67" i="136"/>
  <c r="V6" i="136"/>
  <c r="W78" i="136"/>
  <c r="V78" i="136"/>
  <c r="W99" i="136"/>
  <c r="V99" i="136"/>
  <c r="W124" i="136"/>
  <c r="V124" i="136"/>
  <c r="W128" i="136"/>
  <c r="V128" i="136"/>
  <c r="W134" i="136"/>
  <c r="V134" i="136"/>
  <c r="V8" i="136"/>
  <c r="N12" i="136"/>
  <c r="V13" i="136"/>
  <c r="V15" i="136"/>
  <c r="V19" i="136"/>
  <c r="V35" i="136"/>
  <c r="W41" i="136"/>
  <c r="J52" i="136"/>
  <c r="W63" i="136"/>
  <c r="V66" i="136"/>
  <c r="V73" i="136"/>
  <c r="W76" i="136"/>
  <c r="W82" i="136"/>
  <c r="V82" i="136"/>
  <c r="J145" i="136"/>
  <c r="W122" i="136"/>
  <c r="V122" i="136"/>
  <c r="V11" i="136"/>
  <c r="V18" i="136"/>
  <c r="V21" i="136"/>
  <c r="W24" i="136"/>
  <c r="V26" i="136"/>
  <c r="V27" i="136"/>
  <c r="V28" i="136"/>
  <c r="V31" i="136"/>
  <c r="V34" i="136"/>
  <c r="V37" i="136"/>
  <c r="V40" i="136"/>
  <c r="W77" i="136"/>
  <c r="V77" i="136"/>
  <c r="W93" i="136"/>
  <c r="V93" i="136"/>
  <c r="W106" i="136"/>
  <c r="V106" i="136"/>
  <c r="W110" i="136"/>
  <c r="V110" i="136"/>
  <c r="J114" i="136"/>
  <c r="W123" i="136"/>
  <c r="V123" i="136"/>
  <c r="W129" i="136"/>
  <c r="V129" i="136"/>
  <c r="W133" i="136"/>
  <c r="V133" i="136"/>
  <c r="W135" i="136"/>
  <c r="V135" i="136"/>
  <c r="W140" i="136"/>
  <c r="V140" i="136"/>
  <c r="W65" i="136"/>
  <c r="W98" i="136"/>
  <c r="V98" i="136"/>
  <c r="V105" i="136"/>
  <c r="V109" i="136"/>
  <c r="V113" i="136"/>
  <c r="V127" i="136"/>
  <c r="V132" i="136"/>
  <c r="V139" i="136"/>
  <c r="V143" i="136"/>
  <c r="H45" i="135"/>
  <c r="H78" i="135"/>
  <c r="H42" i="135"/>
  <c r="H40" i="135"/>
  <c r="H76" i="135"/>
  <c r="H137" i="135"/>
  <c r="H104" i="135"/>
  <c r="H35" i="135"/>
  <c r="H34" i="135"/>
  <c r="H73" i="135"/>
  <c r="H103" i="135"/>
  <c r="H135" i="135"/>
  <c r="H134" i="135"/>
  <c r="H102" i="135"/>
  <c r="H28" i="135"/>
  <c r="V114" i="136" l="1"/>
  <c r="O8" i="136" s="1"/>
  <c r="R8" i="136" s="1"/>
  <c r="W114" i="136"/>
  <c r="P8" i="136" s="1"/>
  <c r="V83" i="136"/>
  <c r="O6" i="136" s="1"/>
  <c r="R6" i="136" s="1"/>
  <c r="W83" i="136"/>
  <c r="P6" i="136" s="1"/>
  <c r="W52" i="136"/>
  <c r="P4" i="136" s="1"/>
  <c r="V52" i="136"/>
  <c r="O4" i="136" s="1"/>
  <c r="V145" i="136"/>
  <c r="O10" i="136" s="1"/>
  <c r="W145" i="136"/>
  <c r="P10" i="136" s="1"/>
  <c r="H27" i="135"/>
  <c r="H69" i="135"/>
  <c r="Q8" i="136" l="1"/>
  <c r="P12" i="136"/>
  <c r="R4" i="136"/>
  <c r="O12" i="136"/>
  <c r="R12" i="136" s="1"/>
  <c r="P14" i="136" s="1"/>
  <c r="Q4" i="136"/>
  <c r="R10" i="136"/>
  <c r="Q10" i="136"/>
  <c r="H129" i="135"/>
  <c r="H67" i="135"/>
  <c r="H19" i="135"/>
  <c r="H18" i="135"/>
  <c r="H96" i="135"/>
  <c r="H65" i="135"/>
  <c r="H17" i="135"/>
  <c r="H15" i="135"/>
  <c r="Q12" i="136" l="1"/>
  <c r="H64" i="135"/>
  <c r="H13" i="135" l="1"/>
  <c r="H11" i="135"/>
  <c r="H62" i="135"/>
  <c r="H124" i="135"/>
  <c r="H123" i="135"/>
  <c r="H122" i="135"/>
  <c r="H7" i="135"/>
  <c r="W144" i="135"/>
  <c r="J144" i="135"/>
  <c r="V144" i="135" s="1"/>
  <c r="J143" i="135"/>
  <c r="W143" i="135" s="1"/>
  <c r="J142" i="135"/>
  <c r="J141" i="135"/>
  <c r="W141" i="135" s="1"/>
  <c r="J140" i="135"/>
  <c r="V140" i="135" s="1"/>
  <c r="J139" i="135"/>
  <c r="W139" i="135" s="1"/>
  <c r="J138" i="135"/>
  <c r="J137" i="135"/>
  <c r="J136" i="135"/>
  <c r="W136" i="135" s="1"/>
  <c r="J135" i="135"/>
  <c r="V135" i="135" s="1"/>
  <c r="J134" i="135"/>
  <c r="V134" i="135" s="1"/>
  <c r="J133" i="135"/>
  <c r="V133" i="135" s="1"/>
  <c r="J132" i="135"/>
  <c r="W132" i="135" s="1"/>
  <c r="J131" i="135"/>
  <c r="J130" i="135"/>
  <c r="W130" i="135" s="1"/>
  <c r="J129" i="135"/>
  <c r="V129" i="135" s="1"/>
  <c r="J128" i="135"/>
  <c r="W128" i="135" s="1"/>
  <c r="J127" i="135"/>
  <c r="W127" i="135" s="1"/>
  <c r="J126" i="135"/>
  <c r="W126" i="135" s="1"/>
  <c r="J125" i="135"/>
  <c r="W125" i="135" s="1"/>
  <c r="J124" i="135"/>
  <c r="W124" i="135" s="1"/>
  <c r="J123" i="135"/>
  <c r="W123" i="135" s="1"/>
  <c r="J122" i="135"/>
  <c r="J113" i="135"/>
  <c r="V113" i="135" s="1"/>
  <c r="J112" i="135"/>
  <c r="W112" i="135" s="1"/>
  <c r="J111" i="135"/>
  <c r="J110" i="135"/>
  <c r="W110" i="135" s="1"/>
  <c r="J109" i="135"/>
  <c r="V109" i="135" s="1"/>
  <c r="J108" i="135"/>
  <c r="W108" i="135" s="1"/>
  <c r="J107" i="135"/>
  <c r="J106" i="135"/>
  <c r="J105" i="135"/>
  <c r="W105" i="135" s="1"/>
  <c r="J104" i="135"/>
  <c r="V104" i="135" s="1"/>
  <c r="J103" i="135"/>
  <c r="W103" i="135" s="1"/>
  <c r="J102" i="135"/>
  <c r="W102" i="135" s="1"/>
  <c r="J101" i="135"/>
  <c r="W101" i="135" s="1"/>
  <c r="J100" i="135"/>
  <c r="J99" i="135"/>
  <c r="J98" i="135"/>
  <c r="J97" i="135"/>
  <c r="V97" i="135" s="1"/>
  <c r="J96" i="135"/>
  <c r="V96" i="135" s="1"/>
  <c r="J95" i="135"/>
  <c r="W95" i="135" s="1"/>
  <c r="J94" i="135"/>
  <c r="W94" i="135" s="1"/>
  <c r="J93" i="135"/>
  <c r="J92" i="135"/>
  <c r="J91" i="135"/>
  <c r="W91" i="135" s="1"/>
  <c r="J82" i="135"/>
  <c r="W82" i="135" s="1"/>
  <c r="J81" i="135"/>
  <c r="J80" i="135"/>
  <c r="V80" i="135" s="1"/>
  <c r="J79" i="135"/>
  <c r="V79" i="135" s="1"/>
  <c r="J78" i="135"/>
  <c r="W78" i="135" s="1"/>
  <c r="J77" i="135"/>
  <c r="J76" i="135"/>
  <c r="J75" i="135"/>
  <c r="J74" i="135"/>
  <c r="J73" i="135"/>
  <c r="J72" i="135"/>
  <c r="J71" i="135"/>
  <c r="J70" i="135"/>
  <c r="J69" i="135"/>
  <c r="J68" i="135"/>
  <c r="J67" i="135"/>
  <c r="J66" i="135"/>
  <c r="J65" i="135"/>
  <c r="J64" i="135"/>
  <c r="J63" i="135"/>
  <c r="W63" i="135" s="1"/>
  <c r="J62" i="135"/>
  <c r="V62" i="135" s="1"/>
  <c r="J61" i="135"/>
  <c r="V61" i="135" s="1"/>
  <c r="J60" i="135"/>
  <c r="V60" i="135" s="1"/>
  <c r="J51" i="135"/>
  <c r="W51" i="135" s="1"/>
  <c r="J50" i="135"/>
  <c r="V49" i="135"/>
  <c r="J49" i="135"/>
  <c r="W49" i="135" s="1"/>
  <c r="J48" i="135"/>
  <c r="V48" i="135" s="1"/>
  <c r="J47" i="135"/>
  <c r="W47" i="135" s="1"/>
  <c r="J46" i="135"/>
  <c r="J45" i="135"/>
  <c r="W45" i="135" s="1"/>
  <c r="J44" i="135"/>
  <c r="V44" i="135" s="1"/>
  <c r="V43" i="135"/>
  <c r="J43" i="135"/>
  <c r="W43" i="135" s="1"/>
  <c r="J42" i="135"/>
  <c r="J41" i="135"/>
  <c r="W41" i="135" s="1"/>
  <c r="J40" i="135"/>
  <c r="V40" i="135" s="1"/>
  <c r="J39" i="135"/>
  <c r="V39" i="135" s="1"/>
  <c r="J38" i="135"/>
  <c r="J37" i="135"/>
  <c r="J36" i="135"/>
  <c r="W36" i="135" s="1"/>
  <c r="J35" i="135"/>
  <c r="V35" i="135" s="1"/>
  <c r="J34" i="135"/>
  <c r="W34" i="135" s="1"/>
  <c r="J33" i="135"/>
  <c r="W33" i="135" s="1"/>
  <c r="J32" i="135"/>
  <c r="J31" i="135"/>
  <c r="J30" i="135"/>
  <c r="W30" i="135" s="1"/>
  <c r="J29" i="135"/>
  <c r="V29" i="135" s="1"/>
  <c r="J28" i="135"/>
  <c r="V28" i="135" s="1"/>
  <c r="J27" i="135"/>
  <c r="V27" i="135" s="1"/>
  <c r="J26" i="135"/>
  <c r="W26" i="135" s="1"/>
  <c r="J25" i="135"/>
  <c r="J24" i="135"/>
  <c r="W24" i="135" s="1"/>
  <c r="J23" i="135"/>
  <c r="V23" i="135" s="1"/>
  <c r="J22" i="135"/>
  <c r="V22" i="135" s="1"/>
  <c r="J21" i="135"/>
  <c r="W21" i="135" s="1"/>
  <c r="J20" i="135"/>
  <c r="W20" i="135" s="1"/>
  <c r="J19" i="135"/>
  <c r="V19" i="135" s="1"/>
  <c r="J18" i="135"/>
  <c r="W18" i="135" s="1"/>
  <c r="J17" i="135"/>
  <c r="W17" i="135" s="1"/>
  <c r="J16" i="135"/>
  <c r="V16" i="135" s="1"/>
  <c r="J15" i="135"/>
  <c r="W15" i="135" s="1"/>
  <c r="J14" i="135"/>
  <c r="W14" i="135" s="1"/>
  <c r="J13" i="135"/>
  <c r="W13" i="135" s="1"/>
  <c r="J12" i="135"/>
  <c r="W12" i="135" s="1"/>
  <c r="J11" i="135"/>
  <c r="V11" i="135" s="1"/>
  <c r="N10" i="135"/>
  <c r="J10" i="135"/>
  <c r="V10" i="135" s="1"/>
  <c r="J9" i="135"/>
  <c r="W9" i="135" s="1"/>
  <c r="N8" i="135"/>
  <c r="J8" i="135"/>
  <c r="V8" i="135" s="1"/>
  <c r="J7" i="135"/>
  <c r="V7" i="135" s="1"/>
  <c r="N6" i="135"/>
  <c r="J6" i="135"/>
  <c r="V6" i="135" s="1"/>
  <c r="N4" i="135"/>
  <c r="V47" i="135" l="1"/>
  <c r="W134" i="135"/>
  <c r="V112" i="135"/>
  <c r="V51" i="135"/>
  <c r="V82" i="135"/>
  <c r="W80" i="135"/>
  <c r="W113" i="135"/>
  <c r="V132" i="135"/>
  <c r="W27" i="135"/>
  <c r="W48" i="135"/>
  <c r="V143" i="135"/>
  <c r="V139" i="135"/>
  <c r="V110" i="135"/>
  <c r="W109" i="135"/>
  <c r="V108" i="135"/>
  <c r="W97" i="135"/>
  <c r="W44" i="135"/>
  <c r="V41" i="135"/>
  <c r="V36" i="135"/>
  <c r="V14" i="135"/>
  <c r="V45" i="135"/>
  <c r="W79" i="135"/>
  <c r="V141" i="135"/>
  <c r="W140" i="135"/>
  <c r="W39" i="135"/>
  <c r="V105" i="135"/>
  <c r="V136" i="135"/>
  <c r="W29" i="135"/>
  <c r="W23" i="135"/>
  <c r="V18" i="135"/>
  <c r="W16" i="135"/>
  <c r="V91" i="135"/>
  <c r="W7" i="135"/>
  <c r="V123" i="135"/>
  <c r="V128" i="135"/>
  <c r="V126" i="135"/>
  <c r="W133" i="135"/>
  <c r="W135" i="135"/>
  <c r="V124" i="135"/>
  <c r="W129" i="135"/>
  <c r="V130" i="135"/>
  <c r="V94" i="135"/>
  <c r="V101" i="135"/>
  <c r="W104" i="135"/>
  <c r="W96" i="135"/>
  <c r="V95" i="135"/>
  <c r="V102" i="135"/>
  <c r="W61" i="135"/>
  <c r="V63" i="135"/>
  <c r="V78" i="135"/>
  <c r="W60" i="135"/>
  <c r="W62" i="135"/>
  <c r="V9" i="135"/>
  <c r="V17" i="135"/>
  <c r="V26" i="135"/>
  <c r="V20" i="135"/>
  <c r="W22" i="135"/>
  <c r="V24" i="135"/>
  <c r="W28" i="135"/>
  <c r="V30" i="135"/>
  <c r="V33" i="135"/>
  <c r="W35" i="135"/>
  <c r="W8" i="135"/>
  <c r="W40" i="135"/>
  <c r="W31" i="135"/>
  <c r="V31" i="135"/>
  <c r="W46" i="135"/>
  <c r="V46" i="135"/>
  <c r="W66" i="135"/>
  <c r="V66" i="135"/>
  <c r="W122" i="135"/>
  <c r="J145" i="135"/>
  <c r="V122" i="135"/>
  <c r="V13" i="135"/>
  <c r="V15" i="135"/>
  <c r="W19" i="135"/>
  <c r="W32" i="135"/>
  <c r="V32" i="135"/>
  <c r="W38" i="135"/>
  <c r="V38" i="135"/>
  <c r="W42" i="135"/>
  <c r="V42" i="135"/>
  <c r="W67" i="135"/>
  <c r="V67" i="135"/>
  <c r="W71" i="135"/>
  <c r="V71" i="135"/>
  <c r="W75" i="135"/>
  <c r="V75" i="135"/>
  <c r="W98" i="135"/>
  <c r="V98" i="135"/>
  <c r="W131" i="135"/>
  <c r="V131" i="135"/>
  <c r="W74" i="135"/>
  <c r="V74" i="135"/>
  <c r="W138" i="135"/>
  <c r="V138" i="135"/>
  <c r="N12" i="135"/>
  <c r="J52" i="135"/>
  <c r="W6" i="135"/>
  <c r="W11" i="135"/>
  <c r="V21" i="135"/>
  <c r="W25" i="135"/>
  <c r="V25" i="135"/>
  <c r="V34" i="135"/>
  <c r="W64" i="135"/>
  <c r="V64" i="135"/>
  <c r="W68" i="135"/>
  <c r="V68" i="135"/>
  <c r="W72" i="135"/>
  <c r="V72" i="135"/>
  <c r="W76" i="135"/>
  <c r="V76" i="135"/>
  <c r="W92" i="135"/>
  <c r="V92" i="135"/>
  <c r="W99" i="135"/>
  <c r="V99" i="135"/>
  <c r="V103" i="135"/>
  <c r="V125" i="135"/>
  <c r="V127" i="135"/>
  <c r="W137" i="135"/>
  <c r="V137" i="135"/>
  <c r="W70" i="135"/>
  <c r="V70" i="135"/>
  <c r="W100" i="135"/>
  <c r="V100" i="135"/>
  <c r="W107" i="135"/>
  <c r="V107" i="135"/>
  <c r="W10" i="135"/>
  <c r="V12" i="135"/>
  <c r="W37" i="135"/>
  <c r="V37" i="135"/>
  <c r="W50" i="135"/>
  <c r="V50" i="135"/>
  <c r="W65" i="135"/>
  <c r="V65" i="135"/>
  <c r="W69" i="135"/>
  <c r="V69" i="135"/>
  <c r="W73" i="135"/>
  <c r="V73" i="135"/>
  <c r="W77" i="135"/>
  <c r="V77" i="135"/>
  <c r="W81" i="135"/>
  <c r="V81" i="135"/>
  <c r="J114" i="135"/>
  <c r="W93" i="135"/>
  <c r="V93" i="135"/>
  <c r="W106" i="135"/>
  <c r="V106" i="135"/>
  <c r="W111" i="135"/>
  <c r="V111" i="135"/>
  <c r="W142" i="135"/>
  <c r="V142" i="135"/>
  <c r="J83" i="135"/>
  <c r="H38" i="134"/>
  <c r="H34" i="134"/>
  <c r="H31" i="134"/>
  <c r="H29" i="134"/>
  <c r="H28" i="134"/>
  <c r="H23" i="134"/>
  <c r="H21" i="134"/>
  <c r="H18" i="134"/>
  <c r="H15" i="134"/>
  <c r="H13" i="134"/>
  <c r="H12" i="134"/>
  <c r="H11" i="134"/>
  <c r="H10" i="134"/>
  <c r="H76" i="134"/>
  <c r="H75" i="134"/>
  <c r="H74" i="134"/>
  <c r="H73" i="134"/>
  <c r="H72" i="134"/>
  <c r="H71" i="134"/>
  <c r="H70" i="134"/>
  <c r="H69" i="134"/>
  <c r="H68" i="134"/>
  <c r="H67" i="134"/>
  <c r="H66" i="134"/>
  <c r="H65" i="134"/>
  <c r="H64" i="134"/>
  <c r="H62" i="134"/>
  <c r="H61" i="134"/>
  <c r="V83" i="135" l="1"/>
  <c r="O6" i="135" s="1"/>
  <c r="R6" i="135" s="1"/>
  <c r="W114" i="135"/>
  <c r="P8" i="135" s="1"/>
  <c r="V114" i="135"/>
  <c r="O8" i="135" s="1"/>
  <c r="R8" i="135" s="1"/>
  <c r="W83" i="135"/>
  <c r="P6" i="135" s="1"/>
  <c r="W52" i="135"/>
  <c r="P4" i="135" s="1"/>
  <c r="V52" i="135"/>
  <c r="O4" i="135" s="1"/>
  <c r="R4" i="135" s="1"/>
  <c r="V145" i="135"/>
  <c r="O10" i="135" s="1"/>
  <c r="W145" i="135"/>
  <c r="P10" i="135" s="1"/>
  <c r="H106" i="134"/>
  <c r="H103" i="134"/>
  <c r="H102" i="134"/>
  <c r="H100" i="134"/>
  <c r="H98" i="134"/>
  <c r="H95" i="134"/>
  <c r="H92" i="134"/>
  <c r="H138" i="134"/>
  <c r="H135" i="134"/>
  <c r="H134" i="134"/>
  <c r="H128" i="134"/>
  <c r="H127" i="134"/>
  <c r="H126" i="134"/>
  <c r="Q4" i="135" l="1"/>
  <c r="Q8" i="135"/>
  <c r="P12" i="135"/>
  <c r="R10" i="135"/>
  <c r="Q10" i="135"/>
  <c r="O12" i="135"/>
  <c r="R12" i="135" s="1"/>
  <c r="P14" i="135" s="1"/>
  <c r="H125" i="134"/>
  <c r="H124" i="134"/>
  <c r="H60" i="134"/>
  <c r="H6" i="134"/>
  <c r="Q12" i="135" l="1"/>
  <c r="J144" i="134"/>
  <c r="W144" i="134" s="1"/>
  <c r="J143" i="134"/>
  <c r="V143" i="134" s="1"/>
  <c r="J142" i="134"/>
  <c r="W142" i="134" s="1"/>
  <c r="J141" i="134"/>
  <c r="W141" i="134" s="1"/>
  <c r="J140" i="134"/>
  <c r="W140" i="134" s="1"/>
  <c r="J139" i="134"/>
  <c r="W139" i="134" s="1"/>
  <c r="J138" i="134"/>
  <c r="V138" i="134" s="1"/>
  <c r="J137" i="134"/>
  <c r="V137" i="134" s="1"/>
  <c r="J136" i="134"/>
  <c r="V136" i="134" s="1"/>
  <c r="J135" i="134"/>
  <c r="V135" i="134" s="1"/>
  <c r="J134" i="134"/>
  <c r="W134" i="134" s="1"/>
  <c r="J133" i="134"/>
  <c r="W133" i="134" s="1"/>
  <c r="J132" i="134"/>
  <c r="W132" i="134" s="1"/>
  <c r="J131" i="134"/>
  <c r="J130" i="134"/>
  <c r="J129" i="134"/>
  <c r="J128" i="134"/>
  <c r="W128" i="134" s="1"/>
  <c r="J127" i="134"/>
  <c r="V127" i="134" s="1"/>
  <c r="J126" i="134"/>
  <c r="W126" i="134" s="1"/>
  <c r="J125" i="134"/>
  <c r="W125" i="134" s="1"/>
  <c r="J124" i="134"/>
  <c r="W124" i="134" s="1"/>
  <c r="J123" i="134"/>
  <c r="W123" i="134" s="1"/>
  <c r="J122" i="134"/>
  <c r="J113" i="134"/>
  <c r="V113" i="134" s="1"/>
  <c r="J112" i="134"/>
  <c r="W112" i="134" s="1"/>
  <c r="J111" i="134"/>
  <c r="W111" i="134" s="1"/>
  <c r="J110" i="134"/>
  <c r="W110" i="134" s="1"/>
  <c r="J109" i="134"/>
  <c r="V109" i="134" s="1"/>
  <c r="J108" i="134"/>
  <c r="J107" i="134"/>
  <c r="J106" i="134"/>
  <c r="W106" i="134" s="1"/>
  <c r="J105" i="134"/>
  <c r="W105" i="134" s="1"/>
  <c r="J104" i="134"/>
  <c r="W104" i="134" s="1"/>
  <c r="J103" i="134"/>
  <c r="W103" i="134" s="1"/>
  <c r="J102" i="134"/>
  <c r="V102" i="134" s="1"/>
  <c r="J101" i="134"/>
  <c r="J100" i="134"/>
  <c r="V100" i="134" s="1"/>
  <c r="J99" i="134"/>
  <c r="W99" i="134" s="1"/>
  <c r="J98" i="134"/>
  <c r="W98" i="134" s="1"/>
  <c r="J97" i="134"/>
  <c r="V97" i="134" s="1"/>
  <c r="J96" i="134"/>
  <c r="V96" i="134" s="1"/>
  <c r="J95" i="134"/>
  <c r="W95" i="134" s="1"/>
  <c r="J94" i="134"/>
  <c r="W94" i="134" s="1"/>
  <c r="J93" i="134"/>
  <c r="J92" i="134"/>
  <c r="W92" i="134" s="1"/>
  <c r="J91" i="134"/>
  <c r="W91" i="134" s="1"/>
  <c r="J82" i="134"/>
  <c r="V82" i="134" s="1"/>
  <c r="J81" i="134"/>
  <c r="W81" i="134" s="1"/>
  <c r="J80" i="134"/>
  <c r="W80" i="134" s="1"/>
  <c r="J79" i="134"/>
  <c r="V79" i="134" s="1"/>
  <c r="J78" i="134"/>
  <c r="V78" i="134" s="1"/>
  <c r="J77" i="134"/>
  <c r="V77" i="134" s="1"/>
  <c r="J76" i="134"/>
  <c r="V76" i="134" s="1"/>
  <c r="J75" i="134"/>
  <c r="J74" i="134"/>
  <c r="W74" i="134" s="1"/>
  <c r="J73" i="134"/>
  <c r="W73" i="134" s="1"/>
  <c r="J72" i="134"/>
  <c r="W72" i="134" s="1"/>
  <c r="J71" i="134"/>
  <c r="W71" i="134" s="1"/>
  <c r="J70" i="134"/>
  <c r="W70" i="134" s="1"/>
  <c r="W69" i="134"/>
  <c r="J69" i="134"/>
  <c r="V69" i="134" s="1"/>
  <c r="J68" i="134"/>
  <c r="V68" i="134" s="1"/>
  <c r="J67" i="134"/>
  <c r="V67" i="134" s="1"/>
  <c r="J66" i="134"/>
  <c r="V66" i="134" s="1"/>
  <c r="J65" i="134"/>
  <c r="V65" i="134" s="1"/>
  <c r="J64" i="134"/>
  <c r="W64" i="134" s="1"/>
  <c r="J63" i="134"/>
  <c r="W63" i="134" s="1"/>
  <c r="J62" i="134"/>
  <c r="W62" i="134" s="1"/>
  <c r="J61" i="134"/>
  <c r="W61" i="134" s="1"/>
  <c r="J60" i="134"/>
  <c r="J51" i="134"/>
  <c r="V51" i="134" s="1"/>
  <c r="J50" i="134"/>
  <c r="V50" i="134" s="1"/>
  <c r="J49" i="134"/>
  <c r="W49" i="134" s="1"/>
  <c r="J48" i="134"/>
  <c r="W48" i="134" s="1"/>
  <c r="J47" i="134"/>
  <c r="V47" i="134" s="1"/>
  <c r="J46" i="134"/>
  <c r="V46" i="134" s="1"/>
  <c r="J45" i="134"/>
  <c r="V45" i="134" s="1"/>
  <c r="J44" i="134"/>
  <c r="V44" i="134" s="1"/>
  <c r="J43" i="134"/>
  <c r="W43" i="134" s="1"/>
  <c r="J42" i="134"/>
  <c r="W42" i="134" s="1"/>
  <c r="J41" i="134"/>
  <c r="V41" i="134" s="1"/>
  <c r="J40" i="134"/>
  <c r="V40" i="134" s="1"/>
  <c r="J39" i="134"/>
  <c r="W39" i="134" s="1"/>
  <c r="J38" i="134"/>
  <c r="W38" i="134" s="1"/>
  <c r="J37" i="134"/>
  <c r="W37" i="134" s="1"/>
  <c r="J36" i="134"/>
  <c r="V36" i="134" s="1"/>
  <c r="J35" i="134"/>
  <c r="W35" i="134" s="1"/>
  <c r="J34" i="134"/>
  <c r="W34" i="134" s="1"/>
  <c r="J33" i="134"/>
  <c r="W33" i="134" s="1"/>
  <c r="J32" i="134"/>
  <c r="W32" i="134" s="1"/>
  <c r="J31" i="134"/>
  <c r="V31" i="134" s="1"/>
  <c r="J30" i="134"/>
  <c r="J29" i="134"/>
  <c r="J28" i="134"/>
  <c r="W28" i="134" s="1"/>
  <c r="J27" i="134"/>
  <c r="W27" i="134" s="1"/>
  <c r="J26" i="134"/>
  <c r="J25" i="134"/>
  <c r="W25" i="134" s="1"/>
  <c r="J24" i="134"/>
  <c r="V24" i="134" s="1"/>
  <c r="J23" i="134"/>
  <c r="W23" i="134" s="1"/>
  <c r="J22" i="134"/>
  <c r="W22" i="134" s="1"/>
  <c r="J21" i="134"/>
  <c r="W21" i="134" s="1"/>
  <c r="J20" i="134"/>
  <c r="W20" i="134" s="1"/>
  <c r="J19" i="134"/>
  <c r="V19" i="134" s="1"/>
  <c r="J18" i="134"/>
  <c r="W18" i="134" s="1"/>
  <c r="J17" i="134"/>
  <c r="W17" i="134" s="1"/>
  <c r="J16" i="134"/>
  <c r="W16" i="134" s="1"/>
  <c r="J15" i="134"/>
  <c r="W15" i="134" s="1"/>
  <c r="J14" i="134"/>
  <c r="V14" i="134" s="1"/>
  <c r="J13" i="134"/>
  <c r="V13" i="134" s="1"/>
  <c r="J12" i="134"/>
  <c r="W12" i="134" s="1"/>
  <c r="J11" i="134"/>
  <c r="V11" i="134" s="1"/>
  <c r="N10" i="134"/>
  <c r="J10" i="134"/>
  <c r="W10" i="134" s="1"/>
  <c r="J9" i="134"/>
  <c r="W9" i="134" s="1"/>
  <c r="N8" i="134"/>
  <c r="J8" i="134"/>
  <c r="W8" i="134" s="1"/>
  <c r="W7" i="134"/>
  <c r="J7" i="134"/>
  <c r="V7" i="134" s="1"/>
  <c r="N6" i="134"/>
  <c r="J6" i="134"/>
  <c r="N4" i="134"/>
  <c r="W44" i="134" l="1"/>
  <c r="W51" i="134"/>
  <c r="W143" i="134"/>
  <c r="V42" i="134"/>
  <c r="W82" i="134"/>
  <c r="W113" i="134"/>
  <c r="W14" i="134"/>
  <c r="V48" i="134"/>
  <c r="W50" i="134"/>
  <c r="V64" i="134"/>
  <c r="V144" i="134"/>
  <c r="W40" i="134"/>
  <c r="W46" i="134"/>
  <c r="W79" i="134"/>
  <c r="W135" i="134"/>
  <c r="W36" i="134"/>
  <c r="V28" i="134"/>
  <c r="V25" i="134"/>
  <c r="W24" i="134"/>
  <c r="V18" i="134"/>
  <c r="V15" i="134"/>
  <c r="W13" i="134"/>
  <c r="W11" i="134"/>
  <c r="V8" i="134"/>
  <c r="W77" i="134"/>
  <c r="W67" i="134"/>
  <c r="W65" i="134"/>
  <c r="V112" i="134"/>
  <c r="V110" i="134"/>
  <c r="V139" i="134"/>
  <c r="V142" i="134"/>
  <c r="W100" i="134"/>
  <c r="V98" i="134"/>
  <c r="W97" i="134"/>
  <c r="W96" i="134"/>
  <c r="W137" i="134"/>
  <c r="W127" i="134"/>
  <c r="W138" i="134"/>
  <c r="V126" i="134"/>
  <c r="V134" i="134"/>
  <c r="V128" i="134"/>
  <c r="W136" i="134"/>
  <c r="V92" i="134"/>
  <c r="V95" i="134"/>
  <c r="V103" i="134"/>
  <c r="V106" i="134"/>
  <c r="W109" i="134"/>
  <c r="W102" i="134"/>
  <c r="W66" i="134"/>
  <c r="W68" i="134"/>
  <c r="V70" i="134"/>
  <c r="V74" i="134"/>
  <c r="W76" i="134"/>
  <c r="W78" i="134"/>
  <c r="V80" i="134"/>
  <c r="J83" i="134"/>
  <c r="V20" i="134"/>
  <c r="V23" i="134"/>
  <c r="V32" i="134"/>
  <c r="V35" i="134"/>
  <c r="V39" i="134"/>
  <c r="V9" i="134"/>
  <c r="V10" i="134"/>
  <c r="V12" i="134"/>
  <c r="V37" i="134"/>
  <c r="W41" i="134"/>
  <c r="W45" i="134"/>
  <c r="W47" i="134"/>
  <c r="W19" i="134"/>
  <c r="W31" i="134"/>
  <c r="V26" i="134"/>
  <c r="W26" i="134"/>
  <c r="V122" i="134"/>
  <c r="J145" i="134"/>
  <c r="W122" i="134"/>
  <c r="J52" i="134"/>
  <c r="W29" i="134"/>
  <c r="V29" i="134"/>
  <c r="J114" i="134"/>
  <c r="V93" i="134"/>
  <c r="W93" i="134"/>
  <c r="W101" i="134"/>
  <c r="V101" i="134"/>
  <c r="W108" i="134"/>
  <c r="V108" i="134"/>
  <c r="V129" i="134"/>
  <c r="W129" i="134"/>
  <c r="W30" i="134"/>
  <c r="V30" i="134"/>
  <c r="W75" i="134"/>
  <c r="V75" i="134"/>
  <c r="V130" i="134"/>
  <c r="W130" i="134"/>
  <c r="V131" i="134"/>
  <c r="W131" i="134"/>
  <c r="W107" i="134"/>
  <c r="V107" i="134"/>
  <c r="N12" i="134"/>
  <c r="V91" i="134"/>
  <c r="V6" i="134"/>
  <c r="W6" i="134"/>
  <c r="V16" i="134"/>
  <c r="V17" i="134"/>
  <c r="V21" i="134"/>
  <c r="V22" i="134"/>
  <c r="V27" i="134"/>
  <c r="V33" i="134"/>
  <c r="V34" i="134"/>
  <c r="V38" i="134"/>
  <c r="V43" i="134"/>
  <c r="V49" i="134"/>
  <c r="V60" i="134"/>
  <c r="V61" i="134"/>
  <c r="V62" i="134"/>
  <c r="V63" i="134"/>
  <c r="V71" i="134"/>
  <c r="V72" i="134"/>
  <c r="V73" i="134"/>
  <c r="V81" i="134"/>
  <c r="V94" i="134"/>
  <c r="V99" i="134"/>
  <c r="V104" i="134"/>
  <c r="V105" i="134"/>
  <c r="V111" i="134"/>
  <c r="V123" i="134"/>
  <c r="V124" i="134"/>
  <c r="V125" i="134"/>
  <c r="V132" i="134"/>
  <c r="V133" i="134"/>
  <c r="V140" i="134"/>
  <c r="V141" i="134"/>
  <c r="W60" i="134"/>
  <c r="H125" i="133"/>
  <c r="W83" i="134" l="1"/>
  <c r="P6" i="134" s="1"/>
  <c r="W114" i="134"/>
  <c r="P8" i="134" s="1"/>
  <c r="W52" i="134"/>
  <c r="P4" i="134" s="1"/>
  <c r="V145" i="134"/>
  <c r="O10" i="134" s="1"/>
  <c r="V83" i="134"/>
  <c r="O6" i="134" s="1"/>
  <c r="R6" i="134" s="1"/>
  <c r="V52" i="134"/>
  <c r="O4" i="134" s="1"/>
  <c r="V114" i="134"/>
  <c r="O8" i="134" s="1"/>
  <c r="W145" i="134"/>
  <c r="P10" i="134" s="1"/>
  <c r="H141" i="133"/>
  <c r="H138" i="133"/>
  <c r="H105" i="133"/>
  <c r="H47" i="133"/>
  <c r="H46" i="133"/>
  <c r="H108" i="133"/>
  <c r="H107" i="133"/>
  <c r="H79" i="133"/>
  <c r="H78" i="133"/>
  <c r="H77" i="133"/>
  <c r="H41" i="133"/>
  <c r="H137" i="133"/>
  <c r="H136" i="133"/>
  <c r="H75" i="133"/>
  <c r="H34" i="133"/>
  <c r="P12" i="134" l="1"/>
  <c r="R4" i="134"/>
  <c r="O12" i="134"/>
  <c r="R12" i="134" s="1"/>
  <c r="P14" i="134" s="1"/>
  <c r="Q4" i="134"/>
  <c r="R10" i="134"/>
  <c r="Q10" i="134"/>
  <c r="R8" i="134"/>
  <c r="Q8" i="134"/>
  <c r="H133" i="133"/>
  <c r="H131" i="133"/>
  <c r="H130" i="133"/>
  <c r="H129" i="133"/>
  <c r="J129" i="133" s="1"/>
  <c r="W129" i="133" s="1"/>
  <c r="H124" i="133"/>
  <c r="H101" i="133"/>
  <c r="H97" i="133"/>
  <c r="H93" i="133"/>
  <c r="H73" i="133"/>
  <c r="H63" i="133"/>
  <c r="H72" i="133"/>
  <c r="H69" i="133"/>
  <c r="J69" i="133" s="1"/>
  <c r="W69" i="133" s="1"/>
  <c r="H68" i="133"/>
  <c r="H67" i="133"/>
  <c r="H66" i="133"/>
  <c r="H62" i="133"/>
  <c r="J62" i="133" s="1"/>
  <c r="W62" i="133" s="1"/>
  <c r="H61" i="133"/>
  <c r="H17" i="133"/>
  <c r="H12" i="133"/>
  <c r="H29" i="133"/>
  <c r="J29" i="133" s="1"/>
  <c r="W29" i="133" s="1"/>
  <c r="H30" i="133"/>
  <c r="H26" i="133"/>
  <c r="H22" i="133"/>
  <c r="H10" i="133"/>
  <c r="J10" i="133" s="1"/>
  <c r="W10" i="133" s="1"/>
  <c r="H8" i="133"/>
  <c r="H122" i="133"/>
  <c r="H91" i="133"/>
  <c r="W144" i="133"/>
  <c r="J144" i="133"/>
  <c r="V144" i="133" s="1"/>
  <c r="J143" i="133"/>
  <c r="W143" i="133" s="1"/>
  <c r="J142" i="133"/>
  <c r="W142" i="133" s="1"/>
  <c r="J141" i="133"/>
  <c r="W141" i="133" s="1"/>
  <c r="J140" i="133"/>
  <c r="V140" i="133" s="1"/>
  <c r="J139" i="133"/>
  <c r="V139" i="133" s="1"/>
  <c r="J138" i="133"/>
  <c r="V138" i="133" s="1"/>
  <c r="J137" i="133"/>
  <c r="J136" i="133"/>
  <c r="W136" i="133" s="1"/>
  <c r="J135" i="133"/>
  <c r="W135" i="133" s="1"/>
  <c r="J134" i="133"/>
  <c r="J133" i="133"/>
  <c r="J132" i="133"/>
  <c r="J131" i="133"/>
  <c r="W131" i="133" s="1"/>
  <c r="J130" i="133"/>
  <c r="W130" i="133" s="1"/>
  <c r="J128" i="133"/>
  <c r="W128" i="133" s="1"/>
  <c r="J127" i="133"/>
  <c r="W127" i="133" s="1"/>
  <c r="J126" i="133"/>
  <c r="W126" i="133" s="1"/>
  <c r="J125" i="133"/>
  <c r="W125" i="133" s="1"/>
  <c r="J124" i="133"/>
  <c r="W124" i="133" s="1"/>
  <c r="J123" i="133"/>
  <c r="W123" i="133" s="1"/>
  <c r="J122" i="133"/>
  <c r="W122" i="133" s="1"/>
  <c r="J113" i="133"/>
  <c r="W113" i="133" s="1"/>
  <c r="J112" i="133"/>
  <c r="W112" i="133" s="1"/>
  <c r="J111" i="133"/>
  <c r="W111" i="133" s="1"/>
  <c r="J110" i="133"/>
  <c r="V110" i="133" s="1"/>
  <c r="J109" i="133"/>
  <c r="W109" i="133" s="1"/>
  <c r="J108" i="133"/>
  <c r="W108" i="133" s="1"/>
  <c r="J107" i="133"/>
  <c r="W107" i="133" s="1"/>
  <c r="J106" i="133"/>
  <c r="W106" i="133" s="1"/>
  <c r="J105" i="133"/>
  <c r="J104" i="133"/>
  <c r="J103" i="133"/>
  <c r="W103" i="133" s="1"/>
  <c r="J102" i="133"/>
  <c r="V102" i="133" s="1"/>
  <c r="J101" i="133"/>
  <c r="W101" i="133" s="1"/>
  <c r="J100" i="133"/>
  <c r="W100" i="133" s="1"/>
  <c r="J99" i="133"/>
  <c r="W99" i="133" s="1"/>
  <c r="J98" i="133"/>
  <c r="W98" i="133" s="1"/>
  <c r="J97" i="133"/>
  <c r="V97" i="133" s="1"/>
  <c r="J96" i="133"/>
  <c r="W96" i="133" s="1"/>
  <c r="J95" i="133"/>
  <c r="W95" i="133" s="1"/>
  <c r="J94" i="133"/>
  <c r="V94" i="133" s="1"/>
  <c r="J93" i="133"/>
  <c r="W93" i="133" s="1"/>
  <c r="J92" i="133"/>
  <c r="W92" i="133" s="1"/>
  <c r="J91" i="133"/>
  <c r="J82" i="133"/>
  <c r="W82" i="133" s="1"/>
  <c r="J81" i="133"/>
  <c r="W81" i="133" s="1"/>
  <c r="J80" i="133"/>
  <c r="W80" i="133" s="1"/>
  <c r="J79" i="133"/>
  <c r="J78" i="133"/>
  <c r="W78" i="133" s="1"/>
  <c r="J77" i="133"/>
  <c r="V77" i="133" s="1"/>
  <c r="J76" i="133"/>
  <c r="W76" i="133" s="1"/>
  <c r="J75" i="133"/>
  <c r="W75" i="133" s="1"/>
  <c r="J74" i="133"/>
  <c r="W74" i="133" s="1"/>
  <c r="J73" i="133"/>
  <c r="W73" i="133" s="1"/>
  <c r="J72" i="133"/>
  <c r="V72" i="133" s="1"/>
  <c r="J71" i="133"/>
  <c r="W71" i="133" s="1"/>
  <c r="J70" i="133"/>
  <c r="W70" i="133" s="1"/>
  <c r="J68" i="133"/>
  <c r="V68" i="133" s="1"/>
  <c r="J67" i="133"/>
  <c r="W67" i="133" s="1"/>
  <c r="J66" i="133"/>
  <c r="V66" i="133" s="1"/>
  <c r="J65" i="133"/>
  <c r="V65" i="133" s="1"/>
  <c r="J64" i="133"/>
  <c r="W64" i="133" s="1"/>
  <c r="J63" i="133"/>
  <c r="W63" i="133" s="1"/>
  <c r="J61" i="133"/>
  <c r="W61" i="133" s="1"/>
  <c r="J60" i="133"/>
  <c r="W60" i="133" s="1"/>
  <c r="J51" i="133"/>
  <c r="W51" i="133" s="1"/>
  <c r="J50" i="133"/>
  <c r="W50" i="133" s="1"/>
  <c r="J49" i="133"/>
  <c r="W49" i="133" s="1"/>
  <c r="J48" i="133"/>
  <c r="V48" i="133" s="1"/>
  <c r="J47" i="133"/>
  <c r="W47" i="133" s="1"/>
  <c r="J46" i="133"/>
  <c r="W46" i="133" s="1"/>
  <c r="J45" i="133"/>
  <c r="J44" i="133"/>
  <c r="V44" i="133" s="1"/>
  <c r="J43" i="133"/>
  <c r="W43" i="133" s="1"/>
  <c r="J42" i="133"/>
  <c r="W42" i="133" s="1"/>
  <c r="J41" i="133"/>
  <c r="W41" i="133" s="1"/>
  <c r="J40" i="133"/>
  <c r="W40" i="133" s="1"/>
  <c r="J39" i="133"/>
  <c r="V39" i="133" s="1"/>
  <c r="J38" i="133"/>
  <c r="W38" i="133" s="1"/>
  <c r="J37" i="133"/>
  <c r="W37" i="133" s="1"/>
  <c r="J36" i="133"/>
  <c r="W36" i="133" s="1"/>
  <c r="J35" i="133"/>
  <c r="W35" i="133" s="1"/>
  <c r="J34" i="133"/>
  <c r="V34" i="133" s="1"/>
  <c r="J33" i="133"/>
  <c r="W33" i="133" s="1"/>
  <c r="J32" i="133"/>
  <c r="W32" i="133" s="1"/>
  <c r="J31" i="133"/>
  <c r="W31" i="133" s="1"/>
  <c r="J30" i="133"/>
  <c r="W30" i="133" s="1"/>
  <c r="J28" i="133"/>
  <c r="W28" i="133" s="1"/>
  <c r="J27" i="133"/>
  <c r="W27" i="133" s="1"/>
  <c r="J26" i="133"/>
  <c r="W26" i="133" s="1"/>
  <c r="J25" i="133"/>
  <c r="W25" i="133" s="1"/>
  <c r="J24" i="133"/>
  <c r="W24" i="133" s="1"/>
  <c r="J23" i="133"/>
  <c r="V23" i="133" s="1"/>
  <c r="J22" i="133"/>
  <c r="V22" i="133" s="1"/>
  <c r="J21" i="133"/>
  <c r="W21" i="133" s="1"/>
  <c r="J20" i="133"/>
  <c r="W20" i="133" s="1"/>
  <c r="J19" i="133"/>
  <c r="W19" i="133" s="1"/>
  <c r="J18" i="133"/>
  <c r="W18" i="133" s="1"/>
  <c r="J17" i="133"/>
  <c r="W17" i="133" s="1"/>
  <c r="J16" i="133"/>
  <c r="V16" i="133" s="1"/>
  <c r="J15" i="133"/>
  <c r="W15" i="133" s="1"/>
  <c r="J14" i="133"/>
  <c r="W14" i="133" s="1"/>
  <c r="J13" i="133"/>
  <c r="W13" i="133" s="1"/>
  <c r="J12" i="133"/>
  <c r="W12" i="133" s="1"/>
  <c r="J11" i="133"/>
  <c r="W11" i="133" s="1"/>
  <c r="N10" i="133"/>
  <c r="J9" i="133"/>
  <c r="W9" i="133" s="1"/>
  <c r="N8" i="133"/>
  <c r="J8" i="133"/>
  <c r="W8" i="133" s="1"/>
  <c r="J7" i="133"/>
  <c r="W7" i="133" s="1"/>
  <c r="N6" i="133"/>
  <c r="J6" i="133"/>
  <c r="N4" i="133"/>
  <c r="V61" i="133" l="1"/>
  <c r="V82" i="133"/>
  <c r="W66" i="133"/>
  <c r="V81" i="133"/>
  <c r="W110" i="133"/>
  <c r="V113" i="133"/>
  <c r="V128" i="133"/>
  <c r="V143" i="133"/>
  <c r="Q12" i="134"/>
  <c r="W102" i="133"/>
  <c r="V141" i="133"/>
  <c r="W139" i="133"/>
  <c r="W138" i="133"/>
  <c r="V111" i="133"/>
  <c r="W77" i="133"/>
  <c r="V76" i="133"/>
  <c r="V131" i="133"/>
  <c r="V129" i="133"/>
  <c r="V126" i="133"/>
  <c r="W97" i="133"/>
  <c r="V92" i="133"/>
  <c r="V70" i="133"/>
  <c r="V69" i="133"/>
  <c r="W65" i="133"/>
  <c r="W34" i="133"/>
  <c r="W48" i="133"/>
  <c r="W22" i="133"/>
  <c r="V33" i="133"/>
  <c r="W39" i="133"/>
  <c r="W44" i="133"/>
  <c r="V47" i="133"/>
  <c r="V38" i="133"/>
  <c r="V43" i="133"/>
  <c r="V49" i="133"/>
  <c r="V51" i="133"/>
  <c r="V36" i="133"/>
  <c r="V17" i="133"/>
  <c r="W16" i="133"/>
  <c r="V13" i="133"/>
  <c r="V31" i="133"/>
  <c r="V29" i="133"/>
  <c r="V27" i="133"/>
  <c r="V26" i="133"/>
  <c r="W23" i="133"/>
  <c r="V21" i="133"/>
  <c r="V20" i="133"/>
  <c r="V19" i="133"/>
  <c r="V10" i="133"/>
  <c r="V125" i="133"/>
  <c r="V130" i="133"/>
  <c r="J145" i="133"/>
  <c r="W140" i="133"/>
  <c r="V122" i="133"/>
  <c r="V124" i="133"/>
  <c r="V136" i="133"/>
  <c r="V60" i="133"/>
  <c r="V7" i="133"/>
  <c r="V96" i="133"/>
  <c r="V99" i="133"/>
  <c r="V101" i="133"/>
  <c r="V93" i="133"/>
  <c r="W94" i="133"/>
  <c r="V98" i="133"/>
  <c r="V103" i="133"/>
  <c r="V109" i="133"/>
  <c r="V62" i="133"/>
  <c r="V64" i="133"/>
  <c r="V67" i="133"/>
  <c r="W68" i="133"/>
  <c r="V71" i="133"/>
  <c r="W72" i="133"/>
  <c r="V75" i="133"/>
  <c r="V78" i="133"/>
  <c r="V9" i="133"/>
  <c r="V15" i="133"/>
  <c r="V28" i="133"/>
  <c r="V37" i="133"/>
  <c r="V40" i="133"/>
  <c r="V42" i="133"/>
  <c r="V32" i="133"/>
  <c r="V8" i="133"/>
  <c r="V11" i="133"/>
  <c r="W45" i="133"/>
  <c r="V45" i="133"/>
  <c r="W79" i="133"/>
  <c r="V79" i="133"/>
  <c r="W132" i="133"/>
  <c r="V132" i="133"/>
  <c r="J83" i="133"/>
  <c r="W104" i="133"/>
  <c r="V104" i="133"/>
  <c r="W133" i="133"/>
  <c r="V133" i="133"/>
  <c r="J52" i="133"/>
  <c r="J114" i="133"/>
  <c r="W105" i="133"/>
  <c r="V105" i="133"/>
  <c r="W134" i="133"/>
  <c r="V134" i="133"/>
  <c r="V137" i="133"/>
  <c r="W137" i="133"/>
  <c r="V6" i="133"/>
  <c r="V12" i="133"/>
  <c r="V14" i="133"/>
  <c r="V18" i="133"/>
  <c r="V24" i="133"/>
  <c r="V25" i="133"/>
  <c r="V30" i="133"/>
  <c r="V35" i="133"/>
  <c r="V41" i="133"/>
  <c r="V46" i="133"/>
  <c r="V50" i="133"/>
  <c r="V63" i="133"/>
  <c r="V73" i="133"/>
  <c r="V74" i="133"/>
  <c r="V80" i="133"/>
  <c r="V91" i="133"/>
  <c r="V95" i="133"/>
  <c r="V100" i="133"/>
  <c r="V106" i="133"/>
  <c r="V107" i="133"/>
  <c r="V108" i="133"/>
  <c r="V112" i="133"/>
  <c r="V123" i="133"/>
  <c r="V127" i="133"/>
  <c r="V135" i="133"/>
  <c r="V142" i="133"/>
  <c r="W6" i="133"/>
  <c r="W91" i="133"/>
  <c r="N12" i="133"/>
  <c r="H45" i="132"/>
  <c r="H79" i="132"/>
  <c r="H140" i="132"/>
  <c r="H139" i="132"/>
  <c r="W145" i="133" l="1"/>
  <c r="P10" i="133" s="1"/>
  <c r="W83" i="133"/>
  <c r="P6" i="133" s="1"/>
  <c r="V145" i="133"/>
  <c r="O10" i="133" s="1"/>
  <c r="Q10" i="133" s="1"/>
  <c r="W114" i="133"/>
  <c r="P8" i="133" s="1"/>
  <c r="W52" i="133"/>
  <c r="P4" i="133" s="1"/>
  <c r="V83" i="133"/>
  <c r="O6" i="133" s="1"/>
  <c r="R6" i="133" s="1"/>
  <c r="V52" i="133"/>
  <c r="O4" i="133" s="1"/>
  <c r="V114" i="133"/>
  <c r="O8" i="133" s="1"/>
  <c r="H77" i="132"/>
  <c r="H108" i="132"/>
  <c r="H68" i="132"/>
  <c r="R10" i="133" l="1"/>
  <c r="P12" i="133"/>
  <c r="R8" i="133"/>
  <c r="Q8" i="133"/>
  <c r="O12" i="133"/>
  <c r="R12" i="133" s="1"/>
  <c r="P14" i="133" s="1"/>
  <c r="R4" i="133"/>
  <c r="Q4" i="133"/>
  <c r="H132" i="132"/>
  <c r="H134" i="132"/>
  <c r="Q12" i="133" l="1"/>
  <c r="H39" i="132"/>
  <c r="H37" i="132"/>
  <c r="H32" i="132"/>
  <c r="H74" i="132"/>
  <c r="H107" i="132"/>
  <c r="H105" i="132"/>
  <c r="H104" i="132"/>
  <c r="H137" i="132"/>
  <c r="J73" i="132" l="1"/>
  <c r="V73" i="132" s="1"/>
  <c r="H133" i="132"/>
  <c r="J133" i="132" s="1"/>
  <c r="W133" i="132" s="1"/>
  <c r="H71" i="132"/>
  <c r="H28" i="132"/>
  <c r="J28" i="132" s="1"/>
  <c r="W28" i="132" s="1"/>
  <c r="H70" i="132"/>
  <c r="H25" i="132"/>
  <c r="H69" i="132"/>
  <c r="H130" i="132"/>
  <c r="J130" i="132" s="1"/>
  <c r="H21" i="132"/>
  <c r="H20" i="132"/>
  <c r="J20" i="132" s="1"/>
  <c r="V20" i="132" s="1"/>
  <c r="H67" i="132"/>
  <c r="H98" i="132"/>
  <c r="J98" i="132" s="1"/>
  <c r="W98" i="132" s="1"/>
  <c r="H66" i="132"/>
  <c r="H14" i="132"/>
  <c r="J14" i="132" s="1"/>
  <c r="W14" i="132" s="1"/>
  <c r="H12" i="132"/>
  <c r="H11" i="132"/>
  <c r="J11" i="132" s="1"/>
  <c r="H10" i="132"/>
  <c r="H61" i="132"/>
  <c r="J61" i="132" s="1"/>
  <c r="H60" i="132"/>
  <c r="H6" i="132"/>
  <c r="J6" i="132" s="1"/>
  <c r="V6" i="132" s="1"/>
  <c r="J144" i="132"/>
  <c r="V144" i="132" s="1"/>
  <c r="J143" i="132"/>
  <c r="W143" i="132" s="1"/>
  <c r="J142" i="132"/>
  <c r="W142" i="132" s="1"/>
  <c r="J141" i="132"/>
  <c r="W141" i="132" s="1"/>
  <c r="J140" i="132"/>
  <c r="V140" i="132" s="1"/>
  <c r="J139" i="132"/>
  <c r="W139" i="132" s="1"/>
  <c r="J138" i="132"/>
  <c r="W138" i="132" s="1"/>
  <c r="J137" i="132"/>
  <c r="J136" i="132"/>
  <c r="W136" i="132" s="1"/>
  <c r="J135" i="132"/>
  <c r="V135" i="132" s="1"/>
  <c r="J134" i="132"/>
  <c r="W134" i="132" s="1"/>
  <c r="J132" i="132"/>
  <c r="W132" i="132" s="1"/>
  <c r="J131" i="132"/>
  <c r="V131" i="132" s="1"/>
  <c r="J129" i="132"/>
  <c r="W129" i="132" s="1"/>
  <c r="J128" i="132"/>
  <c r="W128" i="132" s="1"/>
  <c r="J127" i="132"/>
  <c r="W127" i="132" s="1"/>
  <c r="J126" i="132"/>
  <c r="J125" i="132"/>
  <c r="W125" i="132" s="1"/>
  <c r="J124" i="132"/>
  <c r="V124" i="132" s="1"/>
  <c r="J123" i="132"/>
  <c r="V123" i="132" s="1"/>
  <c r="J122" i="132"/>
  <c r="V122" i="132" s="1"/>
  <c r="J113" i="132"/>
  <c r="V113" i="132" s="1"/>
  <c r="J112" i="132"/>
  <c r="V112" i="132" s="1"/>
  <c r="J111" i="132"/>
  <c r="W111" i="132" s="1"/>
  <c r="J110" i="132"/>
  <c r="W110" i="132" s="1"/>
  <c r="J109" i="132"/>
  <c r="W109" i="132" s="1"/>
  <c r="J108" i="132"/>
  <c r="W108" i="132" s="1"/>
  <c r="J107" i="132"/>
  <c r="W107" i="132" s="1"/>
  <c r="J106" i="132"/>
  <c r="V106" i="132" s="1"/>
  <c r="J105" i="132"/>
  <c r="W105" i="132" s="1"/>
  <c r="J104" i="132"/>
  <c r="W104" i="132" s="1"/>
  <c r="J103" i="132"/>
  <c r="J102" i="132"/>
  <c r="J101" i="132"/>
  <c r="W101" i="132" s="1"/>
  <c r="J100" i="132"/>
  <c r="V100" i="132" s="1"/>
  <c r="J99" i="132"/>
  <c r="J97" i="132"/>
  <c r="W97" i="132" s="1"/>
  <c r="J96" i="132"/>
  <c r="J95" i="132"/>
  <c r="W95" i="132" s="1"/>
  <c r="J94" i="132"/>
  <c r="V94" i="132" s="1"/>
  <c r="J93" i="132"/>
  <c r="J92" i="132"/>
  <c r="W92" i="132" s="1"/>
  <c r="J91" i="132"/>
  <c r="W91" i="132" s="1"/>
  <c r="J82" i="132"/>
  <c r="V82" i="132" s="1"/>
  <c r="V81" i="132"/>
  <c r="J81" i="132"/>
  <c r="W81" i="132" s="1"/>
  <c r="J80" i="132"/>
  <c r="W80" i="132" s="1"/>
  <c r="J79" i="132"/>
  <c r="W79" i="132" s="1"/>
  <c r="J78" i="132"/>
  <c r="J77" i="132"/>
  <c r="W77" i="132" s="1"/>
  <c r="J76" i="132"/>
  <c r="V76" i="132" s="1"/>
  <c r="J75" i="132"/>
  <c r="V75" i="132" s="1"/>
  <c r="W74" i="132"/>
  <c r="J74" i="132"/>
  <c r="V74" i="132" s="1"/>
  <c r="J72" i="132"/>
  <c r="J71" i="132"/>
  <c r="J70" i="132"/>
  <c r="J69" i="132"/>
  <c r="W69" i="132" s="1"/>
  <c r="J68" i="132"/>
  <c r="W68" i="132" s="1"/>
  <c r="J67" i="132"/>
  <c r="J66" i="132"/>
  <c r="J65" i="132"/>
  <c r="W65" i="132" s="1"/>
  <c r="J64" i="132"/>
  <c r="V64" i="132" s="1"/>
  <c r="J63" i="132"/>
  <c r="V63" i="132" s="1"/>
  <c r="J62" i="132"/>
  <c r="V62" i="132" s="1"/>
  <c r="J60" i="132"/>
  <c r="J51" i="132"/>
  <c r="W51" i="132" s="1"/>
  <c r="J50" i="132"/>
  <c r="W50" i="132" s="1"/>
  <c r="J49" i="132"/>
  <c r="V49" i="132" s="1"/>
  <c r="J48" i="132"/>
  <c r="W48" i="132" s="1"/>
  <c r="J47" i="132"/>
  <c r="W47" i="132" s="1"/>
  <c r="J46" i="132"/>
  <c r="W46" i="132" s="1"/>
  <c r="J45" i="132"/>
  <c r="V45" i="132" s="1"/>
  <c r="J44" i="132"/>
  <c r="V44" i="132" s="1"/>
  <c r="J43" i="132"/>
  <c r="W43" i="132" s="1"/>
  <c r="J42" i="132"/>
  <c r="W42" i="132" s="1"/>
  <c r="J41" i="132"/>
  <c r="W41" i="132" s="1"/>
  <c r="J40" i="132"/>
  <c r="V40" i="132" s="1"/>
  <c r="J39" i="132"/>
  <c r="V39" i="132" s="1"/>
  <c r="J38" i="132"/>
  <c r="W38" i="132" s="1"/>
  <c r="J37" i="132"/>
  <c r="W37" i="132" s="1"/>
  <c r="J36" i="132"/>
  <c r="W36" i="132" s="1"/>
  <c r="J35" i="132"/>
  <c r="V35" i="132" s="1"/>
  <c r="J34" i="132"/>
  <c r="V34" i="132" s="1"/>
  <c r="J33" i="132"/>
  <c r="V33" i="132" s="1"/>
  <c r="J32" i="132"/>
  <c r="V32" i="132" s="1"/>
  <c r="J31" i="132"/>
  <c r="V31" i="132" s="1"/>
  <c r="J30" i="132"/>
  <c r="W30" i="132" s="1"/>
  <c r="J29" i="132"/>
  <c r="W29" i="132" s="1"/>
  <c r="J27" i="132"/>
  <c r="W27" i="132" s="1"/>
  <c r="J26" i="132"/>
  <c r="V26" i="132" s="1"/>
  <c r="J25" i="132"/>
  <c r="J24" i="132"/>
  <c r="J23" i="132"/>
  <c r="W23" i="132" s="1"/>
  <c r="J22" i="132"/>
  <c r="W22" i="132" s="1"/>
  <c r="J21" i="132"/>
  <c r="W21" i="132" s="1"/>
  <c r="J19" i="132"/>
  <c r="W19" i="132" s="1"/>
  <c r="J18" i="132"/>
  <c r="W18" i="132" s="1"/>
  <c r="J17" i="132"/>
  <c r="W17" i="132" s="1"/>
  <c r="J16" i="132"/>
  <c r="V16" i="132" s="1"/>
  <c r="J15" i="132"/>
  <c r="J13" i="132"/>
  <c r="J12" i="132"/>
  <c r="W12" i="132" s="1"/>
  <c r="N10" i="132"/>
  <c r="J10" i="132"/>
  <c r="W10" i="132" s="1"/>
  <c r="J9" i="132"/>
  <c r="W9" i="132" s="1"/>
  <c r="N8" i="132"/>
  <c r="J8" i="132"/>
  <c r="J7" i="132"/>
  <c r="W7" i="132" s="1"/>
  <c r="N6" i="132"/>
  <c r="N4" i="132"/>
  <c r="H137" i="131"/>
  <c r="H129" i="131"/>
  <c r="H128" i="131"/>
  <c r="H126" i="131"/>
  <c r="H124" i="131"/>
  <c r="W113" i="132" l="1"/>
  <c r="W124" i="132"/>
  <c r="W112" i="132"/>
  <c r="W82" i="132"/>
  <c r="W35" i="132"/>
  <c r="V50" i="132"/>
  <c r="V41" i="132"/>
  <c r="V48" i="132"/>
  <c r="W49" i="132"/>
  <c r="W33" i="132"/>
  <c r="V46" i="132"/>
  <c r="W45" i="132"/>
  <c r="W44" i="132"/>
  <c r="V43" i="132"/>
  <c r="W31" i="132"/>
  <c r="V132" i="132"/>
  <c r="V134" i="132"/>
  <c r="W39" i="132"/>
  <c r="V36" i="132"/>
  <c r="W34" i="132"/>
  <c r="W76" i="132"/>
  <c r="V107" i="132"/>
  <c r="V105" i="132"/>
  <c r="V136" i="132"/>
  <c r="W26" i="132"/>
  <c r="V101" i="132"/>
  <c r="V69" i="132"/>
  <c r="W130" i="132"/>
  <c r="V130" i="132"/>
  <c r="V23" i="132"/>
  <c r="W20" i="132"/>
  <c r="W16" i="132"/>
  <c r="V65" i="132"/>
  <c r="V95" i="132"/>
  <c r="W63" i="132"/>
  <c r="W94" i="132"/>
  <c r="V10" i="132"/>
  <c r="V125" i="132"/>
  <c r="V139" i="132"/>
  <c r="V141" i="132"/>
  <c r="V143" i="132"/>
  <c r="W131" i="132"/>
  <c r="W135" i="132"/>
  <c r="W123" i="132"/>
  <c r="W140" i="132"/>
  <c r="W144" i="132"/>
  <c r="V98" i="132"/>
  <c r="W106" i="132"/>
  <c r="V92" i="132"/>
  <c r="W100" i="132"/>
  <c r="V111" i="132"/>
  <c r="N12" i="132"/>
  <c r="W62" i="132"/>
  <c r="W64" i="132"/>
  <c r="W73" i="132"/>
  <c r="W75" i="132"/>
  <c r="V77" i="132"/>
  <c r="V9" i="132"/>
  <c r="V14" i="132"/>
  <c r="V19" i="132"/>
  <c r="V21" i="132"/>
  <c r="V38" i="132"/>
  <c r="W40" i="132"/>
  <c r="V12" i="132"/>
  <c r="V17" i="132"/>
  <c r="V27" i="132"/>
  <c r="V30" i="132"/>
  <c r="W32" i="132"/>
  <c r="W8" i="132"/>
  <c r="V8" i="132"/>
  <c r="J83" i="132"/>
  <c r="W60" i="132"/>
  <c r="V60" i="132"/>
  <c r="W66" i="132"/>
  <c r="V66" i="132"/>
  <c r="V24" i="132"/>
  <c r="W24" i="132"/>
  <c r="V61" i="132"/>
  <c r="W61" i="132"/>
  <c r="W67" i="132"/>
  <c r="V67" i="132"/>
  <c r="W70" i="132"/>
  <c r="V70" i="132"/>
  <c r="W78" i="132"/>
  <c r="V78" i="132"/>
  <c r="W96" i="132"/>
  <c r="V96" i="132"/>
  <c r="V99" i="132"/>
  <c r="W99" i="132"/>
  <c r="W126" i="132"/>
  <c r="V126" i="132"/>
  <c r="V25" i="132"/>
  <c r="W25" i="132"/>
  <c r="V71" i="132"/>
  <c r="W71" i="132"/>
  <c r="W102" i="132"/>
  <c r="V102" i="132"/>
  <c r="W137" i="132"/>
  <c r="V137" i="132"/>
  <c r="W11" i="132"/>
  <c r="V11" i="132"/>
  <c r="W93" i="132"/>
  <c r="V93" i="132"/>
  <c r="J52" i="132"/>
  <c r="W15" i="132"/>
  <c r="V15" i="132"/>
  <c r="V7" i="132"/>
  <c r="W13" i="132"/>
  <c r="V13" i="132"/>
  <c r="W72" i="132"/>
  <c r="V72" i="132"/>
  <c r="W103" i="132"/>
  <c r="V103" i="132"/>
  <c r="J145" i="132"/>
  <c r="J114" i="132"/>
  <c r="W6" i="132"/>
  <c r="V18" i="132"/>
  <c r="V22" i="132"/>
  <c r="V28" i="132"/>
  <c r="V29" i="132"/>
  <c r="V37" i="132"/>
  <c r="V42" i="132"/>
  <c r="V47" i="132"/>
  <c r="V51" i="132"/>
  <c r="V68" i="132"/>
  <c r="V79" i="132"/>
  <c r="V80" i="132"/>
  <c r="V91" i="132"/>
  <c r="V97" i="132"/>
  <c r="V104" i="132"/>
  <c r="V108" i="132"/>
  <c r="V109" i="132"/>
  <c r="V110" i="132"/>
  <c r="W122" i="132"/>
  <c r="V127" i="132"/>
  <c r="V128" i="132"/>
  <c r="V129" i="132"/>
  <c r="V133" i="132"/>
  <c r="V138" i="132"/>
  <c r="V142" i="132"/>
  <c r="N10" i="131"/>
  <c r="J144" i="131"/>
  <c r="V144" i="131" s="1"/>
  <c r="J143" i="131"/>
  <c r="V143" i="131" s="1"/>
  <c r="J142" i="131"/>
  <c r="V142" i="131" s="1"/>
  <c r="J141" i="131"/>
  <c r="V141" i="131" s="1"/>
  <c r="J140" i="131"/>
  <c r="V140" i="131" s="1"/>
  <c r="J139" i="131"/>
  <c r="W139" i="131" s="1"/>
  <c r="J138" i="131"/>
  <c r="V138" i="131" s="1"/>
  <c r="J137" i="131"/>
  <c r="V137" i="131" s="1"/>
  <c r="J136" i="131"/>
  <c r="V136" i="131" s="1"/>
  <c r="J135" i="131"/>
  <c r="V135" i="131" s="1"/>
  <c r="J134" i="131"/>
  <c r="V134" i="131" s="1"/>
  <c r="J133" i="131"/>
  <c r="V133" i="131" s="1"/>
  <c r="J132" i="131"/>
  <c r="V132" i="131" s="1"/>
  <c r="J131" i="131"/>
  <c r="V131" i="131" s="1"/>
  <c r="J130" i="131"/>
  <c r="V130" i="131" s="1"/>
  <c r="J129" i="131"/>
  <c r="V129" i="131" s="1"/>
  <c r="J128" i="131"/>
  <c r="V128" i="131" s="1"/>
  <c r="J127" i="131"/>
  <c r="V127" i="131" s="1"/>
  <c r="J126" i="131"/>
  <c r="V126" i="131" s="1"/>
  <c r="J125" i="131"/>
  <c r="V125" i="131" s="1"/>
  <c r="J124" i="131"/>
  <c r="V124" i="131" s="1"/>
  <c r="J123" i="131"/>
  <c r="V123" i="131" s="1"/>
  <c r="J122" i="131"/>
  <c r="W122" i="131" s="1"/>
  <c r="W144" i="131" l="1"/>
  <c r="V139" i="131"/>
  <c r="W140" i="131"/>
  <c r="W143" i="131"/>
  <c r="V145" i="132"/>
  <c r="O10" i="132" s="1"/>
  <c r="R10" i="132" s="1"/>
  <c r="W145" i="132"/>
  <c r="P10" i="132" s="1"/>
  <c r="W114" i="132"/>
  <c r="P8" i="132" s="1"/>
  <c r="V114" i="132"/>
  <c r="O8" i="132" s="1"/>
  <c r="R8" i="132" s="1"/>
  <c r="W83" i="132"/>
  <c r="P6" i="132" s="1"/>
  <c r="W52" i="132"/>
  <c r="P4" i="132" s="1"/>
  <c r="V52" i="132"/>
  <c r="O4" i="132" s="1"/>
  <c r="V83" i="132"/>
  <c r="O6" i="132" s="1"/>
  <c r="W136" i="131"/>
  <c r="W135" i="131"/>
  <c r="W132" i="131"/>
  <c r="W131" i="131"/>
  <c r="W128" i="131"/>
  <c r="W127" i="131"/>
  <c r="W124" i="131"/>
  <c r="W123" i="131"/>
  <c r="V122" i="131"/>
  <c r="V145" i="131"/>
  <c r="O10" i="131" s="1"/>
  <c r="W141" i="131"/>
  <c r="W137" i="131"/>
  <c r="W133" i="131"/>
  <c r="W129" i="131"/>
  <c r="W125" i="131"/>
  <c r="W142" i="131"/>
  <c r="W138" i="131"/>
  <c r="W134" i="131"/>
  <c r="W130" i="131"/>
  <c r="W126" i="131"/>
  <c r="J145" i="131"/>
  <c r="H45" i="131"/>
  <c r="H80" i="131"/>
  <c r="H78" i="131"/>
  <c r="H110" i="131"/>
  <c r="H109" i="131"/>
  <c r="Q4" i="132" l="1"/>
  <c r="Q10" i="132"/>
  <c r="R4" i="132"/>
  <c r="P12" i="132"/>
  <c r="Q8" i="132"/>
  <c r="R6" i="132"/>
  <c r="Q6" i="132"/>
  <c r="O12" i="132"/>
  <c r="R12" i="132" s="1"/>
  <c r="P14" i="132" s="1"/>
  <c r="W145" i="131"/>
  <c r="P10" i="131" s="1"/>
  <c r="R10" i="131"/>
  <c r="H40" i="131"/>
  <c r="H76" i="131"/>
  <c r="H75" i="131"/>
  <c r="H74" i="131"/>
  <c r="H35" i="131"/>
  <c r="H34" i="131"/>
  <c r="H25" i="131"/>
  <c r="Q12" i="132" l="1"/>
  <c r="Q10" i="131"/>
  <c r="H33" i="131"/>
  <c r="H32" i="131"/>
  <c r="H103" i="131"/>
  <c r="H72" i="131"/>
  <c r="H29" i="131"/>
  <c r="H71" i="131"/>
  <c r="H102" i="131"/>
  <c r="H70" i="131"/>
  <c r="H24" i="131"/>
  <c r="H99" i="131"/>
  <c r="H67" i="131"/>
  <c r="H66" i="131"/>
  <c r="H96" i="131"/>
  <c r="H64" i="131"/>
  <c r="H15" i="131"/>
  <c r="H93" i="131" l="1"/>
  <c r="H63" i="131"/>
  <c r="H13" i="131"/>
  <c r="J13" i="131" s="1"/>
  <c r="H11" i="131"/>
  <c r="J11" i="131" s="1"/>
  <c r="W11" i="131" s="1"/>
  <c r="H8" i="131"/>
  <c r="H61" i="131"/>
  <c r="H60" i="131"/>
  <c r="H7" i="131"/>
  <c r="J7" i="131" s="1"/>
  <c r="W7" i="131" s="1"/>
  <c r="J113" i="131"/>
  <c r="J112" i="131"/>
  <c r="W112" i="131" s="1"/>
  <c r="J111" i="131"/>
  <c r="W111" i="131" s="1"/>
  <c r="J110" i="131"/>
  <c r="W110" i="131" s="1"/>
  <c r="J109" i="131"/>
  <c r="W109" i="131" s="1"/>
  <c r="J108" i="131"/>
  <c r="V108" i="131" s="1"/>
  <c r="J107" i="131"/>
  <c r="J106" i="131"/>
  <c r="W106" i="131" s="1"/>
  <c r="J105" i="131"/>
  <c r="V105" i="131" s="1"/>
  <c r="J104" i="131"/>
  <c r="V104" i="131" s="1"/>
  <c r="J103" i="131"/>
  <c r="V103" i="131" s="1"/>
  <c r="J102" i="131"/>
  <c r="V102" i="131" s="1"/>
  <c r="J101" i="131"/>
  <c r="J100" i="131"/>
  <c r="W100" i="131" s="1"/>
  <c r="J99" i="131"/>
  <c r="V99" i="131" s="1"/>
  <c r="J98" i="131"/>
  <c r="W98" i="131" s="1"/>
  <c r="J97" i="131"/>
  <c r="W97" i="131" s="1"/>
  <c r="J96" i="131"/>
  <c r="J95" i="131"/>
  <c r="J94" i="131"/>
  <c r="J93" i="131"/>
  <c r="J92" i="131"/>
  <c r="J91" i="131"/>
  <c r="W91" i="131" s="1"/>
  <c r="J82" i="131"/>
  <c r="J81" i="131"/>
  <c r="W81" i="131" s="1"/>
  <c r="J80" i="131"/>
  <c r="V80" i="131" s="1"/>
  <c r="J79" i="131"/>
  <c r="V79" i="131" s="1"/>
  <c r="J78" i="131"/>
  <c r="W78" i="131" s="1"/>
  <c r="J77" i="131"/>
  <c r="V77" i="131" s="1"/>
  <c r="J76" i="131"/>
  <c r="J75" i="131"/>
  <c r="J74" i="131"/>
  <c r="J73" i="131"/>
  <c r="W73" i="131" s="1"/>
  <c r="J72" i="131"/>
  <c r="W72" i="131" s="1"/>
  <c r="J71" i="131"/>
  <c r="W71" i="131" s="1"/>
  <c r="J70" i="131"/>
  <c r="W70" i="131" s="1"/>
  <c r="J69" i="131"/>
  <c r="V69" i="131" s="1"/>
  <c r="J68" i="131"/>
  <c r="W68" i="131" s="1"/>
  <c r="J67" i="131"/>
  <c r="W67" i="131" s="1"/>
  <c r="J66" i="131"/>
  <c r="W66" i="131" s="1"/>
  <c r="J65" i="131"/>
  <c r="J64" i="131"/>
  <c r="J63" i="131"/>
  <c r="W63" i="131" s="1"/>
  <c r="J62" i="131"/>
  <c r="V62" i="131" s="1"/>
  <c r="J61" i="131"/>
  <c r="W61" i="131" s="1"/>
  <c r="J60" i="131"/>
  <c r="V60" i="131" s="1"/>
  <c r="J51" i="131"/>
  <c r="J50" i="131"/>
  <c r="W50" i="131" s="1"/>
  <c r="J49" i="131"/>
  <c r="W49" i="131" s="1"/>
  <c r="J48" i="131"/>
  <c r="W48" i="131" s="1"/>
  <c r="J47" i="131"/>
  <c r="J46" i="131"/>
  <c r="J45" i="131"/>
  <c r="W45" i="131" s="1"/>
  <c r="J44" i="131"/>
  <c r="V44" i="131" s="1"/>
  <c r="J43" i="131"/>
  <c r="V43" i="131" s="1"/>
  <c r="J42" i="131"/>
  <c r="J41" i="131"/>
  <c r="W41" i="131" s="1"/>
  <c r="J40" i="131"/>
  <c r="V40" i="131" s="1"/>
  <c r="J39" i="131"/>
  <c r="W39" i="131" s="1"/>
  <c r="J38" i="131"/>
  <c r="V38" i="131" s="1"/>
  <c r="J37" i="131"/>
  <c r="J36" i="131"/>
  <c r="J35" i="131"/>
  <c r="J34" i="131"/>
  <c r="J33" i="131"/>
  <c r="W33" i="131" s="1"/>
  <c r="J32" i="131"/>
  <c r="V32" i="131" s="1"/>
  <c r="J31" i="131"/>
  <c r="W31" i="131" s="1"/>
  <c r="J30" i="131"/>
  <c r="V30" i="131" s="1"/>
  <c r="J29" i="131"/>
  <c r="J28" i="131"/>
  <c r="J27" i="131"/>
  <c r="W27" i="131" s="1"/>
  <c r="J26" i="131"/>
  <c r="J25" i="131"/>
  <c r="V25" i="131" s="1"/>
  <c r="J24" i="131"/>
  <c r="W24" i="131" s="1"/>
  <c r="J23" i="131"/>
  <c r="W23" i="131" s="1"/>
  <c r="J22" i="131"/>
  <c r="V22" i="131" s="1"/>
  <c r="J21" i="131"/>
  <c r="W21" i="131" s="1"/>
  <c r="J20" i="131"/>
  <c r="W20" i="131" s="1"/>
  <c r="J19" i="131"/>
  <c r="W19" i="131" s="1"/>
  <c r="J18" i="131"/>
  <c r="W18" i="131" s="1"/>
  <c r="J17" i="131"/>
  <c r="V17" i="131" s="1"/>
  <c r="J16" i="131"/>
  <c r="V16" i="131" s="1"/>
  <c r="J15" i="131"/>
  <c r="W15" i="131" s="1"/>
  <c r="J14" i="131"/>
  <c r="W14" i="131" s="1"/>
  <c r="J12" i="131"/>
  <c r="W12" i="131" s="1"/>
  <c r="J10" i="131"/>
  <c r="W10" i="131" s="1"/>
  <c r="J9" i="131"/>
  <c r="W9" i="131" s="1"/>
  <c r="N8" i="131"/>
  <c r="J8" i="131"/>
  <c r="W8" i="131" s="1"/>
  <c r="N6" i="131"/>
  <c r="J6" i="131"/>
  <c r="N4" i="131"/>
  <c r="N12" i="131" l="1"/>
  <c r="W102" i="131"/>
  <c r="V9" i="131"/>
  <c r="W38" i="131"/>
  <c r="V49" i="131"/>
  <c r="V18" i="131"/>
  <c r="V97" i="131"/>
  <c r="W30" i="131"/>
  <c r="W44" i="131"/>
  <c r="W43" i="131"/>
  <c r="W69" i="131"/>
  <c r="V111" i="131"/>
  <c r="V109" i="131"/>
  <c r="W108" i="131"/>
  <c r="W77" i="131"/>
  <c r="W25" i="131"/>
  <c r="W103" i="131"/>
  <c r="V72" i="131"/>
  <c r="W99" i="131"/>
  <c r="V68" i="131"/>
  <c r="V66" i="131"/>
  <c r="V14" i="131"/>
  <c r="V61" i="131"/>
  <c r="V91" i="131"/>
  <c r="W60" i="131"/>
  <c r="V21" i="131"/>
  <c r="V23" i="131"/>
  <c r="V48" i="131"/>
  <c r="V8" i="131"/>
  <c r="V10" i="131"/>
  <c r="V15" i="131"/>
  <c r="V20" i="131"/>
  <c r="V31" i="131"/>
  <c r="V39" i="131"/>
  <c r="W62" i="131"/>
  <c r="V67" i="131"/>
  <c r="V71" i="131"/>
  <c r="V70" i="131"/>
  <c r="V78" i="131"/>
  <c r="V98" i="131"/>
  <c r="V110" i="131"/>
  <c r="W105" i="131"/>
  <c r="W13" i="131"/>
  <c r="V13" i="131"/>
  <c r="J52" i="131"/>
  <c r="W6" i="131"/>
  <c r="V6" i="131"/>
  <c r="W35" i="131"/>
  <c r="V35" i="131"/>
  <c r="W96" i="131"/>
  <c r="V96" i="131"/>
  <c r="V7" i="131"/>
  <c r="W17" i="131"/>
  <c r="V19" i="131"/>
  <c r="V27" i="131"/>
  <c r="W29" i="131"/>
  <c r="V29" i="131"/>
  <c r="W32" i="131"/>
  <c r="W36" i="131"/>
  <c r="V36" i="131"/>
  <c r="W42" i="131"/>
  <c r="V42" i="131"/>
  <c r="W46" i="131"/>
  <c r="V46" i="131"/>
  <c r="J83" i="131"/>
  <c r="W76" i="131"/>
  <c r="V76" i="131"/>
  <c r="W79" i="131"/>
  <c r="W82" i="131"/>
  <c r="V82" i="131"/>
  <c r="W75" i="131"/>
  <c r="V75" i="131"/>
  <c r="W94" i="131"/>
  <c r="V94" i="131"/>
  <c r="V11" i="131"/>
  <c r="W16" i="131"/>
  <c r="W22" i="131"/>
  <c r="V24" i="131"/>
  <c r="W47" i="131"/>
  <c r="V47" i="131"/>
  <c r="W51" i="131"/>
  <c r="V51" i="131"/>
  <c r="W64" i="131"/>
  <c r="V64" i="131"/>
  <c r="J114" i="131"/>
  <c r="W95" i="131"/>
  <c r="V95" i="131"/>
  <c r="W101" i="131"/>
  <c r="V101" i="131"/>
  <c r="W104" i="131"/>
  <c r="W107" i="131"/>
  <c r="V107" i="131"/>
  <c r="W113" i="131"/>
  <c r="V113" i="131"/>
  <c r="V12" i="131"/>
  <c r="W26" i="131"/>
  <c r="V26" i="131"/>
  <c r="W28" i="131"/>
  <c r="V28" i="131"/>
  <c r="W34" i="131"/>
  <c r="V34" i="131"/>
  <c r="W37" i="131"/>
  <c r="V37" i="131"/>
  <c r="W40" i="131"/>
  <c r="W65" i="131"/>
  <c r="V65" i="131"/>
  <c r="W74" i="131"/>
  <c r="V74" i="131"/>
  <c r="W80" i="131"/>
  <c r="W93" i="131"/>
  <c r="V93" i="131"/>
  <c r="V33" i="131"/>
  <c r="V41" i="131"/>
  <c r="V45" i="131"/>
  <c r="V50" i="131"/>
  <c r="V63" i="131"/>
  <c r="V73" i="131"/>
  <c r="V81" i="131"/>
  <c r="V92" i="131"/>
  <c r="V100" i="131"/>
  <c r="V106" i="131"/>
  <c r="V112" i="131"/>
  <c r="W92" i="131"/>
  <c r="H46" i="130"/>
  <c r="J111" i="130"/>
  <c r="H80" i="130"/>
  <c r="W83" i="131" l="1"/>
  <c r="P6" i="131" s="1"/>
  <c r="V83" i="131"/>
  <c r="O6" i="131" s="1"/>
  <c r="R6" i="131" s="1"/>
  <c r="W114" i="131"/>
  <c r="P8" i="131" s="1"/>
  <c r="V114" i="131"/>
  <c r="O8" i="131" s="1"/>
  <c r="W52" i="131"/>
  <c r="P4" i="131" s="1"/>
  <c r="V52" i="131"/>
  <c r="O4" i="131" s="1"/>
  <c r="H110" i="130"/>
  <c r="H79" i="130"/>
  <c r="H109" i="130"/>
  <c r="H40" i="130"/>
  <c r="O12" i="131" l="1"/>
  <c r="R12" i="131" s="1"/>
  <c r="P12" i="131"/>
  <c r="Q6" i="131"/>
  <c r="R8" i="131"/>
  <c r="Q8" i="131"/>
  <c r="R4" i="131"/>
  <c r="P14" i="131"/>
  <c r="Q4" i="131"/>
  <c r="H37" i="130"/>
  <c r="H35" i="130"/>
  <c r="H34" i="130"/>
  <c r="H32" i="130"/>
  <c r="H75" i="130"/>
  <c r="H74" i="130"/>
  <c r="H105" i="130"/>
  <c r="H104" i="130"/>
  <c r="Q12" i="131" l="1"/>
  <c r="H95" i="130"/>
  <c r="H6" i="130"/>
  <c r="H17" i="130"/>
  <c r="H8" i="130"/>
  <c r="H7" i="130"/>
  <c r="H9" i="130"/>
  <c r="H71" i="130"/>
  <c r="H29" i="130"/>
  <c r="H28" i="130"/>
  <c r="H70" i="130" l="1"/>
  <c r="H69" i="130"/>
  <c r="H99" i="130"/>
  <c r="H68" i="130"/>
  <c r="H21" i="130"/>
  <c r="H67" i="130"/>
  <c r="H96" i="130"/>
  <c r="H64" i="130"/>
  <c r="H13" i="130"/>
  <c r="H12" i="130"/>
  <c r="H93" i="130"/>
  <c r="H62" i="130"/>
  <c r="H10" i="130"/>
  <c r="H60" i="130"/>
  <c r="J113" i="130" l="1"/>
  <c r="V113" i="130" s="1"/>
  <c r="J112" i="130"/>
  <c r="W112" i="130" s="1"/>
  <c r="W111" i="130"/>
  <c r="V111" i="130"/>
  <c r="J110" i="130"/>
  <c r="V110" i="130" s="1"/>
  <c r="J109" i="130"/>
  <c r="W109" i="130" s="1"/>
  <c r="J108" i="130"/>
  <c r="W108" i="130" s="1"/>
  <c r="J107" i="130"/>
  <c r="W107" i="130" s="1"/>
  <c r="J106" i="130"/>
  <c r="W106" i="130" s="1"/>
  <c r="J105" i="130"/>
  <c r="V105" i="130" s="1"/>
  <c r="J104" i="130"/>
  <c r="W104" i="130" s="1"/>
  <c r="J103" i="130"/>
  <c r="W103" i="130" s="1"/>
  <c r="J102" i="130"/>
  <c r="W102" i="130" s="1"/>
  <c r="J101" i="130"/>
  <c r="W101" i="130" s="1"/>
  <c r="J100" i="130"/>
  <c r="V100" i="130" s="1"/>
  <c r="J99" i="130"/>
  <c r="V99" i="130" s="1"/>
  <c r="J98" i="130"/>
  <c r="W98" i="130" s="1"/>
  <c r="J97" i="130"/>
  <c r="W97" i="130" s="1"/>
  <c r="J96" i="130"/>
  <c r="J95" i="130"/>
  <c r="W95" i="130" s="1"/>
  <c r="J94" i="130"/>
  <c r="V94" i="130" s="1"/>
  <c r="J93" i="130"/>
  <c r="W93" i="130" s="1"/>
  <c r="J92" i="130"/>
  <c r="W92" i="130" s="1"/>
  <c r="J91" i="130"/>
  <c r="J82" i="130"/>
  <c r="V82" i="130" s="1"/>
  <c r="J81" i="130"/>
  <c r="W81" i="130" s="1"/>
  <c r="J80" i="130"/>
  <c r="W80" i="130" s="1"/>
  <c r="J79" i="130"/>
  <c r="W79" i="130" s="1"/>
  <c r="J78" i="130"/>
  <c r="J77" i="130"/>
  <c r="V77" i="130" s="1"/>
  <c r="J76" i="130"/>
  <c r="J75" i="130"/>
  <c r="W75" i="130" s="1"/>
  <c r="J74" i="130"/>
  <c r="W74" i="130" s="1"/>
  <c r="J73" i="130"/>
  <c r="W73" i="130" s="1"/>
  <c r="J72" i="130"/>
  <c r="W72" i="130" s="1"/>
  <c r="J71" i="130"/>
  <c r="J70" i="130"/>
  <c r="J69" i="130"/>
  <c r="J68" i="130"/>
  <c r="J67" i="130"/>
  <c r="J66" i="130"/>
  <c r="J65" i="130"/>
  <c r="J64" i="130"/>
  <c r="W64" i="130" s="1"/>
  <c r="J63" i="130"/>
  <c r="V63" i="130" s="1"/>
  <c r="J62" i="130"/>
  <c r="W62" i="130" s="1"/>
  <c r="J61" i="130"/>
  <c r="W61" i="130" s="1"/>
  <c r="J60" i="130"/>
  <c r="W60" i="130" s="1"/>
  <c r="J51" i="130"/>
  <c r="V51" i="130" s="1"/>
  <c r="J50" i="130"/>
  <c r="W50" i="130" s="1"/>
  <c r="J49" i="130"/>
  <c r="W49" i="130" s="1"/>
  <c r="J48" i="130"/>
  <c r="W48" i="130" s="1"/>
  <c r="J47" i="130"/>
  <c r="V47" i="130" s="1"/>
  <c r="J46" i="130"/>
  <c r="W46" i="130" s="1"/>
  <c r="J45" i="130"/>
  <c r="W45" i="130" s="1"/>
  <c r="J44" i="130"/>
  <c r="J43" i="130"/>
  <c r="W43" i="130" s="1"/>
  <c r="J42" i="130"/>
  <c r="V42" i="130" s="1"/>
  <c r="J41" i="130"/>
  <c r="W41" i="130" s="1"/>
  <c r="J40" i="130"/>
  <c r="W40" i="130" s="1"/>
  <c r="J39" i="130"/>
  <c r="W39" i="130" s="1"/>
  <c r="J38" i="130"/>
  <c r="V38" i="130" s="1"/>
  <c r="J37" i="130"/>
  <c r="W37" i="130" s="1"/>
  <c r="J36" i="130"/>
  <c r="W36" i="130" s="1"/>
  <c r="J35" i="130"/>
  <c r="W35" i="130" s="1"/>
  <c r="J34" i="130"/>
  <c r="V34" i="130" s="1"/>
  <c r="J33" i="130"/>
  <c r="J32" i="130"/>
  <c r="W32" i="130" s="1"/>
  <c r="J31" i="130"/>
  <c r="W31" i="130" s="1"/>
  <c r="J30" i="130"/>
  <c r="W30" i="130" s="1"/>
  <c r="J29" i="130"/>
  <c r="W29" i="130" s="1"/>
  <c r="J28" i="130"/>
  <c r="V28" i="130" s="1"/>
  <c r="J27" i="130"/>
  <c r="J26" i="130"/>
  <c r="J25" i="130"/>
  <c r="J24" i="130"/>
  <c r="V24" i="130" s="1"/>
  <c r="J23" i="130"/>
  <c r="W23" i="130" s="1"/>
  <c r="J22" i="130"/>
  <c r="W22" i="130" s="1"/>
  <c r="J21" i="130"/>
  <c r="W21" i="130" s="1"/>
  <c r="J20" i="130"/>
  <c r="V20" i="130" s="1"/>
  <c r="J19" i="130"/>
  <c r="J18" i="130"/>
  <c r="J17" i="130"/>
  <c r="W17" i="130" s="1"/>
  <c r="J16" i="130"/>
  <c r="J15" i="130"/>
  <c r="V15" i="130" s="1"/>
  <c r="J14" i="130"/>
  <c r="J13" i="130"/>
  <c r="W13" i="130" s="1"/>
  <c r="J12" i="130"/>
  <c r="V12" i="130" s="1"/>
  <c r="J11" i="130"/>
  <c r="W11" i="130" s="1"/>
  <c r="J10" i="130"/>
  <c r="W10" i="130" s="1"/>
  <c r="J9" i="130"/>
  <c r="N8" i="130"/>
  <c r="J8" i="130"/>
  <c r="W8" i="130" s="1"/>
  <c r="J7" i="130"/>
  <c r="V7" i="130" s="1"/>
  <c r="N6" i="130"/>
  <c r="J6" i="130"/>
  <c r="N4" i="130"/>
  <c r="V50" i="130" l="1"/>
  <c r="W12" i="130"/>
  <c r="W82" i="130"/>
  <c r="V112" i="130"/>
  <c r="V81" i="130"/>
  <c r="W51" i="130"/>
  <c r="W113" i="130"/>
  <c r="W47" i="130"/>
  <c r="V46" i="130"/>
  <c r="W42" i="130"/>
  <c r="V37" i="130"/>
  <c r="W34" i="130"/>
  <c r="V104" i="130"/>
  <c r="W24" i="130"/>
  <c r="W99" i="130"/>
  <c r="W94" i="130"/>
  <c r="V62" i="130"/>
  <c r="V93" i="130"/>
  <c r="W100" i="130"/>
  <c r="W105" i="130"/>
  <c r="W110" i="130"/>
  <c r="V109" i="130"/>
  <c r="W63" i="130"/>
  <c r="N10" i="130"/>
  <c r="V75" i="130"/>
  <c r="W77" i="130"/>
  <c r="V13" i="130"/>
  <c r="W15" i="130"/>
  <c r="W28" i="130"/>
  <c r="W38" i="130"/>
  <c r="V41" i="130"/>
  <c r="V32" i="130"/>
  <c r="W18" i="130"/>
  <c r="V18" i="130"/>
  <c r="V33" i="130"/>
  <c r="W33" i="130"/>
  <c r="W68" i="130"/>
  <c r="V68" i="130"/>
  <c r="W19" i="130"/>
  <c r="V19" i="130"/>
  <c r="W65" i="130"/>
  <c r="V65" i="130"/>
  <c r="W9" i="130"/>
  <c r="V9" i="130"/>
  <c r="V16" i="130"/>
  <c r="W16" i="130"/>
  <c r="W44" i="130"/>
  <c r="V44" i="130"/>
  <c r="W66" i="130"/>
  <c r="V66" i="130"/>
  <c r="W70" i="130"/>
  <c r="V70" i="130"/>
  <c r="V25" i="130"/>
  <c r="W25" i="130"/>
  <c r="V76" i="130"/>
  <c r="W76" i="130"/>
  <c r="W26" i="130"/>
  <c r="V26" i="130"/>
  <c r="W69" i="130"/>
  <c r="V69" i="130"/>
  <c r="V27" i="130"/>
  <c r="W27" i="130"/>
  <c r="W6" i="130"/>
  <c r="J52" i="130"/>
  <c r="V6" i="130"/>
  <c r="V14" i="130"/>
  <c r="W14" i="130"/>
  <c r="W67" i="130"/>
  <c r="V67" i="130"/>
  <c r="W71" i="130"/>
  <c r="V71" i="130"/>
  <c r="V78" i="130"/>
  <c r="W78" i="130"/>
  <c r="W91" i="130"/>
  <c r="V91" i="130"/>
  <c r="J114" i="130"/>
  <c r="W96" i="130"/>
  <c r="V96" i="130"/>
  <c r="V11" i="130"/>
  <c r="V22" i="130"/>
  <c r="V40" i="130"/>
  <c r="V45" i="130"/>
  <c r="V49" i="130"/>
  <c r="V60" i="130"/>
  <c r="V61" i="130"/>
  <c r="V72" i="130"/>
  <c r="V73" i="130"/>
  <c r="V74" i="130"/>
  <c r="V80" i="130"/>
  <c r="J83" i="130"/>
  <c r="V92" i="130"/>
  <c r="V97" i="130"/>
  <c r="V98" i="130"/>
  <c r="V102" i="130"/>
  <c r="V103" i="130"/>
  <c r="V107" i="130"/>
  <c r="V108" i="130"/>
  <c r="V21" i="130"/>
  <c r="V23" i="130"/>
  <c r="V30" i="130"/>
  <c r="V31" i="130"/>
  <c r="V36" i="130"/>
  <c r="W7" i="130"/>
  <c r="V8" i="130"/>
  <c r="V10" i="130"/>
  <c r="V17" i="130"/>
  <c r="W20" i="130"/>
  <c r="V29" i="130"/>
  <c r="V35" i="130"/>
  <c r="V39" i="130"/>
  <c r="V43" i="130"/>
  <c r="V48" i="130"/>
  <c r="V64" i="130"/>
  <c r="V79" i="130"/>
  <c r="V95" i="130"/>
  <c r="V101" i="130"/>
  <c r="V106" i="130"/>
  <c r="J112" i="129"/>
  <c r="H44" i="129"/>
  <c r="H27" i="129"/>
  <c r="W114" i="130" l="1"/>
  <c r="P8" i="130" s="1"/>
  <c r="W83" i="130"/>
  <c r="P6" i="130" s="1"/>
  <c r="V83" i="130"/>
  <c r="O6" i="130" s="1"/>
  <c r="V52" i="130"/>
  <c r="O4" i="130" s="1"/>
  <c r="V114" i="130"/>
  <c r="O8" i="130" s="1"/>
  <c r="W52" i="130"/>
  <c r="P4" i="130" s="1"/>
  <c r="H78" i="129"/>
  <c r="H108" i="129"/>
  <c r="H76" i="129"/>
  <c r="H74" i="129"/>
  <c r="H33" i="129"/>
  <c r="H73" i="129"/>
  <c r="H103" i="129"/>
  <c r="H31" i="129"/>
  <c r="H71" i="129"/>
  <c r="H70" i="129"/>
  <c r="H26" i="129"/>
  <c r="H69" i="129"/>
  <c r="H25" i="129"/>
  <c r="H23" i="129"/>
  <c r="H22" i="129"/>
  <c r="H68" i="129"/>
  <c r="H98" i="129"/>
  <c r="H67" i="129"/>
  <c r="H21" i="129"/>
  <c r="H19" i="129"/>
  <c r="H18" i="129"/>
  <c r="H66" i="129"/>
  <c r="H96" i="129"/>
  <c r="H65" i="129"/>
  <c r="H16" i="129"/>
  <c r="H14" i="129"/>
  <c r="P10" i="130" l="1"/>
  <c r="Q8" i="130"/>
  <c r="R8" i="130"/>
  <c r="R4" i="130"/>
  <c r="O10" i="130"/>
  <c r="R10" i="130" s="1"/>
  <c r="P12" i="130" s="1"/>
  <c r="Q4" i="130"/>
  <c r="R6" i="130"/>
  <c r="Q6" i="130"/>
  <c r="H9" i="129"/>
  <c r="H8" i="129"/>
  <c r="H61" i="129"/>
  <c r="H91" i="129"/>
  <c r="J91" i="129" s="1"/>
  <c r="V91" i="129" s="1"/>
  <c r="J60" i="129"/>
  <c r="H7" i="129"/>
  <c r="H6" i="129"/>
  <c r="J113" i="129"/>
  <c r="W112" i="129"/>
  <c r="V112" i="129"/>
  <c r="W111" i="129"/>
  <c r="J110" i="129"/>
  <c r="W110" i="129" s="1"/>
  <c r="J109" i="129"/>
  <c r="J108" i="129"/>
  <c r="V108" i="129" s="1"/>
  <c r="J107" i="129"/>
  <c r="V107" i="129" s="1"/>
  <c r="J106" i="129"/>
  <c r="W106" i="129" s="1"/>
  <c r="J105" i="129"/>
  <c r="J104" i="129"/>
  <c r="V104" i="129" s="1"/>
  <c r="J103" i="129"/>
  <c r="V103" i="129" s="1"/>
  <c r="J102" i="129"/>
  <c r="V102" i="129" s="1"/>
  <c r="J101" i="129"/>
  <c r="W101" i="129" s="1"/>
  <c r="J100" i="129"/>
  <c r="W100" i="129" s="1"/>
  <c r="J99" i="129"/>
  <c r="W99" i="129" s="1"/>
  <c r="J98" i="129"/>
  <c r="W98" i="129" s="1"/>
  <c r="J97" i="129"/>
  <c r="J96" i="129"/>
  <c r="J95" i="129"/>
  <c r="V95" i="129" s="1"/>
  <c r="J94" i="129"/>
  <c r="W94" i="129" s="1"/>
  <c r="J93" i="129"/>
  <c r="W93" i="129" s="1"/>
  <c r="J92" i="129"/>
  <c r="J82" i="129"/>
  <c r="W82" i="129" s="1"/>
  <c r="J81" i="129"/>
  <c r="W81" i="129" s="1"/>
  <c r="J80" i="129"/>
  <c r="J79" i="129"/>
  <c r="V79" i="129" s="1"/>
  <c r="J78" i="129"/>
  <c r="W78" i="129" s="1"/>
  <c r="J77" i="129"/>
  <c r="W77" i="129" s="1"/>
  <c r="J76" i="129"/>
  <c r="J75" i="129"/>
  <c r="V75" i="129" s="1"/>
  <c r="J74" i="129"/>
  <c r="V74" i="129" s="1"/>
  <c r="J73" i="129"/>
  <c r="W73" i="129" s="1"/>
  <c r="J72" i="129"/>
  <c r="W72" i="129" s="1"/>
  <c r="J71" i="129"/>
  <c r="W71" i="129" s="1"/>
  <c r="J70" i="129"/>
  <c r="W70" i="129" s="1"/>
  <c r="J69" i="129"/>
  <c r="W69" i="129" s="1"/>
  <c r="J68" i="129"/>
  <c r="J67" i="129"/>
  <c r="V67" i="129" s="1"/>
  <c r="J66" i="129"/>
  <c r="V66" i="129" s="1"/>
  <c r="J65" i="129"/>
  <c r="W65" i="129" s="1"/>
  <c r="J64" i="129"/>
  <c r="W64" i="129" s="1"/>
  <c r="J63" i="129"/>
  <c r="J62" i="129"/>
  <c r="W62" i="129" s="1"/>
  <c r="J61" i="129"/>
  <c r="V61" i="129" s="1"/>
  <c r="J51" i="129"/>
  <c r="W51" i="129" s="1"/>
  <c r="J50" i="129"/>
  <c r="W50" i="129" s="1"/>
  <c r="J49" i="129"/>
  <c r="W49" i="129" s="1"/>
  <c r="J48" i="129"/>
  <c r="V48" i="129" s="1"/>
  <c r="J47" i="129"/>
  <c r="W47" i="129" s="1"/>
  <c r="J46" i="129"/>
  <c r="V46" i="129" s="1"/>
  <c r="J45" i="129"/>
  <c r="W45" i="129" s="1"/>
  <c r="J44" i="129"/>
  <c r="V44" i="129" s="1"/>
  <c r="J43" i="129"/>
  <c r="W43" i="129" s="1"/>
  <c r="J42" i="129"/>
  <c r="V42" i="129" s="1"/>
  <c r="J41" i="129"/>
  <c r="W41" i="129" s="1"/>
  <c r="J40" i="129"/>
  <c r="V40" i="129" s="1"/>
  <c r="J39" i="129"/>
  <c r="V39" i="129" s="1"/>
  <c r="J38" i="129"/>
  <c r="V38" i="129" s="1"/>
  <c r="J37" i="129"/>
  <c r="W37" i="129" s="1"/>
  <c r="J36" i="129"/>
  <c r="V36" i="129" s="1"/>
  <c r="J35" i="129"/>
  <c r="W35" i="129" s="1"/>
  <c r="J34" i="129"/>
  <c r="W34" i="129" s="1"/>
  <c r="J33" i="129"/>
  <c r="W33" i="129" s="1"/>
  <c r="J32" i="129"/>
  <c r="V32" i="129" s="1"/>
  <c r="J31" i="129"/>
  <c r="J30" i="129"/>
  <c r="J29" i="129"/>
  <c r="V29" i="129" s="1"/>
  <c r="J28" i="129"/>
  <c r="W28" i="129" s="1"/>
  <c r="J27" i="129"/>
  <c r="W27" i="129" s="1"/>
  <c r="J26" i="129"/>
  <c r="W26" i="129" s="1"/>
  <c r="J25" i="129"/>
  <c r="J24" i="129"/>
  <c r="W24" i="129" s="1"/>
  <c r="J23" i="129"/>
  <c r="V23" i="129" s="1"/>
  <c r="J22" i="129"/>
  <c r="W22" i="129" s="1"/>
  <c r="J21" i="129"/>
  <c r="W21" i="129" s="1"/>
  <c r="J20" i="129"/>
  <c r="W20" i="129" s="1"/>
  <c r="J19" i="129"/>
  <c r="W19" i="129" s="1"/>
  <c r="J18" i="129"/>
  <c r="V18" i="129" s="1"/>
  <c r="J17" i="129"/>
  <c r="J16" i="129"/>
  <c r="J15" i="129"/>
  <c r="W15" i="129" s="1"/>
  <c r="J14" i="129"/>
  <c r="J13" i="129"/>
  <c r="J12" i="129"/>
  <c r="W12" i="129" s="1"/>
  <c r="J11" i="129"/>
  <c r="W11" i="129" s="1"/>
  <c r="J10" i="129"/>
  <c r="W10" i="129" s="1"/>
  <c r="J9" i="129"/>
  <c r="W9" i="129" s="1"/>
  <c r="N8" i="129"/>
  <c r="J8" i="129"/>
  <c r="W8" i="129" s="1"/>
  <c r="J7" i="129"/>
  <c r="W7" i="129" s="1"/>
  <c r="N6" i="129"/>
  <c r="J6" i="129"/>
  <c r="W6" i="129" s="1"/>
  <c r="N4" i="129"/>
  <c r="Q10" i="130" l="1"/>
  <c r="V47" i="129"/>
  <c r="V28" i="129"/>
  <c r="V43" i="129"/>
  <c r="V22" i="129"/>
  <c r="W46" i="129"/>
  <c r="V51" i="129"/>
  <c r="V82" i="129"/>
  <c r="W108" i="129"/>
  <c r="W79" i="129"/>
  <c r="V111" i="129"/>
  <c r="W39" i="129"/>
  <c r="W38" i="129"/>
  <c r="V78" i="129"/>
  <c r="W107" i="129"/>
  <c r="V73" i="129"/>
  <c r="W104" i="129"/>
  <c r="W103" i="129"/>
  <c r="W102" i="129"/>
  <c r="W66" i="129"/>
  <c r="W95" i="129"/>
  <c r="V94" i="129"/>
  <c r="V98" i="129"/>
  <c r="V65" i="129"/>
  <c r="V70" i="129"/>
  <c r="W74" i="129"/>
  <c r="W75" i="129"/>
  <c r="V35" i="129"/>
  <c r="W29" i="129"/>
  <c r="V7" i="129"/>
  <c r="N10" i="129"/>
  <c r="V8" i="129"/>
  <c r="V12" i="129"/>
  <c r="W14" i="129"/>
  <c r="V14" i="129"/>
  <c r="W17" i="129"/>
  <c r="V17" i="129"/>
  <c r="W97" i="129"/>
  <c r="V97" i="129"/>
  <c r="W13" i="129"/>
  <c r="V13" i="129"/>
  <c r="V60" i="129"/>
  <c r="J83" i="129"/>
  <c r="W60" i="129"/>
  <c r="W63" i="129"/>
  <c r="V63" i="129"/>
  <c r="W16" i="129"/>
  <c r="V16" i="129"/>
  <c r="V31" i="129"/>
  <c r="W31" i="129"/>
  <c r="W25" i="129"/>
  <c r="V25" i="129"/>
  <c r="V30" i="129"/>
  <c r="W30" i="129"/>
  <c r="W96" i="129"/>
  <c r="V96" i="129"/>
  <c r="V15" i="129"/>
  <c r="V19" i="129"/>
  <c r="V21" i="129"/>
  <c r="W40" i="129"/>
  <c r="V45" i="129"/>
  <c r="V72" i="129"/>
  <c r="V101" i="129"/>
  <c r="W105" i="129"/>
  <c r="V105" i="129"/>
  <c r="W109" i="129"/>
  <c r="V109" i="129"/>
  <c r="W113" i="129"/>
  <c r="V113" i="129"/>
  <c r="V20" i="129"/>
  <c r="V24" i="129"/>
  <c r="V34" i="129"/>
  <c r="V50" i="129"/>
  <c r="W61" i="129"/>
  <c r="V69" i="129"/>
  <c r="V77" i="129"/>
  <c r="W18" i="129"/>
  <c r="W42" i="129"/>
  <c r="J52" i="129"/>
  <c r="W67" i="129"/>
  <c r="V71" i="129"/>
  <c r="V93" i="129"/>
  <c r="V100" i="129"/>
  <c r="J114" i="129"/>
  <c r="W92" i="129"/>
  <c r="V92" i="129"/>
  <c r="V11" i="129"/>
  <c r="W32" i="129"/>
  <c r="V37" i="129"/>
  <c r="W48" i="129"/>
  <c r="V81" i="129"/>
  <c r="V6" i="129"/>
  <c r="V9" i="129"/>
  <c r="V10" i="129"/>
  <c r="V26" i="129"/>
  <c r="V27" i="129"/>
  <c r="W23" i="129"/>
  <c r="V33" i="129"/>
  <c r="W36" i="129"/>
  <c r="V41" i="129"/>
  <c r="W44" i="129"/>
  <c r="V49" i="129"/>
  <c r="V62" i="129"/>
  <c r="V64" i="129"/>
  <c r="W68" i="129"/>
  <c r="V68" i="129"/>
  <c r="W76" i="129"/>
  <c r="V76" i="129"/>
  <c r="W80" i="129"/>
  <c r="V80" i="129"/>
  <c r="W91" i="129"/>
  <c r="V99" i="129"/>
  <c r="V106" i="129"/>
  <c r="V110" i="129"/>
  <c r="H104" i="128"/>
  <c r="H101" i="128"/>
  <c r="H100" i="128"/>
  <c r="H99" i="128"/>
  <c r="H97" i="128"/>
  <c r="H91" i="128"/>
  <c r="H74" i="128"/>
  <c r="H73" i="128"/>
  <c r="H72" i="128"/>
  <c r="H71" i="128"/>
  <c r="H67" i="128"/>
  <c r="H63" i="128"/>
  <c r="H61" i="128"/>
  <c r="H60" i="128"/>
  <c r="H32" i="128"/>
  <c r="H31" i="128"/>
  <c r="H30" i="128"/>
  <c r="H27" i="128"/>
  <c r="H25" i="128"/>
  <c r="H21" i="128"/>
  <c r="H20" i="128"/>
  <c r="H19" i="128"/>
  <c r="H17" i="128"/>
  <c r="H16" i="128"/>
  <c r="H15" i="128"/>
  <c r="H14" i="128"/>
  <c r="H13" i="128"/>
  <c r="H11" i="128"/>
  <c r="H10" i="128"/>
  <c r="H8" i="128"/>
  <c r="V114" i="129" l="1"/>
  <c r="O8" i="129" s="1"/>
  <c r="R8" i="129" s="1"/>
  <c r="W52" i="129"/>
  <c r="P4" i="129" s="1"/>
  <c r="W83" i="129"/>
  <c r="P6" i="129" s="1"/>
  <c r="V52" i="129"/>
  <c r="O4" i="129" s="1"/>
  <c r="V83" i="129"/>
  <c r="O6" i="129" s="1"/>
  <c r="W114" i="129"/>
  <c r="P8" i="129" s="1"/>
  <c r="J113" i="128"/>
  <c r="W113" i="128" s="1"/>
  <c r="J112" i="128"/>
  <c r="W112" i="128" s="1"/>
  <c r="J111" i="128"/>
  <c r="J110" i="128"/>
  <c r="V110" i="128" s="1"/>
  <c r="J109" i="128"/>
  <c r="V109" i="128" s="1"/>
  <c r="J108" i="128"/>
  <c r="W108" i="128" s="1"/>
  <c r="J107" i="128"/>
  <c r="W107" i="128" s="1"/>
  <c r="J106" i="128"/>
  <c r="V106" i="128" s="1"/>
  <c r="J105" i="128"/>
  <c r="V105" i="128" s="1"/>
  <c r="J104" i="128"/>
  <c r="W104" i="128" s="1"/>
  <c r="J103" i="128"/>
  <c r="W103" i="128" s="1"/>
  <c r="J102" i="128"/>
  <c r="V102" i="128" s="1"/>
  <c r="J101" i="128"/>
  <c r="V101" i="128" s="1"/>
  <c r="J100" i="128"/>
  <c r="W100" i="128" s="1"/>
  <c r="J99" i="128"/>
  <c r="W99" i="128" s="1"/>
  <c r="J98" i="128"/>
  <c r="W98" i="128" s="1"/>
  <c r="J97" i="128"/>
  <c r="W97" i="128" s="1"/>
  <c r="J96" i="128"/>
  <c r="V96" i="128" s="1"/>
  <c r="J95" i="128"/>
  <c r="J94" i="128"/>
  <c r="W94" i="128" s="1"/>
  <c r="J93" i="128"/>
  <c r="W93" i="128" s="1"/>
  <c r="J92" i="128"/>
  <c r="W92" i="128" s="1"/>
  <c r="J91" i="128"/>
  <c r="J82" i="128"/>
  <c r="W82" i="128" s="1"/>
  <c r="J81" i="128"/>
  <c r="W81" i="128" s="1"/>
  <c r="J80" i="128"/>
  <c r="W80" i="128" s="1"/>
  <c r="J79" i="128"/>
  <c r="V79" i="128" s="1"/>
  <c r="J78" i="128"/>
  <c r="J77" i="128"/>
  <c r="W77" i="128" s="1"/>
  <c r="J76" i="128"/>
  <c r="V76" i="128" s="1"/>
  <c r="J75" i="128"/>
  <c r="W75" i="128" s="1"/>
  <c r="J74" i="128"/>
  <c r="W74" i="128" s="1"/>
  <c r="J73" i="128"/>
  <c r="J72" i="128"/>
  <c r="V72" i="128" s="1"/>
  <c r="J71" i="128"/>
  <c r="J70" i="128"/>
  <c r="V70" i="128" s="1"/>
  <c r="J69" i="128"/>
  <c r="W69" i="128" s="1"/>
  <c r="J68" i="128"/>
  <c r="W68" i="128" s="1"/>
  <c r="J67" i="128"/>
  <c r="W67" i="128" s="1"/>
  <c r="J66" i="128"/>
  <c r="W66" i="128" s="1"/>
  <c r="J65" i="128"/>
  <c r="W65" i="128" s="1"/>
  <c r="J64" i="128"/>
  <c r="W64" i="128" s="1"/>
  <c r="J63" i="128"/>
  <c r="W63" i="128" s="1"/>
  <c r="J62" i="128"/>
  <c r="J61" i="128"/>
  <c r="J60" i="128"/>
  <c r="J51" i="128"/>
  <c r="W51" i="128" s="1"/>
  <c r="J50" i="128"/>
  <c r="W50" i="128" s="1"/>
  <c r="J49" i="128"/>
  <c r="W49" i="128" s="1"/>
  <c r="J48" i="128"/>
  <c r="W48" i="128" s="1"/>
  <c r="J47" i="128"/>
  <c r="W47" i="128" s="1"/>
  <c r="J46" i="128"/>
  <c r="V46" i="128" s="1"/>
  <c r="J45" i="128"/>
  <c r="J44" i="128"/>
  <c r="W44" i="128" s="1"/>
  <c r="J43" i="128"/>
  <c r="W43" i="128" s="1"/>
  <c r="J42" i="128"/>
  <c r="W42" i="128" s="1"/>
  <c r="J41" i="128"/>
  <c r="W41" i="128" s="1"/>
  <c r="J40" i="128"/>
  <c r="V40" i="128" s="1"/>
  <c r="V39" i="128"/>
  <c r="J39" i="128"/>
  <c r="W39" i="128" s="1"/>
  <c r="J38" i="128"/>
  <c r="W38" i="128" s="1"/>
  <c r="J37" i="128"/>
  <c r="W37" i="128" s="1"/>
  <c r="J36" i="128"/>
  <c r="W36" i="128" s="1"/>
  <c r="J35" i="128"/>
  <c r="J34" i="128"/>
  <c r="J33" i="128"/>
  <c r="V33" i="128" s="1"/>
  <c r="J32" i="128"/>
  <c r="W32" i="128" s="1"/>
  <c r="J31" i="128"/>
  <c r="W31" i="128" s="1"/>
  <c r="J30" i="128"/>
  <c r="W30" i="128" s="1"/>
  <c r="J29" i="128"/>
  <c r="W29" i="128" s="1"/>
  <c r="J28" i="128"/>
  <c r="W28" i="128" s="1"/>
  <c r="J27" i="128"/>
  <c r="W27" i="128" s="1"/>
  <c r="J26" i="128"/>
  <c r="W26" i="128" s="1"/>
  <c r="J25" i="128"/>
  <c r="W25" i="128" s="1"/>
  <c r="J24" i="128"/>
  <c r="J23" i="128"/>
  <c r="V23" i="128" s="1"/>
  <c r="J22" i="128"/>
  <c r="W22" i="128" s="1"/>
  <c r="J21" i="128"/>
  <c r="W21" i="128" s="1"/>
  <c r="J20" i="128"/>
  <c r="W20" i="128" s="1"/>
  <c r="J19" i="128"/>
  <c r="W19" i="128" s="1"/>
  <c r="J18" i="128"/>
  <c r="W18" i="128" s="1"/>
  <c r="J17" i="128"/>
  <c r="W17" i="128" s="1"/>
  <c r="J16" i="128"/>
  <c r="V16" i="128" s="1"/>
  <c r="J15" i="128"/>
  <c r="J14" i="128"/>
  <c r="J13" i="128"/>
  <c r="J12" i="128"/>
  <c r="V12" i="128" s="1"/>
  <c r="J11" i="128"/>
  <c r="J10" i="128"/>
  <c r="V10" i="128" s="1"/>
  <c r="J9" i="128"/>
  <c r="N8" i="128"/>
  <c r="J8" i="128"/>
  <c r="V8" i="128" s="1"/>
  <c r="W7" i="128"/>
  <c r="J7" i="128"/>
  <c r="V7" i="128" s="1"/>
  <c r="N6" i="128"/>
  <c r="J6" i="128"/>
  <c r="N4" i="128"/>
  <c r="W10" i="128" l="1"/>
  <c r="V38" i="128"/>
  <c r="W109" i="128"/>
  <c r="W12" i="128"/>
  <c r="V51" i="128"/>
  <c r="V77" i="128"/>
  <c r="W79" i="128"/>
  <c r="V82" i="128"/>
  <c r="V113" i="128"/>
  <c r="W105" i="128"/>
  <c r="W8" i="128"/>
  <c r="V43" i="128"/>
  <c r="V50" i="128"/>
  <c r="Q8" i="129"/>
  <c r="P10" i="129"/>
  <c r="Q6" i="129"/>
  <c r="R6" i="129"/>
  <c r="R4" i="129"/>
  <c r="O10" i="129"/>
  <c r="R10" i="129" s="1"/>
  <c r="P12" i="129" s="1"/>
  <c r="Q4" i="129"/>
  <c r="W101" i="128"/>
  <c r="V99" i="128"/>
  <c r="W96" i="128"/>
  <c r="V94" i="128"/>
  <c r="V92" i="128"/>
  <c r="W70" i="128"/>
  <c r="N10" i="128"/>
  <c r="W33" i="128"/>
  <c r="V22" i="128"/>
  <c r="V21" i="128"/>
  <c r="V20" i="128"/>
  <c r="V19" i="128"/>
  <c r="V18" i="128"/>
  <c r="V93" i="128"/>
  <c r="V100" i="128"/>
  <c r="V104" i="128"/>
  <c r="V108" i="128"/>
  <c r="W102" i="128"/>
  <c r="W106" i="128"/>
  <c r="W110" i="128"/>
  <c r="V67" i="128"/>
  <c r="W76" i="128"/>
  <c r="V69" i="128"/>
  <c r="V68" i="128"/>
  <c r="W72" i="128"/>
  <c r="V75" i="128"/>
  <c r="V81" i="128"/>
  <c r="W23" i="128"/>
  <c r="V26" i="128"/>
  <c r="V28" i="128"/>
  <c r="V30" i="128"/>
  <c r="V32" i="128"/>
  <c r="V42" i="128"/>
  <c r="V44" i="128"/>
  <c r="W46" i="128"/>
  <c r="W16" i="128"/>
  <c r="V27" i="128"/>
  <c r="V29" i="128"/>
  <c r="V31" i="128"/>
  <c r="W40" i="128"/>
  <c r="V14" i="128"/>
  <c r="W14" i="128"/>
  <c r="V95" i="128"/>
  <c r="W95" i="128"/>
  <c r="W111" i="128"/>
  <c r="V111" i="128"/>
  <c r="W24" i="128"/>
  <c r="V24" i="128"/>
  <c r="W34" i="128"/>
  <c r="V34" i="128"/>
  <c r="W62" i="128"/>
  <c r="V62" i="128"/>
  <c r="W35" i="128"/>
  <c r="V35" i="128"/>
  <c r="V45" i="128"/>
  <c r="W45" i="128"/>
  <c r="V78" i="128"/>
  <c r="W78" i="128"/>
  <c r="W61" i="128"/>
  <c r="V61" i="128"/>
  <c r="V71" i="128"/>
  <c r="W71" i="128"/>
  <c r="V6" i="128"/>
  <c r="J52" i="128"/>
  <c r="W6" i="128"/>
  <c r="V15" i="128"/>
  <c r="W15" i="128"/>
  <c r="V9" i="128"/>
  <c r="W9" i="128"/>
  <c r="V11" i="128"/>
  <c r="W11" i="128"/>
  <c r="V13" i="128"/>
  <c r="W13" i="128"/>
  <c r="W60" i="128"/>
  <c r="V60" i="128"/>
  <c r="J83" i="128"/>
  <c r="W73" i="128"/>
  <c r="V73" i="128"/>
  <c r="J114" i="128"/>
  <c r="V17" i="128"/>
  <c r="V25" i="128"/>
  <c r="V36" i="128"/>
  <c r="V37" i="128"/>
  <c r="V41" i="128"/>
  <c r="V47" i="128"/>
  <c r="V48" i="128"/>
  <c r="V49" i="128"/>
  <c r="V63" i="128"/>
  <c r="V64" i="128"/>
  <c r="V65" i="128"/>
  <c r="V66" i="128"/>
  <c r="V74" i="128"/>
  <c r="V80" i="128"/>
  <c r="V91" i="128"/>
  <c r="V97" i="128"/>
  <c r="V98" i="128"/>
  <c r="V103" i="128"/>
  <c r="V107" i="128"/>
  <c r="V112" i="128"/>
  <c r="W91" i="128"/>
  <c r="H49" i="127"/>
  <c r="H48" i="127"/>
  <c r="Q10" i="129" l="1"/>
  <c r="V114" i="128"/>
  <c r="O8" i="128" s="1"/>
  <c r="R8" i="128" s="1"/>
  <c r="W83" i="128"/>
  <c r="P6" i="128" s="1"/>
  <c r="W52" i="128"/>
  <c r="P4" i="128" s="1"/>
  <c r="W114" i="128"/>
  <c r="P8" i="128" s="1"/>
  <c r="V83" i="128"/>
  <c r="O6" i="128" s="1"/>
  <c r="V52" i="128"/>
  <c r="O4" i="128" s="1"/>
  <c r="H111" i="127"/>
  <c r="H45" i="127"/>
  <c r="H43" i="127"/>
  <c r="H78" i="127"/>
  <c r="H77" i="127"/>
  <c r="Q8" i="128" l="1"/>
  <c r="R6" i="128"/>
  <c r="Q6" i="128"/>
  <c r="O10" i="128"/>
  <c r="R10" i="128" s="1"/>
  <c r="P12" i="128" s="1"/>
  <c r="R4" i="128"/>
  <c r="Q4" i="128"/>
  <c r="P10" i="128"/>
  <c r="H37" i="127"/>
  <c r="J37" i="127" s="1"/>
  <c r="W37" i="127" s="1"/>
  <c r="H35" i="127"/>
  <c r="H34" i="127"/>
  <c r="J34" i="127" s="1"/>
  <c r="V34" i="127" s="1"/>
  <c r="H73" i="127"/>
  <c r="J73" i="127" s="1"/>
  <c r="H31" i="127"/>
  <c r="H29" i="127"/>
  <c r="J29" i="127" s="1"/>
  <c r="V29" i="127" s="1"/>
  <c r="H28" i="127"/>
  <c r="J28" i="127" s="1"/>
  <c r="W28" i="127" s="1"/>
  <c r="H71" i="127"/>
  <c r="J71" i="127" s="1"/>
  <c r="H30" i="127"/>
  <c r="J30" i="127" s="1"/>
  <c r="W30" i="127" s="1"/>
  <c r="H27" i="127"/>
  <c r="H100" i="127"/>
  <c r="J100" i="127" s="1"/>
  <c r="W100" i="127" s="1"/>
  <c r="H69" i="127"/>
  <c r="H68" i="127"/>
  <c r="J68" i="127" s="1"/>
  <c r="V68" i="127" s="1"/>
  <c r="H24" i="127"/>
  <c r="J24" i="127" s="1"/>
  <c r="W24" i="127" s="1"/>
  <c r="H21" i="127"/>
  <c r="J21" i="127" s="1"/>
  <c r="V21" i="127" s="1"/>
  <c r="H20" i="127"/>
  <c r="H98" i="127"/>
  <c r="J98" i="127" s="1"/>
  <c r="W98" i="127" s="1"/>
  <c r="H66" i="127"/>
  <c r="J66" i="127" s="1"/>
  <c r="V66" i="127" s="1"/>
  <c r="H19" i="127"/>
  <c r="J19" i="127" s="1"/>
  <c r="V19" i="127" s="1"/>
  <c r="H65" i="127"/>
  <c r="H95" i="127"/>
  <c r="J95" i="127" s="1"/>
  <c r="V95" i="127" s="1"/>
  <c r="H64" i="127"/>
  <c r="H15" i="127"/>
  <c r="J15" i="127" s="1"/>
  <c r="W15" i="127" s="1"/>
  <c r="H14" i="127"/>
  <c r="J14" i="127" s="1"/>
  <c r="V14" i="127" s="1"/>
  <c r="H13" i="127"/>
  <c r="J13" i="127" s="1"/>
  <c r="V13" i="127" s="1"/>
  <c r="H11" i="127"/>
  <c r="J11" i="127" s="1"/>
  <c r="V11" i="127" s="1"/>
  <c r="H62" i="127"/>
  <c r="J62" i="127" s="1"/>
  <c r="W62" i="127" s="1"/>
  <c r="H93" i="127"/>
  <c r="H61" i="127"/>
  <c r="H60" i="127"/>
  <c r="H9" i="127"/>
  <c r="J9" i="127" s="1"/>
  <c r="H7" i="127"/>
  <c r="J7" i="127" s="1"/>
  <c r="V7" i="127" s="1"/>
  <c r="H6" i="127"/>
  <c r="J113" i="127"/>
  <c r="J112" i="127"/>
  <c r="W112" i="127" s="1"/>
  <c r="J111" i="127"/>
  <c r="W111" i="127" s="1"/>
  <c r="J110" i="127"/>
  <c r="W110" i="127" s="1"/>
  <c r="J109" i="127"/>
  <c r="J108" i="127"/>
  <c r="J107" i="127"/>
  <c r="V107" i="127" s="1"/>
  <c r="J106" i="127"/>
  <c r="V106" i="127" s="1"/>
  <c r="J105" i="127"/>
  <c r="W105" i="127" s="1"/>
  <c r="J104" i="127"/>
  <c r="J103" i="127"/>
  <c r="V103" i="127" s="1"/>
  <c r="J102" i="127"/>
  <c r="V102" i="127" s="1"/>
  <c r="J101" i="127"/>
  <c r="W101" i="127" s="1"/>
  <c r="J99" i="127"/>
  <c r="W99" i="127" s="1"/>
  <c r="J97" i="127"/>
  <c r="J96" i="127"/>
  <c r="V96" i="127" s="1"/>
  <c r="J94" i="127"/>
  <c r="V94" i="127" s="1"/>
  <c r="J93" i="127"/>
  <c r="W93" i="127" s="1"/>
  <c r="J92" i="127"/>
  <c r="J91" i="127"/>
  <c r="J82" i="127"/>
  <c r="V82" i="127" s="1"/>
  <c r="J81" i="127"/>
  <c r="W81" i="127" s="1"/>
  <c r="J80" i="127"/>
  <c r="J79" i="127"/>
  <c r="V79" i="127" s="1"/>
  <c r="J78" i="127"/>
  <c r="W78" i="127" s="1"/>
  <c r="J77" i="127"/>
  <c r="W77" i="127" s="1"/>
  <c r="J76" i="127"/>
  <c r="J75" i="127"/>
  <c r="V75" i="127" s="1"/>
  <c r="J74" i="127"/>
  <c r="W74" i="127" s="1"/>
  <c r="J72" i="127"/>
  <c r="W72" i="127" s="1"/>
  <c r="J70" i="127"/>
  <c r="J69" i="127"/>
  <c r="J67" i="127"/>
  <c r="J65" i="127"/>
  <c r="W65" i="127" s="1"/>
  <c r="J64" i="127"/>
  <c r="W64" i="127" s="1"/>
  <c r="J63" i="127"/>
  <c r="J61" i="127"/>
  <c r="J60" i="127"/>
  <c r="W60" i="127" s="1"/>
  <c r="J51" i="127"/>
  <c r="W51" i="127" s="1"/>
  <c r="J50" i="127"/>
  <c r="W50" i="127" s="1"/>
  <c r="J49" i="127"/>
  <c r="V49" i="127" s="1"/>
  <c r="J48" i="127"/>
  <c r="V48" i="127" s="1"/>
  <c r="J47" i="127"/>
  <c r="W47" i="127" s="1"/>
  <c r="J46" i="127"/>
  <c r="W46" i="127" s="1"/>
  <c r="J45" i="127"/>
  <c r="V45" i="127" s="1"/>
  <c r="J44" i="127"/>
  <c r="W44" i="127" s="1"/>
  <c r="J43" i="127"/>
  <c r="W43" i="127" s="1"/>
  <c r="J42" i="127"/>
  <c r="W42" i="127" s="1"/>
  <c r="J41" i="127"/>
  <c r="V41" i="127" s="1"/>
  <c r="J40" i="127"/>
  <c r="V40" i="127" s="1"/>
  <c r="J39" i="127"/>
  <c r="W39" i="127" s="1"/>
  <c r="J38" i="127"/>
  <c r="W38" i="127" s="1"/>
  <c r="J36" i="127"/>
  <c r="V36" i="127" s="1"/>
  <c r="J35" i="127"/>
  <c r="V35" i="127" s="1"/>
  <c r="J33" i="127"/>
  <c r="W33" i="127" s="1"/>
  <c r="J32" i="127"/>
  <c r="W32" i="127" s="1"/>
  <c r="J31" i="127"/>
  <c r="J27" i="127"/>
  <c r="W27" i="127" s="1"/>
  <c r="J26" i="127"/>
  <c r="V26" i="127" s="1"/>
  <c r="J25" i="127"/>
  <c r="W25" i="127" s="1"/>
  <c r="J23" i="127"/>
  <c r="W23" i="127" s="1"/>
  <c r="J22" i="127"/>
  <c r="W22" i="127" s="1"/>
  <c r="J20" i="127"/>
  <c r="V20" i="127" s="1"/>
  <c r="J18" i="127"/>
  <c r="W18" i="127" s="1"/>
  <c r="J17" i="127"/>
  <c r="V17" i="127" s="1"/>
  <c r="J16" i="127"/>
  <c r="W16" i="127" s="1"/>
  <c r="J12" i="127"/>
  <c r="J10" i="127"/>
  <c r="W10" i="127" s="1"/>
  <c r="N8" i="127"/>
  <c r="J8" i="127"/>
  <c r="V8" i="127" s="1"/>
  <c r="N6" i="127"/>
  <c r="J6" i="127"/>
  <c r="N4" i="127"/>
  <c r="W106" i="127" l="1"/>
  <c r="V16" i="127"/>
  <c r="V47" i="127"/>
  <c r="W48" i="127"/>
  <c r="W82" i="127"/>
  <c r="V39" i="127"/>
  <c r="V50" i="127"/>
  <c r="W96" i="127"/>
  <c r="Q10" i="128"/>
  <c r="V81" i="127"/>
  <c r="V111" i="127"/>
  <c r="V110" i="127"/>
  <c r="W79" i="127"/>
  <c r="W45" i="127"/>
  <c r="V44" i="127"/>
  <c r="V42" i="127"/>
  <c r="V78" i="127"/>
  <c r="W40" i="127"/>
  <c r="W75" i="127"/>
  <c r="W36" i="127"/>
  <c r="W73" i="127"/>
  <c r="V73" i="127"/>
  <c r="V32" i="127"/>
  <c r="W102" i="127"/>
  <c r="V72" i="127"/>
  <c r="V27" i="127"/>
  <c r="W26" i="127"/>
  <c r="V25" i="127"/>
  <c r="V23" i="127"/>
  <c r="W66" i="127"/>
  <c r="V18" i="127"/>
  <c r="W17" i="127"/>
  <c r="W94" i="127"/>
  <c r="W8" i="127"/>
  <c r="W11" i="127"/>
  <c r="W14" i="127"/>
  <c r="V24" i="127"/>
  <c r="V33" i="127"/>
  <c r="V38" i="127"/>
  <c r="W21" i="127"/>
  <c r="V30" i="127"/>
  <c r="V62" i="127"/>
  <c r="V65" i="127"/>
  <c r="V74" i="127"/>
  <c r="W68" i="127"/>
  <c r="V93" i="127"/>
  <c r="V99" i="127"/>
  <c r="V101" i="127"/>
  <c r="V105" i="127"/>
  <c r="W95" i="127"/>
  <c r="W103" i="127"/>
  <c r="W107" i="127"/>
  <c r="V98" i="127"/>
  <c r="V100" i="127"/>
  <c r="J52" i="127"/>
  <c r="W6" i="127"/>
  <c r="V6" i="127"/>
  <c r="V67" i="127"/>
  <c r="W67" i="127"/>
  <c r="V61" i="127"/>
  <c r="W61" i="127"/>
  <c r="W71" i="127"/>
  <c r="V71" i="127"/>
  <c r="W31" i="127"/>
  <c r="V31" i="127"/>
  <c r="W63" i="127"/>
  <c r="V63" i="127"/>
  <c r="V9" i="127"/>
  <c r="W9" i="127"/>
  <c r="W12" i="127"/>
  <c r="V12" i="127"/>
  <c r="W76" i="127"/>
  <c r="V76" i="127"/>
  <c r="W80" i="127"/>
  <c r="V80" i="127"/>
  <c r="W92" i="127"/>
  <c r="V92" i="127"/>
  <c r="W7" i="127"/>
  <c r="W13" i="127"/>
  <c r="W29" i="127"/>
  <c r="W35" i="127"/>
  <c r="V64" i="127"/>
  <c r="W69" i="127"/>
  <c r="V69" i="127"/>
  <c r="V15" i="127"/>
  <c r="W19" i="127"/>
  <c r="V22" i="127"/>
  <c r="V28" i="127"/>
  <c r="W34" i="127"/>
  <c r="V37" i="127"/>
  <c r="W41" i="127"/>
  <c r="V43" i="127"/>
  <c r="V46" i="127"/>
  <c r="W49" i="127"/>
  <c r="V51" i="127"/>
  <c r="V60" i="127"/>
  <c r="J83" i="127"/>
  <c r="V77" i="127"/>
  <c r="J114" i="127"/>
  <c r="W91" i="127"/>
  <c r="V91" i="127"/>
  <c r="W97" i="127"/>
  <c r="V97" i="127"/>
  <c r="N10" i="127"/>
  <c r="V10" i="127"/>
  <c r="W109" i="127"/>
  <c r="V109" i="127"/>
  <c r="W20" i="127"/>
  <c r="W70" i="127"/>
  <c r="V70" i="127"/>
  <c r="W104" i="127"/>
  <c r="V104" i="127"/>
  <c r="W108" i="127"/>
  <c r="V108" i="127"/>
  <c r="W113" i="127"/>
  <c r="V113" i="127"/>
  <c r="V112" i="127"/>
  <c r="H74" i="126"/>
  <c r="H71" i="126"/>
  <c r="H70" i="126"/>
  <c r="J70" i="126" s="1"/>
  <c r="H68" i="126"/>
  <c r="J68" i="126" s="1"/>
  <c r="H67" i="126"/>
  <c r="H63" i="126"/>
  <c r="H61" i="126"/>
  <c r="J61" i="126" s="1"/>
  <c r="W61" i="126" s="1"/>
  <c r="H108" i="126"/>
  <c r="J108" i="126" s="1"/>
  <c r="H101" i="126"/>
  <c r="H100" i="126"/>
  <c r="J100" i="126" s="1"/>
  <c r="V100" i="126" s="1"/>
  <c r="H99" i="126"/>
  <c r="H95" i="126"/>
  <c r="H92" i="126"/>
  <c r="H39" i="126"/>
  <c r="J39" i="126" s="1"/>
  <c r="W39" i="126" s="1"/>
  <c r="H36" i="126"/>
  <c r="H35" i="126"/>
  <c r="J35" i="126" s="1"/>
  <c r="H31" i="126"/>
  <c r="H28" i="126"/>
  <c r="J28" i="126" s="1"/>
  <c r="W28" i="126" s="1"/>
  <c r="H26" i="126"/>
  <c r="H25" i="126"/>
  <c r="J25" i="126" s="1"/>
  <c r="V25" i="126" s="1"/>
  <c r="H24" i="126"/>
  <c r="H21" i="126"/>
  <c r="J21" i="126" s="1"/>
  <c r="W21" i="126" s="1"/>
  <c r="H20" i="126"/>
  <c r="J20" i="126" s="1"/>
  <c r="V20" i="126" s="1"/>
  <c r="H17" i="126"/>
  <c r="J17" i="126" s="1"/>
  <c r="W17" i="126" s="1"/>
  <c r="H14" i="126"/>
  <c r="H12" i="126"/>
  <c r="H10" i="126"/>
  <c r="J10" i="126" s="1"/>
  <c r="V10" i="126" s="1"/>
  <c r="H9" i="126"/>
  <c r="H6" i="126"/>
  <c r="J113" i="126"/>
  <c r="V113" i="126" s="1"/>
  <c r="J112" i="126"/>
  <c r="V112" i="126" s="1"/>
  <c r="J111" i="126"/>
  <c r="W111" i="126" s="1"/>
  <c r="J110" i="126"/>
  <c r="W110" i="126" s="1"/>
  <c r="J109" i="126"/>
  <c r="W109" i="126" s="1"/>
  <c r="J107" i="126"/>
  <c r="V107" i="126" s="1"/>
  <c r="J106" i="126"/>
  <c r="V106" i="126" s="1"/>
  <c r="J105" i="126"/>
  <c r="V105" i="126" s="1"/>
  <c r="J104" i="126"/>
  <c r="W104" i="126" s="1"/>
  <c r="J103" i="126"/>
  <c r="W103" i="126" s="1"/>
  <c r="J102" i="126"/>
  <c r="J101" i="126"/>
  <c r="V101" i="126" s="1"/>
  <c r="J99" i="126"/>
  <c r="W99" i="126" s="1"/>
  <c r="J98" i="126"/>
  <c r="W98" i="126" s="1"/>
  <c r="J97" i="126"/>
  <c r="W97" i="126" s="1"/>
  <c r="J96" i="126"/>
  <c r="J95" i="126"/>
  <c r="V95" i="126" s="1"/>
  <c r="J94" i="126"/>
  <c r="W94" i="126" s="1"/>
  <c r="J93" i="126"/>
  <c r="W93" i="126" s="1"/>
  <c r="J92" i="126"/>
  <c r="W92" i="126" s="1"/>
  <c r="J91" i="126"/>
  <c r="V91" i="126" s="1"/>
  <c r="J82" i="126"/>
  <c r="V82" i="126" s="1"/>
  <c r="J81" i="126"/>
  <c r="W81" i="126" s="1"/>
  <c r="J80" i="126"/>
  <c r="W80" i="126" s="1"/>
  <c r="J79" i="126"/>
  <c r="J78" i="126"/>
  <c r="J77" i="126"/>
  <c r="J76" i="126"/>
  <c r="V76" i="126" s="1"/>
  <c r="J75" i="126"/>
  <c r="W75" i="126" s="1"/>
  <c r="J74" i="126"/>
  <c r="W74" i="126" s="1"/>
  <c r="J73" i="126"/>
  <c r="W73" i="126" s="1"/>
  <c r="J72" i="126"/>
  <c r="W72" i="126" s="1"/>
  <c r="J71" i="126"/>
  <c r="J69" i="126"/>
  <c r="J67" i="126"/>
  <c r="V67" i="126" s="1"/>
  <c r="J66" i="126"/>
  <c r="V66" i="126" s="1"/>
  <c r="J65" i="126"/>
  <c r="V65" i="126" s="1"/>
  <c r="J64" i="126"/>
  <c r="W64" i="126" s="1"/>
  <c r="J63" i="126"/>
  <c r="W63" i="126" s="1"/>
  <c r="J62" i="126"/>
  <c r="J60" i="126"/>
  <c r="J51" i="126"/>
  <c r="V51" i="126" s="1"/>
  <c r="J50" i="126"/>
  <c r="W50" i="126" s="1"/>
  <c r="J49" i="126"/>
  <c r="W49" i="126" s="1"/>
  <c r="J48" i="126"/>
  <c r="W48" i="126" s="1"/>
  <c r="J47" i="126"/>
  <c r="V47" i="126" s="1"/>
  <c r="J46" i="126"/>
  <c r="V46" i="126" s="1"/>
  <c r="J45" i="126"/>
  <c r="V45" i="126" s="1"/>
  <c r="J44" i="126"/>
  <c r="W44" i="126" s="1"/>
  <c r="J43" i="126"/>
  <c r="W43" i="126" s="1"/>
  <c r="J42" i="126"/>
  <c r="W42" i="126" s="1"/>
  <c r="J41" i="126"/>
  <c r="V41" i="126" s="1"/>
  <c r="J40" i="126"/>
  <c r="W40" i="126" s="1"/>
  <c r="J38" i="126"/>
  <c r="V38" i="126" s="1"/>
  <c r="J37" i="126"/>
  <c r="V37" i="126" s="1"/>
  <c r="J36" i="126"/>
  <c r="W36" i="126" s="1"/>
  <c r="J34" i="126"/>
  <c r="W34" i="126" s="1"/>
  <c r="J33" i="126"/>
  <c r="J32" i="126"/>
  <c r="W32" i="126" s="1"/>
  <c r="J31" i="126"/>
  <c r="V31" i="126" s="1"/>
  <c r="J30" i="126"/>
  <c r="V30" i="126" s="1"/>
  <c r="J29" i="126"/>
  <c r="V29" i="126" s="1"/>
  <c r="J27" i="126"/>
  <c r="J26" i="126"/>
  <c r="W26" i="126" s="1"/>
  <c r="J24" i="126"/>
  <c r="W24" i="126" s="1"/>
  <c r="J23" i="126"/>
  <c r="V23" i="126" s="1"/>
  <c r="J22" i="126"/>
  <c r="V22" i="126" s="1"/>
  <c r="J19" i="126"/>
  <c r="W19" i="126" s="1"/>
  <c r="J18" i="126"/>
  <c r="W18" i="126" s="1"/>
  <c r="J16" i="126"/>
  <c r="V16" i="126" s="1"/>
  <c r="J15" i="126"/>
  <c r="V15" i="126" s="1"/>
  <c r="J14" i="126"/>
  <c r="V14" i="126" s="1"/>
  <c r="J13" i="126"/>
  <c r="V13" i="126" s="1"/>
  <c r="J12" i="126"/>
  <c r="V12" i="126" s="1"/>
  <c r="J11" i="126"/>
  <c r="W11" i="126" s="1"/>
  <c r="J9" i="126"/>
  <c r="W9" i="126" s="1"/>
  <c r="N8" i="126"/>
  <c r="J8" i="126"/>
  <c r="W8" i="126" s="1"/>
  <c r="J7" i="126"/>
  <c r="W7" i="126" s="1"/>
  <c r="N6" i="126"/>
  <c r="J6" i="126"/>
  <c r="V6" i="126" s="1"/>
  <c r="N4" i="126"/>
  <c r="V81" i="126" l="1"/>
  <c r="W112" i="126"/>
  <c r="V50" i="126"/>
  <c r="V80" i="126"/>
  <c r="W113" i="126"/>
  <c r="W46" i="126"/>
  <c r="W45" i="126"/>
  <c r="W82" i="126"/>
  <c r="V97" i="126"/>
  <c r="W83" i="127"/>
  <c r="P6" i="127" s="1"/>
  <c r="V114" i="127"/>
  <c r="O8" i="127" s="1"/>
  <c r="V52" i="127"/>
  <c r="O4" i="127" s="1"/>
  <c r="W114" i="127"/>
  <c r="P8" i="127" s="1"/>
  <c r="V83" i="127"/>
  <c r="O6" i="127" s="1"/>
  <c r="W52" i="127"/>
  <c r="P4" i="127" s="1"/>
  <c r="W76" i="126"/>
  <c r="V75" i="126"/>
  <c r="V74" i="126"/>
  <c r="V72" i="126"/>
  <c r="W65" i="126"/>
  <c r="V64" i="126"/>
  <c r="V109" i="126"/>
  <c r="W106" i="126"/>
  <c r="W105" i="126"/>
  <c r="V104" i="126"/>
  <c r="W101" i="126"/>
  <c r="W100" i="126"/>
  <c r="V94" i="126"/>
  <c r="V92" i="126"/>
  <c r="V39" i="126"/>
  <c r="W38" i="126"/>
  <c r="W37" i="126"/>
  <c r="V19" i="126"/>
  <c r="W15" i="126"/>
  <c r="W10" i="126"/>
  <c r="W29" i="126"/>
  <c r="V28" i="126"/>
  <c r="V24" i="126"/>
  <c r="W23" i="126"/>
  <c r="W22" i="126"/>
  <c r="V17" i="126"/>
  <c r="W16" i="126"/>
  <c r="W14" i="126"/>
  <c r="W13" i="126"/>
  <c r="W12" i="126"/>
  <c r="V11" i="126"/>
  <c r="V8" i="126"/>
  <c r="W6" i="126"/>
  <c r="V99" i="126"/>
  <c r="W95" i="126"/>
  <c r="N10" i="126"/>
  <c r="V63" i="126"/>
  <c r="V36" i="126"/>
  <c r="V42" i="126"/>
  <c r="V44" i="126"/>
  <c r="W30" i="126"/>
  <c r="W41" i="126"/>
  <c r="W27" i="126"/>
  <c r="V27" i="126"/>
  <c r="W33" i="126"/>
  <c r="V33" i="126"/>
  <c r="W60" i="126"/>
  <c r="V60" i="126"/>
  <c r="J83" i="126"/>
  <c r="W35" i="126"/>
  <c r="V35" i="126"/>
  <c r="W62" i="126"/>
  <c r="V62" i="126"/>
  <c r="J52" i="126"/>
  <c r="W69" i="126"/>
  <c r="V69" i="126"/>
  <c r="W96" i="126"/>
  <c r="V96" i="126"/>
  <c r="V9" i="126"/>
  <c r="V18" i="126"/>
  <c r="V21" i="126"/>
  <c r="W25" i="126"/>
  <c r="W31" i="126"/>
  <c r="V34" i="126"/>
  <c r="V40" i="126"/>
  <c r="V43" i="126"/>
  <c r="W47" i="126"/>
  <c r="V49" i="126"/>
  <c r="W67" i="126"/>
  <c r="V73" i="126"/>
  <c r="V93" i="126"/>
  <c r="V98" i="126"/>
  <c r="W102" i="126"/>
  <c r="V102" i="126"/>
  <c r="W107" i="126"/>
  <c r="W71" i="126"/>
  <c r="V71" i="126"/>
  <c r="W78" i="126"/>
  <c r="V78" i="126"/>
  <c r="V7" i="126"/>
  <c r="W68" i="126"/>
  <c r="V68" i="126"/>
  <c r="W70" i="126"/>
  <c r="V70" i="126"/>
  <c r="W77" i="126"/>
  <c r="V77" i="126"/>
  <c r="W79" i="126"/>
  <c r="V79" i="126"/>
  <c r="W108" i="126"/>
  <c r="V108" i="126"/>
  <c r="V111" i="126"/>
  <c r="W20" i="126"/>
  <c r="V26" i="126"/>
  <c r="V32" i="126"/>
  <c r="V48" i="126"/>
  <c r="W51" i="126"/>
  <c r="V61" i="126"/>
  <c r="W66" i="126"/>
  <c r="W91" i="126"/>
  <c r="J114" i="126"/>
  <c r="V103" i="126"/>
  <c r="V110" i="126"/>
  <c r="H47" i="125"/>
  <c r="P10" i="127" l="1"/>
  <c r="R6" i="127"/>
  <c r="Q6" i="127"/>
  <c r="R4" i="127"/>
  <c r="O10" i="127"/>
  <c r="R10" i="127" s="1"/>
  <c r="P12" i="127" s="1"/>
  <c r="Q4" i="127"/>
  <c r="Q8" i="127"/>
  <c r="R8" i="127"/>
  <c r="V114" i="126"/>
  <c r="O8" i="126" s="1"/>
  <c r="R8" i="126" s="1"/>
  <c r="V52" i="126"/>
  <c r="O4" i="126" s="1"/>
  <c r="R4" i="126" s="1"/>
  <c r="W52" i="126"/>
  <c r="P4" i="126" s="1"/>
  <c r="W114" i="126"/>
  <c r="P8" i="126" s="1"/>
  <c r="V83" i="126"/>
  <c r="O6" i="126" s="1"/>
  <c r="W83" i="126"/>
  <c r="P6" i="126" s="1"/>
  <c r="H18" i="125"/>
  <c r="H111" i="125"/>
  <c r="H110" i="125"/>
  <c r="H107" i="125"/>
  <c r="H105" i="125"/>
  <c r="H101" i="125"/>
  <c r="H98" i="125"/>
  <c r="H94" i="125"/>
  <c r="H93" i="125"/>
  <c r="H79" i="125"/>
  <c r="H78" i="125"/>
  <c r="H74" i="125"/>
  <c r="H73" i="125"/>
  <c r="H71" i="125"/>
  <c r="H70" i="125"/>
  <c r="H69" i="125"/>
  <c r="H67" i="125"/>
  <c r="H66" i="125"/>
  <c r="H62" i="125"/>
  <c r="H61" i="125"/>
  <c r="H60" i="125"/>
  <c r="H45" i="125"/>
  <c r="H44" i="125"/>
  <c r="H43" i="125"/>
  <c r="Q10" i="127" l="1"/>
  <c r="Q4" i="126"/>
  <c r="P10" i="126"/>
  <c r="R6" i="126"/>
  <c r="Q6" i="126"/>
  <c r="Q8" i="126"/>
  <c r="O10" i="126"/>
  <c r="R10" i="126" s="1"/>
  <c r="P12" i="126" s="1"/>
  <c r="N4" i="125"/>
  <c r="H40" i="125"/>
  <c r="H35" i="125"/>
  <c r="H34" i="125"/>
  <c r="H33" i="125"/>
  <c r="H31" i="125"/>
  <c r="Q10" i="126" l="1"/>
  <c r="H27" i="125"/>
  <c r="H23" i="125"/>
  <c r="J23" i="125" s="1"/>
  <c r="H19" i="125"/>
  <c r="J19" i="125" s="1"/>
  <c r="H16" i="125"/>
  <c r="J16" i="125" s="1"/>
  <c r="H15" i="125"/>
  <c r="H14" i="125"/>
  <c r="J14" i="125" s="1"/>
  <c r="H13" i="125"/>
  <c r="J13" i="125" s="1"/>
  <c r="H12" i="125"/>
  <c r="J12" i="125" s="1"/>
  <c r="H9" i="125"/>
  <c r="H7" i="125"/>
  <c r="J7" i="125" s="1"/>
  <c r="W7" i="125" s="1"/>
  <c r="J113" i="125"/>
  <c r="J112" i="125"/>
  <c r="J111" i="125"/>
  <c r="J110" i="125"/>
  <c r="J109" i="125"/>
  <c r="J108" i="125"/>
  <c r="J107" i="125"/>
  <c r="J106" i="125"/>
  <c r="J105" i="125"/>
  <c r="J104" i="125"/>
  <c r="J103" i="125"/>
  <c r="J102" i="125"/>
  <c r="J101" i="125"/>
  <c r="J100" i="125"/>
  <c r="J99" i="125"/>
  <c r="J98" i="125"/>
  <c r="J97" i="125"/>
  <c r="J96" i="125"/>
  <c r="J95" i="125"/>
  <c r="J94" i="125"/>
  <c r="J93" i="125"/>
  <c r="J92" i="125"/>
  <c r="J91" i="125"/>
  <c r="V91" i="125" s="1"/>
  <c r="J82" i="125"/>
  <c r="J81" i="125"/>
  <c r="J80" i="125"/>
  <c r="J79" i="125"/>
  <c r="J78" i="125"/>
  <c r="J77" i="125"/>
  <c r="J76" i="125"/>
  <c r="J75" i="125"/>
  <c r="J74" i="125"/>
  <c r="J73" i="125"/>
  <c r="J72" i="125"/>
  <c r="J71" i="125"/>
  <c r="J70" i="125"/>
  <c r="J69" i="125"/>
  <c r="J68" i="125"/>
  <c r="J67" i="125"/>
  <c r="J66" i="125"/>
  <c r="J65" i="125"/>
  <c r="J64" i="125"/>
  <c r="J63" i="125"/>
  <c r="J62" i="125"/>
  <c r="J61" i="125"/>
  <c r="J60" i="125"/>
  <c r="J51" i="125"/>
  <c r="J50" i="125"/>
  <c r="J49" i="125"/>
  <c r="J48" i="125"/>
  <c r="J47" i="125"/>
  <c r="J46" i="125"/>
  <c r="J45" i="125"/>
  <c r="J44" i="125"/>
  <c r="J43" i="125"/>
  <c r="J42" i="125"/>
  <c r="J41" i="125"/>
  <c r="J40" i="125"/>
  <c r="J39" i="125"/>
  <c r="J38" i="125"/>
  <c r="J37" i="125"/>
  <c r="J36" i="125"/>
  <c r="J35" i="125"/>
  <c r="J34" i="125"/>
  <c r="J33" i="125"/>
  <c r="J32" i="125"/>
  <c r="J31" i="125"/>
  <c r="J30" i="125"/>
  <c r="J29" i="125"/>
  <c r="J28" i="125"/>
  <c r="J27" i="125"/>
  <c r="J26" i="125"/>
  <c r="J25" i="125"/>
  <c r="J24" i="125"/>
  <c r="J22" i="125"/>
  <c r="J21" i="125"/>
  <c r="J20" i="125"/>
  <c r="J18" i="125"/>
  <c r="J17" i="125"/>
  <c r="J15" i="125"/>
  <c r="J11" i="125"/>
  <c r="J10" i="125"/>
  <c r="J9" i="125"/>
  <c r="N8" i="125"/>
  <c r="J8" i="125"/>
  <c r="N6" i="125"/>
  <c r="J6" i="125"/>
  <c r="V6" i="125" s="1"/>
  <c r="W6" i="125" l="1"/>
  <c r="W13" i="125"/>
  <c r="V13" i="125"/>
  <c r="W19" i="125"/>
  <c r="V19" i="125"/>
  <c r="W14" i="125"/>
  <c r="V14" i="125"/>
  <c r="W23" i="125"/>
  <c r="V23" i="125"/>
  <c r="V12" i="125"/>
  <c r="W12" i="125"/>
  <c r="V21" i="125"/>
  <c r="W21" i="125"/>
  <c r="V29" i="125"/>
  <c r="W29" i="125"/>
  <c r="W81" i="125"/>
  <c r="V81" i="125"/>
  <c r="V22" i="125"/>
  <c r="W22" i="125"/>
  <c r="V38" i="125"/>
  <c r="W38" i="125"/>
  <c r="V82" i="125"/>
  <c r="W82" i="125"/>
  <c r="V10" i="125"/>
  <c r="W10" i="125"/>
  <c r="W27" i="125"/>
  <c r="V27" i="125"/>
  <c r="V31" i="125"/>
  <c r="W31" i="125"/>
  <c r="V35" i="125"/>
  <c r="W35" i="125"/>
  <c r="V39" i="125"/>
  <c r="W39" i="125"/>
  <c r="W51" i="125"/>
  <c r="V51" i="125"/>
  <c r="V25" i="125"/>
  <c r="W25" i="125"/>
  <c r="W33" i="125"/>
  <c r="V33" i="125"/>
  <c r="W41" i="125"/>
  <c r="V41" i="125"/>
  <c r="V49" i="125"/>
  <c r="W49" i="125"/>
  <c r="V113" i="125"/>
  <c r="W113" i="125"/>
  <c r="W9" i="125"/>
  <c r="V9" i="125"/>
  <c r="W26" i="125"/>
  <c r="V26" i="125"/>
  <c r="V34" i="125"/>
  <c r="W34" i="125"/>
  <c r="V50" i="125"/>
  <c r="W50" i="125"/>
  <c r="V8" i="125"/>
  <c r="W8" i="125"/>
  <c r="V11" i="125"/>
  <c r="W11" i="125"/>
  <c r="V15" i="125"/>
  <c r="W15" i="125"/>
  <c r="V20" i="125"/>
  <c r="W20" i="125"/>
  <c r="W24" i="125"/>
  <c r="V24" i="125"/>
  <c r="V28" i="125"/>
  <c r="W28" i="125"/>
  <c r="W32" i="125"/>
  <c r="V32" i="125"/>
  <c r="W36" i="125"/>
  <c r="V36" i="125"/>
  <c r="V40" i="125"/>
  <c r="W40" i="125"/>
  <c r="W48" i="125"/>
  <c r="V48" i="125"/>
  <c r="W112" i="125"/>
  <c r="V112" i="125"/>
  <c r="V16" i="125"/>
  <c r="W16" i="125"/>
  <c r="W46" i="125"/>
  <c r="V46" i="125"/>
  <c r="W47" i="125"/>
  <c r="V47" i="125"/>
  <c r="V80" i="125"/>
  <c r="W80" i="125"/>
  <c r="V17" i="125"/>
  <c r="W17" i="125"/>
  <c r="V30" i="125"/>
  <c r="W30" i="125"/>
  <c r="V37" i="125"/>
  <c r="W37" i="125"/>
  <c r="V77" i="125"/>
  <c r="W77" i="125"/>
  <c r="V108" i="125"/>
  <c r="W108" i="125"/>
  <c r="V104" i="125"/>
  <c r="W104" i="125"/>
  <c r="V18" i="125"/>
  <c r="W18" i="125"/>
  <c r="V111" i="125"/>
  <c r="W111" i="125"/>
  <c r="V110" i="125"/>
  <c r="W110" i="125"/>
  <c r="V109" i="125"/>
  <c r="W109" i="125"/>
  <c r="W107" i="125"/>
  <c r="V107" i="125"/>
  <c r="V106" i="125"/>
  <c r="W106" i="125"/>
  <c r="W105" i="125"/>
  <c r="V105" i="125"/>
  <c r="V103" i="125"/>
  <c r="W103" i="125"/>
  <c r="V102" i="125"/>
  <c r="W102" i="125"/>
  <c r="V101" i="125"/>
  <c r="W101" i="125"/>
  <c r="V100" i="125"/>
  <c r="W100" i="125"/>
  <c r="V99" i="125"/>
  <c r="W99" i="125"/>
  <c r="V98" i="125"/>
  <c r="W98" i="125"/>
  <c r="V96" i="125"/>
  <c r="W96" i="125"/>
  <c r="W97" i="125"/>
  <c r="V97" i="125"/>
  <c r="V95" i="125"/>
  <c r="W95" i="125"/>
  <c r="V94" i="125"/>
  <c r="W94" i="125"/>
  <c r="V93" i="125"/>
  <c r="W93" i="125"/>
  <c r="V92" i="125"/>
  <c r="W92" i="125"/>
  <c r="V79" i="125"/>
  <c r="W79" i="125"/>
  <c r="V78" i="125"/>
  <c r="W78" i="125"/>
  <c r="V76" i="125"/>
  <c r="W76" i="125"/>
  <c r="V75" i="125"/>
  <c r="W75" i="125"/>
  <c r="V74" i="125"/>
  <c r="W74" i="125"/>
  <c r="V73" i="125"/>
  <c r="W73" i="125"/>
  <c r="V72" i="125"/>
  <c r="W72" i="125"/>
  <c r="V71" i="125"/>
  <c r="W71" i="125"/>
  <c r="V70" i="125"/>
  <c r="W70" i="125"/>
  <c r="V69" i="125"/>
  <c r="W69" i="125"/>
  <c r="V68" i="125"/>
  <c r="W68" i="125"/>
  <c r="V67" i="125"/>
  <c r="W67" i="125"/>
  <c r="V66" i="125"/>
  <c r="W66" i="125"/>
  <c r="V65" i="125"/>
  <c r="W65" i="125"/>
  <c r="V64" i="125"/>
  <c r="W64" i="125"/>
  <c r="V63" i="125"/>
  <c r="W63" i="125"/>
  <c r="V62" i="125"/>
  <c r="W62" i="125"/>
  <c r="V61" i="125"/>
  <c r="W61" i="125"/>
  <c r="W45" i="125"/>
  <c r="V45" i="125"/>
  <c r="V44" i="125"/>
  <c r="W44" i="125"/>
  <c r="V43" i="125"/>
  <c r="W43" i="125"/>
  <c r="V42" i="125"/>
  <c r="W42" i="125"/>
  <c r="N10" i="125"/>
  <c r="J83" i="125"/>
  <c r="V7" i="125"/>
  <c r="J52" i="125"/>
  <c r="J114" i="125"/>
  <c r="W91" i="125"/>
  <c r="W60" i="125"/>
  <c r="V60" i="125"/>
  <c r="H110" i="124"/>
  <c r="H32" i="124"/>
  <c r="H79" i="124"/>
  <c r="V114" i="125" l="1"/>
  <c r="O8" i="125" s="1"/>
  <c r="R8" i="125" s="1"/>
  <c r="W114" i="125"/>
  <c r="P8" i="125" s="1"/>
  <c r="V52" i="125"/>
  <c r="O4" i="125" s="1"/>
  <c r="W52" i="125"/>
  <c r="P4" i="125" s="1"/>
  <c r="V83" i="125"/>
  <c r="O6" i="125" s="1"/>
  <c r="Q8" i="125"/>
  <c r="W83" i="125"/>
  <c r="P6" i="125" s="1"/>
  <c r="H47" i="124"/>
  <c r="H46" i="124"/>
  <c r="H45" i="124"/>
  <c r="H44" i="124"/>
  <c r="H42" i="124"/>
  <c r="H41" i="124"/>
  <c r="H39" i="124"/>
  <c r="H38" i="124"/>
  <c r="H37" i="124"/>
  <c r="H31" i="124"/>
  <c r="H33" i="124"/>
  <c r="H76" i="124"/>
  <c r="H75" i="124"/>
  <c r="H72" i="124"/>
  <c r="H112" i="124"/>
  <c r="H106" i="124"/>
  <c r="H104" i="124"/>
  <c r="H101" i="124"/>
  <c r="H71" i="124"/>
  <c r="H69" i="124"/>
  <c r="H68" i="124"/>
  <c r="H67" i="124"/>
  <c r="H66" i="124"/>
  <c r="H63" i="124"/>
  <c r="H62" i="124"/>
  <c r="H60" i="124"/>
  <c r="H29" i="124"/>
  <c r="H28" i="124"/>
  <c r="H27" i="124"/>
  <c r="H25" i="124"/>
  <c r="H21" i="124"/>
  <c r="H19" i="124"/>
  <c r="H17" i="124"/>
  <c r="H15" i="124"/>
  <c r="H12" i="124"/>
  <c r="H11" i="124"/>
  <c r="H10" i="124"/>
  <c r="H9" i="124"/>
  <c r="Q4" i="125" l="1"/>
  <c r="R4" i="125"/>
  <c r="P10" i="125"/>
  <c r="O10" i="125"/>
  <c r="R10" i="125" s="1"/>
  <c r="P12" i="125" s="1"/>
  <c r="R6" i="125"/>
  <c r="Q6" i="125"/>
  <c r="J113" i="124"/>
  <c r="W113" i="124" s="1"/>
  <c r="J112" i="124"/>
  <c r="W112" i="124" s="1"/>
  <c r="J111" i="124"/>
  <c r="J110" i="124"/>
  <c r="J109" i="124"/>
  <c r="J108" i="124"/>
  <c r="V108" i="124" s="1"/>
  <c r="J107" i="124"/>
  <c r="W107" i="124" s="1"/>
  <c r="J106" i="124"/>
  <c r="W106" i="124" s="1"/>
  <c r="J105" i="124"/>
  <c r="W105" i="124" s="1"/>
  <c r="J104" i="124"/>
  <c r="V104" i="124" s="1"/>
  <c r="J103" i="124"/>
  <c r="J102" i="124"/>
  <c r="W102" i="124" s="1"/>
  <c r="J101" i="124"/>
  <c r="W101" i="124" s="1"/>
  <c r="J100" i="124"/>
  <c r="W100" i="124" s="1"/>
  <c r="J99" i="124"/>
  <c r="V99" i="124" s="1"/>
  <c r="J98" i="124"/>
  <c r="W98" i="124" s="1"/>
  <c r="J97" i="124"/>
  <c r="W97" i="124" s="1"/>
  <c r="J96" i="124"/>
  <c r="W96" i="124" s="1"/>
  <c r="J95" i="124"/>
  <c r="V95" i="124" s="1"/>
  <c r="J94" i="124"/>
  <c r="W94" i="124" s="1"/>
  <c r="J93" i="124"/>
  <c r="W93" i="124" s="1"/>
  <c r="J92" i="124"/>
  <c r="W92" i="124" s="1"/>
  <c r="J91" i="124"/>
  <c r="W91" i="124" s="1"/>
  <c r="J82" i="124"/>
  <c r="W82" i="124" s="1"/>
  <c r="J81" i="124"/>
  <c r="W81" i="124" s="1"/>
  <c r="J80" i="124"/>
  <c r="J79" i="124"/>
  <c r="J78" i="124"/>
  <c r="J77" i="124"/>
  <c r="J76" i="124"/>
  <c r="V76" i="124" s="1"/>
  <c r="J75" i="124"/>
  <c r="W75" i="124" s="1"/>
  <c r="J74" i="124"/>
  <c r="W74" i="124" s="1"/>
  <c r="J73" i="124"/>
  <c r="W73" i="124" s="1"/>
  <c r="J72" i="124"/>
  <c r="W72" i="124" s="1"/>
  <c r="J71" i="124"/>
  <c r="J70" i="124"/>
  <c r="J69" i="124"/>
  <c r="J68" i="124"/>
  <c r="J67" i="124"/>
  <c r="V67" i="124" s="1"/>
  <c r="J66" i="124"/>
  <c r="J65" i="124"/>
  <c r="W65" i="124" s="1"/>
  <c r="J64" i="124"/>
  <c r="W64" i="124" s="1"/>
  <c r="J63" i="124"/>
  <c r="W63" i="124" s="1"/>
  <c r="J62" i="124"/>
  <c r="W62" i="124" s="1"/>
  <c r="J61" i="124"/>
  <c r="V61" i="124" s="1"/>
  <c r="J60" i="124"/>
  <c r="J51" i="124"/>
  <c r="W51" i="124" s="1"/>
  <c r="J50" i="124"/>
  <c r="J49" i="124"/>
  <c r="W49" i="124" s="1"/>
  <c r="J48" i="124"/>
  <c r="W48" i="124" s="1"/>
  <c r="J47" i="124"/>
  <c r="J46" i="124"/>
  <c r="J45" i="124"/>
  <c r="J44" i="124"/>
  <c r="J43" i="124"/>
  <c r="J42" i="124"/>
  <c r="J41" i="124"/>
  <c r="J40" i="124"/>
  <c r="W40" i="124" s="1"/>
  <c r="J39" i="124"/>
  <c r="W39" i="124" s="1"/>
  <c r="J38" i="124"/>
  <c r="W38" i="124" s="1"/>
  <c r="J37" i="124"/>
  <c r="V37" i="124" s="1"/>
  <c r="J36" i="124"/>
  <c r="W36" i="124" s="1"/>
  <c r="J35" i="124"/>
  <c r="W35" i="124" s="1"/>
  <c r="J34" i="124"/>
  <c r="W34" i="124" s="1"/>
  <c r="J33" i="124"/>
  <c r="W33" i="124" s="1"/>
  <c r="J32" i="124"/>
  <c r="W32" i="124" s="1"/>
  <c r="J31" i="124"/>
  <c r="W31" i="124" s="1"/>
  <c r="J30" i="124"/>
  <c r="W30" i="124" s="1"/>
  <c r="J29" i="124"/>
  <c r="V29" i="124" s="1"/>
  <c r="J28" i="124"/>
  <c r="W28" i="124" s="1"/>
  <c r="J27" i="124"/>
  <c r="W27" i="124" s="1"/>
  <c r="J26" i="124"/>
  <c r="J25" i="124"/>
  <c r="J24" i="124"/>
  <c r="V24" i="124" s="1"/>
  <c r="W23" i="124"/>
  <c r="J23" i="124"/>
  <c r="V23" i="124" s="1"/>
  <c r="J22" i="124"/>
  <c r="W22" i="124" s="1"/>
  <c r="J21" i="124"/>
  <c r="W21" i="124" s="1"/>
  <c r="J20" i="124"/>
  <c r="W20" i="124" s="1"/>
  <c r="J19" i="124"/>
  <c r="J18" i="124"/>
  <c r="V18" i="124" s="1"/>
  <c r="J17" i="124"/>
  <c r="W17" i="124" s="1"/>
  <c r="J16" i="124"/>
  <c r="W16" i="124" s="1"/>
  <c r="J15" i="124"/>
  <c r="W15" i="124" s="1"/>
  <c r="J14" i="124"/>
  <c r="W14" i="124" s="1"/>
  <c r="J13" i="124"/>
  <c r="W13" i="124" s="1"/>
  <c r="J12" i="124"/>
  <c r="W12" i="124" s="1"/>
  <c r="J11" i="124"/>
  <c r="W11" i="124" s="1"/>
  <c r="J10" i="124"/>
  <c r="W10" i="124" s="1"/>
  <c r="J9" i="124"/>
  <c r="W9" i="124" s="1"/>
  <c r="N8" i="124"/>
  <c r="J8" i="124"/>
  <c r="W8" i="124" s="1"/>
  <c r="J7" i="124"/>
  <c r="W7" i="124" s="1"/>
  <c r="N6" i="124"/>
  <c r="J6" i="124"/>
  <c r="W6" i="124" s="1"/>
  <c r="N4" i="124"/>
  <c r="R4" i="124" s="1"/>
  <c r="W29" i="124" l="1"/>
  <c r="V51" i="124"/>
  <c r="V113" i="124"/>
  <c r="V15" i="124"/>
  <c r="W24" i="124"/>
  <c r="V49" i="124"/>
  <c r="W95" i="124"/>
  <c r="V31" i="124"/>
  <c r="Q10" i="125"/>
  <c r="V40" i="124"/>
  <c r="W37" i="124"/>
  <c r="V36" i="124"/>
  <c r="V82" i="124"/>
  <c r="W76" i="124"/>
  <c r="V75" i="124"/>
  <c r="V74" i="124"/>
  <c r="V73" i="124"/>
  <c r="V106" i="124"/>
  <c r="V101" i="124"/>
  <c r="W99" i="124"/>
  <c r="V97" i="124"/>
  <c r="V93" i="124"/>
  <c r="V64" i="124"/>
  <c r="W61" i="124"/>
  <c r="V28" i="124"/>
  <c r="W18" i="124"/>
  <c r="V17" i="124"/>
  <c r="V13" i="124"/>
  <c r="V12" i="124"/>
  <c r="V10" i="124"/>
  <c r="V94" i="124"/>
  <c r="V98" i="124"/>
  <c r="V102" i="124"/>
  <c r="W104" i="124"/>
  <c r="W108" i="124"/>
  <c r="V107" i="124"/>
  <c r="V65" i="124"/>
  <c r="W67" i="124"/>
  <c r="N10" i="124"/>
  <c r="V9" i="124"/>
  <c r="V11" i="124"/>
  <c r="V16" i="124"/>
  <c r="V22" i="124"/>
  <c r="V30" i="124"/>
  <c r="V39" i="124"/>
  <c r="V35" i="124"/>
  <c r="V38" i="124"/>
  <c r="W71" i="124"/>
  <c r="V71" i="124"/>
  <c r="W77" i="124"/>
  <c r="V77" i="124"/>
  <c r="W111" i="124"/>
  <c r="V111" i="124"/>
  <c r="W19" i="124"/>
  <c r="V19" i="124"/>
  <c r="W25" i="124"/>
  <c r="V25" i="124"/>
  <c r="W41" i="124"/>
  <c r="V41" i="124"/>
  <c r="W68" i="124"/>
  <c r="V68" i="124"/>
  <c r="W78" i="124"/>
  <c r="V78" i="124"/>
  <c r="W26" i="124"/>
  <c r="V26" i="124"/>
  <c r="V66" i="124"/>
  <c r="W66" i="124"/>
  <c r="W69" i="124"/>
  <c r="V69" i="124"/>
  <c r="W79" i="124"/>
  <c r="V79" i="124"/>
  <c r="W109" i="124"/>
  <c r="V109" i="124"/>
  <c r="V60" i="124"/>
  <c r="J83" i="124"/>
  <c r="W60" i="124"/>
  <c r="W70" i="124"/>
  <c r="V70" i="124"/>
  <c r="W80" i="124"/>
  <c r="V80" i="124"/>
  <c r="J114" i="124"/>
  <c r="V103" i="124"/>
  <c r="W103" i="124"/>
  <c r="W110" i="124"/>
  <c r="V110" i="124"/>
  <c r="V7" i="124"/>
  <c r="V8" i="124"/>
  <c r="V14" i="124"/>
  <c r="V20" i="124"/>
  <c r="V21" i="124"/>
  <c r="V27" i="124"/>
  <c r="V32" i="124"/>
  <c r="V33" i="124"/>
  <c r="V34" i="124"/>
  <c r="V48" i="124"/>
  <c r="V62" i="124"/>
  <c r="V63" i="124"/>
  <c r="V72" i="124"/>
  <c r="V81" i="124"/>
  <c r="V92" i="124"/>
  <c r="V96" i="124"/>
  <c r="V100" i="124"/>
  <c r="V105" i="124"/>
  <c r="V112" i="124"/>
  <c r="V6" i="124"/>
  <c r="J52" i="124"/>
  <c r="V91" i="124"/>
  <c r="H111" i="123"/>
  <c r="H80" i="123"/>
  <c r="W52" i="124" l="1"/>
  <c r="P4" i="124" s="1"/>
  <c r="W114" i="124"/>
  <c r="P8" i="124" s="1"/>
  <c r="V52" i="124"/>
  <c r="W83" i="124"/>
  <c r="P6" i="124" s="1"/>
  <c r="V114" i="124"/>
  <c r="O8" i="124" s="1"/>
  <c r="V83" i="124"/>
  <c r="O6" i="124" s="1"/>
  <c r="H45" i="123"/>
  <c r="H44" i="123"/>
  <c r="H79" i="123"/>
  <c r="H110" i="123"/>
  <c r="P10" i="124" l="1"/>
  <c r="Q6" i="124"/>
  <c r="R6" i="124"/>
  <c r="O10" i="124"/>
  <c r="R10" i="124" s="1"/>
  <c r="P12" i="124" s="1"/>
  <c r="R8" i="124"/>
  <c r="Q8" i="124"/>
  <c r="H109" i="123"/>
  <c r="H78" i="123"/>
  <c r="H77" i="123"/>
  <c r="H74" i="123"/>
  <c r="H103" i="123"/>
  <c r="H71" i="123"/>
  <c r="H70" i="123"/>
  <c r="H69" i="123"/>
  <c r="H68" i="123"/>
  <c r="H66" i="123"/>
  <c r="H41" i="123"/>
  <c r="H39" i="123"/>
  <c r="H38" i="123"/>
  <c r="H37" i="123"/>
  <c r="H34" i="123"/>
  <c r="H33" i="123"/>
  <c r="H30" i="123"/>
  <c r="H26" i="123"/>
  <c r="H25" i="123"/>
  <c r="H21" i="123"/>
  <c r="H17" i="123"/>
  <c r="Q10" i="124" l="1"/>
  <c r="H19" i="123"/>
  <c r="H63" i="123"/>
  <c r="H60" i="123"/>
  <c r="J113" i="123"/>
  <c r="V113" i="123" s="1"/>
  <c r="J112" i="123"/>
  <c r="W112" i="123" s="1"/>
  <c r="J111" i="123"/>
  <c r="W111" i="123" s="1"/>
  <c r="J110" i="123"/>
  <c r="V110" i="123" s="1"/>
  <c r="J109" i="123"/>
  <c r="V109" i="123" s="1"/>
  <c r="J108" i="123"/>
  <c r="W108" i="123" s="1"/>
  <c r="J107" i="123"/>
  <c r="W107" i="123" s="1"/>
  <c r="J106" i="123"/>
  <c r="V106" i="123" s="1"/>
  <c r="J105" i="123"/>
  <c r="V105" i="123" s="1"/>
  <c r="J104" i="123"/>
  <c r="J103" i="123"/>
  <c r="W103" i="123" s="1"/>
  <c r="J102" i="123"/>
  <c r="W102" i="123" s="1"/>
  <c r="J101" i="123"/>
  <c r="W101" i="123" s="1"/>
  <c r="J100" i="123"/>
  <c r="V100" i="123" s="1"/>
  <c r="J99" i="123"/>
  <c r="W99" i="123" s="1"/>
  <c r="J98" i="123"/>
  <c r="W98" i="123" s="1"/>
  <c r="J97" i="123"/>
  <c r="W97" i="123" s="1"/>
  <c r="J96" i="123"/>
  <c r="V96" i="123" s="1"/>
  <c r="J95" i="123"/>
  <c r="V95" i="123" s="1"/>
  <c r="J94" i="123"/>
  <c r="V94" i="123" s="1"/>
  <c r="J93" i="123"/>
  <c r="V93" i="123" s="1"/>
  <c r="J92" i="123"/>
  <c r="W92" i="123" s="1"/>
  <c r="J91" i="123"/>
  <c r="W91" i="123" s="1"/>
  <c r="J82" i="123"/>
  <c r="V82" i="123" s="1"/>
  <c r="J81" i="123"/>
  <c r="W81" i="123" s="1"/>
  <c r="J80" i="123"/>
  <c r="W80" i="123" s="1"/>
  <c r="J79" i="123"/>
  <c r="W79" i="123" s="1"/>
  <c r="J78" i="123"/>
  <c r="V78" i="123" s="1"/>
  <c r="J77" i="123"/>
  <c r="W77" i="123" s="1"/>
  <c r="J76" i="123"/>
  <c r="W76" i="123" s="1"/>
  <c r="J75" i="123"/>
  <c r="W75" i="123" s="1"/>
  <c r="J74" i="123"/>
  <c r="W74" i="123" s="1"/>
  <c r="J73" i="123"/>
  <c r="V73" i="123" s="1"/>
  <c r="J72" i="123"/>
  <c r="V72" i="123" s="1"/>
  <c r="J71" i="123"/>
  <c r="W71" i="123" s="1"/>
  <c r="J70" i="123"/>
  <c r="W70" i="123" s="1"/>
  <c r="J69" i="123"/>
  <c r="W69" i="123" s="1"/>
  <c r="J68" i="123"/>
  <c r="V68" i="123" s="1"/>
  <c r="J67" i="123"/>
  <c r="V67" i="123" s="1"/>
  <c r="J66" i="123"/>
  <c r="J65" i="123"/>
  <c r="W65" i="123" s="1"/>
  <c r="J64" i="123"/>
  <c r="W64" i="123" s="1"/>
  <c r="J63" i="123"/>
  <c r="W63" i="123" s="1"/>
  <c r="J62" i="123"/>
  <c r="V62" i="123" s="1"/>
  <c r="J61" i="123"/>
  <c r="J60" i="123"/>
  <c r="V60" i="123" s="1"/>
  <c r="J51" i="123"/>
  <c r="W51" i="123" s="1"/>
  <c r="J50" i="123"/>
  <c r="J49" i="123"/>
  <c r="W49" i="123" s="1"/>
  <c r="J48" i="123"/>
  <c r="V48" i="123" s="1"/>
  <c r="J47" i="123"/>
  <c r="J46" i="123"/>
  <c r="J45" i="123"/>
  <c r="J44" i="123"/>
  <c r="J43" i="123"/>
  <c r="J42" i="123"/>
  <c r="J41" i="123"/>
  <c r="W41" i="123" s="1"/>
  <c r="J40" i="123"/>
  <c r="W40" i="123" s="1"/>
  <c r="J39" i="123"/>
  <c r="V39" i="123" s="1"/>
  <c r="J38" i="123"/>
  <c r="W38" i="123" s="1"/>
  <c r="J37" i="123"/>
  <c r="W37" i="123" s="1"/>
  <c r="J36" i="123"/>
  <c r="W36" i="123" s="1"/>
  <c r="J35" i="123"/>
  <c r="W35" i="123" s="1"/>
  <c r="J34" i="123"/>
  <c r="V34" i="123" s="1"/>
  <c r="J33" i="123"/>
  <c r="W33" i="123" s="1"/>
  <c r="J32" i="123"/>
  <c r="W32" i="123" s="1"/>
  <c r="J31" i="123"/>
  <c r="W31" i="123" s="1"/>
  <c r="J30" i="123"/>
  <c r="V30" i="123" s="1"/>
  <c r="W29" i="123"/>
  <c r="J29" i="123"/>
  <c r="V29" i="123" s="1"/>
  <c r="J28" i="123"/>
  <c r="W28" i="123" s="1"/>
  <c r="J27" i="123"/>
  <c r="W27" i="123" s="1"/>
  <c r="J26" i="123"/>
  <c r="W26" i="123" s="1"/>
  <c r="J25" i="123"/>
  <c r="W25" i="123" s="1"/>
  <c r="J24" i="123"/>
  <c r="W24" i="123" s="1"/>
  <c r="J23" i="123"/>
  <c r="J22" i="123"/>
  <c r="W22" i="123" s="1"/>
  <c r="J21" i="123"/>
  <c r="W21" i="123" s="1"/>
  <c r="J20" i="123"/>
  <c r="V20" i="123" s="1"/>
  <c r="J19" i="123"/>
  <c r="W19" i="123" s="1"/>
  <c r="J18" i="123"/>
  <c r="W18" i="123" s="1"/>
  <c r="J17" i="123"/>
  <c r="W17" i="123" s="1"/>
  <c r="J16" i="123"/>
  <c r="W16" i="123" s="1"/>
  <c r="J15" i="123"/>
  <c r="W15" i="123" s="1"/>
  <c r="J14" i="123"/>
  <c r="W14" i="123" s="1"/>
  <c r="J13" i="123"/>
  <c r="W13" i="123" s="1"/>
  <c r="J12" i="123"/>
  <c r="W12" i="123" s="1"/>
  <c r="J11" i="123"/>
  <c r="W11" i="123" s="1"/>
  <c r="J10" i="123"/>
  <c r="W10" i="123" s="1"/>
  <c r="J9" i="123"/>
  <c r="W9" i="123" s="1"/>
  <c r="N8" i="123"/>
  <c r="J8" i="123"/>
  <c r="W8" i="123" s="1"/>
  <c r="J7" i="123"/>
  <c r="V7" i="123" s="1"/>
  <c r="N6" i="123"/>
  <c r="J6" i="123"/>
  <c r="N4" i="123"/>
  <c r="W48" i="123" l="1"/>
  <c r="W82" i="123"/>
  <c r="V112" i="123"/>
  <c r="V37" i="123"/>
  <c r="W78" i="123"/>
  <c r="V81" i="123"/>
  <c r="V103" i="123"/>
  <c r="W113" i="123"/>
  <c r="V101" i="123"/>
  <c r="V99" i="123"/>
  <c r="V97" i="123"/>
  <c r="W73" i="123"/>
  <c r="V71" i="123"/>
  <c r="W68" i="123"/>
  <c r="W67" i="123"/>
  <c r="W39" i="123"/>
  <c r="V38" i="123"/>
  <c r="V35" i="123"/>
  <c r="W34" i="123"/>
  <c r="W30" i="123"/>
  <c r="V21" i="123"/>
  <c r="W20" i="123"/>
  <c r="W95" i="123"/>
  <c r="W93" i="123"/>
  <c r="W62" i="123"/>
  <c r="V9" i="123"/>
  <c r="V8" i="123"/>
  <c r="J52" i="123"/>
  <c r="N10" i="123"/>
  <c r="W7" i="123"/>
  <c r="V92" i="123"/>
  <c r="W94" i="123"/>
  <c r="W96" i="123"/>
  <c r="W100" i="123"/>
  <c r="W106" i="123"/>
  <c r="W110" i="123"/>
  <c r="V108" i="123"/>
  <c r="W105" i="123"/>
  <c r="W109" i="123"/>
  <c r="V63" i="123"/>
  <c r="V65" i="123"/>
  <c r="W72" i="123"/>
  <c r="V74" i="123"/>
  <c r="V77" i="123"/>
  <c r="V79" i="123"/>
  <c r="J83" i="123"/>
  <c r="V10" i="123"/>
  <c r="V19" i="123"/>
  <c r="V22" i="123"/>
  <c r="V28" i="123"/>
  <c r="V31" i="123"/>
  <c r="V33" i="123"/>
  <c r="V6" i="123"/>
  <c r="V11" i="123"/>
  <c r="V18" i="123"/>
  <c r="W104" i="123"/>
  <c r="V104" i="123"/>
  <c r="W23" i="123"/>
  <c r="V23" i="123"/>
  <c r="W61" i="123"/>
  <c r="V61" i="123"/>
  <c r="W66" i="123"/>
  <c r="V66" i="123"/>
  <c r="W6" i="123"/>
  <c r="V12" i="123"/>
  <c r="V13" i="123"/>
  <c r="V14" i="123"/>
  <c r="V15" i="123"/>
  <c r="V16" i="123"/>
  <c r="V17" i="123"/>
  <c r="V24" i="123"/>
  <c r="V25" i="123"/>
  <c r="V26" i="123"/>
  <c r="V27" i="123"/>
  <c r="V32" i="123"/>
  <c r="V36" i="123"/>
  <c r="V40" i="123"/>
  <c r="V41" i="123"/>
  <c r="V49" i="123"/>
  <c r="V51" i="123"/>
  <c r="W60" i="123"/>
  <c r="V64" i="123"/>
  <c r="V69" i="123"/>
  <c r="V70" i="123"/>
  <c r="V75" i="123"/>
  <c r="V76" i="123"/>
  <c r="V80" i="123"/>
  <c r="V91" i="123"/>
  <c r="V98" i="123"/>
  <c r="V102" i="123"/>
  <c r="V107" i="123"/>
  <c r="V111" i="123"/>
  <c r="J114" i="123"/>
  <c r="H41" i="122"/>
  <c r="H76" i="122"/>
  <c r="H73" i="122"/>
  <c r="H104" i="122"/>
  <c r="H30" i="122"/>
  <c r="H70" i="122"/>
  <c r="H27" i="122"/>
  <c r="H26" i="122"/>
  <c r="H25" i="122"/>
  <c r="H23" i="122"/>
  <c r="H21" i="122"/>
  <c r="W114" i="123" l="1"/>
  <c r="P8" i="123" s="1"/>
  <c r="V83" i="123"/>
  <c r="O6" i="123" s="1"/>
  <c r="V52" i="123"/>
  <c r="R4" i="123" s="1"/>
  <c r="W83" i="123"/>
  <c r="P6" i="123" s="1"/>
  <c r="V114" i="123"/>
  <c r="O8" i="123" s="1"/>
  <c r="W52" i="123"/>
  <c r="P4" i="123" s="1"/>
  <c r="H96" i="122"/>
  <c r="H95" i="122"/>
  <c r="H94" i="122"/>
  <c r="H66" i="122"/>
  <c r="Q6" i="123" l="1"/>
  <c r="R6" i="123"/>
  <c r="P10" i="123"/>
  <c r="R8" i="123"/>
  <c r="Q8" i="123"/>
  <c r="O10" i="123"/>
  <c r="R10" i="123" s="1"/>
  <c r="P12" i="123" s="1"/>
  <c r="H61" i="122"/>
  <c r="H60" i="122"/>
  <c r="H19" i="122"/>
  <c r="H17" i="122"/>
  <c r="H16" i="122"/>
  <c r="H15" i="122"/>
  <c r="H14" i="122"/>
  <c r="H13" i="122"/>
  <c r="H12" i="122"/>
  <c r="H11" i="122"/>
  <c r="H10" i="122"/>
  <c r="H9" i="122"/>
  <c r="J113" i="122"/>
  <c r="W113" i="122" s="1"/>
  <c r="J112" i="122"/>
  <c r="W112" i="122" s="1"/>
  <c r="J111" i="122"/>
  <c r="V111" i="122" s="1"/>
  <c r="J110" i="122"/>
  <c r="V110" i="122" s="1"/>
  <c r="J109" i="122"/>
  <c r="W109" i="122" s="1"/>
  <c r="J108" i="122"/>
  <c r="W108" i="122" s="1"/>
  <c r="J107" i="122"/>
  <c r="V107" i="122" s="1"/>
  <c r="J106" i="122"/>
  <c r="J105" i="122"/>
  <c r="V105" i="122" s="1"/>
  <c r="J104" i="122"/>
  <c r="W104" i="122" s="1"/>
  <c r="J103" i="122"/>
  <c r="W103" i="122" s="1"/>
  <c r="J102" i="122"/>
  <c r="W102" i="122" s="1"/>
  <c r="J101" i="122"/>
  <c r="W101" i="122" s="1"/>
  <c r="J100" i="122"/>
  <c r="V100" i="122" s="1"/>
  <c r="J99" i="122"/>
  <c r="W99" i="122" s="1"/>
  <c r="J98" i="122"/>
  <c r="W98" i="122" s="1"/>
  <c r="J97" i="122"/>
  <c r="W97" i="122" s="1"/>
  <c r="J96" i="122"/>
  <c r="V96" i="122" s="1"/>
  <c r="J95" i="122"/>
  <c r="W95" i="122" s="1"/>
  <c r="J94" i="122"/>
  <c r="W94" i="122" s="1"/>
  <c r="J93" i="122"/>
  <c r="W93" i="122" s="1"/>
  <c r="J92" i="122"/>
  <c r="V92" i="122" s="1"/>
  <c r="J91" i="122"/>
  <c r="W91" i="122" s="1"/>
  <c r="J82" i="122"/>
  <c r="W82" i="122" s="1"/>
  <c r="J81" i="122"/>
  <c r="V81" i="122" s="1"/>
  <c r="J80" i="122"/>
  <c r="W80" i="122" s="1"/>
  <c r="J79" i="122"/>
  <c r="W79" i="122" s="1"/>
  <c r="J78" i="122"/>
  <c r="W78" i="122" s="1"/>
  <c r="J77" i="122"/>
  <c r="W77" i="122" s="1"/>
  <c r="J76" i="122"/>
  <c r="W76" i="122" s="1"/>
  <c r="J75" i="122"/>
  <c r="V75" i="122" s="1"/>
  <c r="J74" i="122"/>
  <c r="V74" i="122" s="1"/>
  <c r="J73" i="122"/>
  <c r="W73" i="122" s="1"/>
  <c r="J72" i="122"/>
  <c r="W72" i="122" s="1"/>
  <c r="J71" i="122"/>
  <c r="W71" i="122" s="1"/>
  <c r="J70" i="122"/>
  <c r="W70" i="122" s="1"/>
  <c r="J69" i="122"/>
  <c r="W69" i="122" s="1"/>
  <c r="J68" i="122"/>
  <c r="V68" i="122" s="1"/>
  <c r="J67" i="122"/>
  <c r="W67" i="122" s="1"/>
  <c r="J66" i="122"/>
  <c r="W66" i="122" s="1"/>
  <c r="J65" i="122"/>
  <c r="W65" i="122" s="1"/>
  <c r="J64" i="122"/>
  <c r="W64" i="122" s="1"/>
  <c r="J63" i="122"/>
  <c r="J62" i="122"/>
  <c r="J61" i="122"/>
  <c r="J60" i="122"/>
  <c r="J51" i="122"/>
  <c r="W51" i="122" s="1"/>
  <c r="J50" i="122"/>
  <c r="J49" i="122"/>
  <c r="W49" i="122" s="1"/>
  <c r="J48" i="122"/>
  <c r="W48" i="122" s="1"/>
  <c r="J47" i="122"/>
  <c r="J46" i="122"/>
  <c r="J45" i="122"/>
  <c r="J44" i="122"/>
  <c r="J43" i="122"/>
  <c r="J42" i="122"/>
  <c r="J41" i="122"/>
  <c r="J40" i="122"/>
  <c r="J39" i="122"/>
  <c r="J38" i="122"/>
  <c r="J37" i="122"/>
  <c r="W37" i="122" s="1"/>
  <c r="J36" i="122"/>
  <c r="W36" i="122" s="1"/>
  <c r="J35" i="122"/>
  <c r="W35" i="122" s="1"/>
  <c r="J34" i="122"/>
  <c r="J33" i="122"/>
  <c r="V33" i="122" s="1"/>
  <c r="J32" i="122"/>
  <c r="J31" i="122"/>
  <c r="V31" i="122" s="1"/>
  <c r="J30" i="122"/>
  <c r="W30" i="122" s="1"/>
  <c r="J29" i="122"/>
  <c r="W29" i="122" s="1"/>
  <c r="J28" i="122"/>
  <c r="V28" i="122" s="1"/>
  <c r="J27" i="122"/>
  <c r="J26" i="122"/>
  <c r="J25" i="122"/>
  <c r="J24" i="122"/>
  <c r="W24" i="122" s="1"/>
  <c r="J23" i="122"/>
  <c r="W23" i="122" s="1"/>
  <c r="J22" i="122"/>
  <c r="W22" i="122" s="1"/>
  <c r="J21" i="122"/>
  <c r="W21" i="122" s="1"/>
  <c r="J20" i="122"/>
  <c r="W20" i="122" s="1"/>
  <c r="J19" i="122"/>
  <c r="J18" i="122"/>
  <c r="V18" i="122" s="1"/>
  <c r="J17" i="122"/>
  <c r="V17" i="122" s="1"/>
  <c r="J16" i="122"/>
  <c r="W16" i="122" s="1"/>
  <c r="J15" i="122"/>
  <c r="W15" i="122" s="1"/>
  <c r="J14" i="122"/>
  <c r="W14" i="122" s="1"/>
  <c r="J13" i="122"/>
  <c r="V13" i="122" s="1"/>
  <c r="J12" i="122"/>
  <c r="W12" i="122" s="1"/>
  <c r="J11" i="122"/>
  <c r="W11" i="122" s="1"/>
  <c r="J10" i="122"/>
  <c r="W10" i="122" s="1"/>
  <c r="J9" i="122"/>
  <c r="W9" i="122" s="1"/>
  <c r="N8" i="122"/>
  <c r="J8" i="122"/>
  <c r="W8" i="122" s="1"/>
  <c r="J7" i="122"/>
  <c r="W7" i="122" s="1"/>
  <c r="N6" i="122"/>
  <c r="J6" i="122"/>
  <c r="W6" i="122" s="1"/>
  <c r="N4" i="122"/>
  <c r="V48" i="122" l="1"/>
  <c r="V79" i="122"/>
  <c r="V113" i="122"/>
  <c r="V49" i="122"/>
  <c r="V51" i="122"/>
  <c r="W111" i="122"/>
  <c r="W81" i="122"/>
  <c r="Q10" i="123"/>
  <c r="V77" i="122"/>
  <c r="W107" i="122"/>
  <c r="W105" i="122"/>
  <c r="W74" i="122"/>
  <c r="V73" i="122"/>
  <c r="W31" i="122"/>
  <c r="V71" i="122"/>
  <c r="V24" i="122"/>
  <c r="W68" i="122"/>
  <c r="V22" i="122"/>
  <c r="V98" i="122"/>
  <c r="V94" i="122"/>
  <c r="V66" i="122"/>
  <c r="W17" i="122"/>
  <c r="V11" i="122"/>
  <c r="V9" i="122"/>
  <c r="W96" i="122"/>
  <c r="W100" i="122"/>
  <c r="V91" i="122"/>
  <c r="V95" i="122"/>
  <c r="V99" i="122"/>
  <c r="V104" i="122"/>
  <c r="W110" i="122"/>
  <c r="W92" i="122"/>
  <c r="V109" i="122"/>
  <c r="N10" i="122"/>
  <c r="V65" i="122"/>
  <c r="V67" i="122"/>
  <c r="W75" i="122"/>
  <c r="V72" i="122"/>
  <c r="V78" i="122"/>
  <c r="V80" i="122"/>
  <c r="V30" i="122"/>
  <c r="V37" i="122"/>
  <c r="V12" i="122"/>
  <c r="W18" i="122"/>
  <c r="V21" i="122"/>
  <c r="V23" i="122"/>
  <c r="W28" i="122"/>
  <c r="V10" i="122"/>
  <c r="W13" i="122"/>
  <c r="V16" i="122"/>
  <c r="V7" i="122"/>
  <c r="W33" i="122"/>
  <c r="V36" i="122"/>
  <c r="V40" i="122"/>
  <c r="W40" i="122"/>
  <c r="W63" i="122"/>
  <c r="V63" i="122"/>
  <c r="V25" i="122"/>
  <c r="W25" i="122"/>
  <c r="V41" i="122"/>
  <c r="W41" i="122"/>
  <c r="J83" i="122"/>
  <c r="W60" i="122"/>
  <c r="V60" i="122"/>
  <c r="V26" i="122"/>
  <c r="W26" i="122"/>
  <c r="V38" i="122"/>
  <c r="W38" i="122"/>
  <c r="W61" i="122"/>
  <c r="V61" i="122"/>
  <c r="V106" i="122"/>
  <c r="W106" i="122"/>
  <c r="W19" i="122"/>
  <c r="V19" i="122"/>
  <c r="V32" i="122"/>
  <c r="W32" i="122"/>
  <c r="V27" i="122"/>
  <c r="W27" i="122"/>
  <c r="W34" i="122"/>
  <c r="V34" i="122"/>
  <c r="V39" i="122"/>
  <c r="W39" i="122"/>
  <c r="W62" i="122"/>
  <c r="V62" i="122"/>
  <c r="J114" i="122"/>
  <c r="V6" i="122"/>
  <c r="V8" i="122"/>
  <c r="V14" i="122"/>
  <c r="V15" i="122"/>
  <c r="V20" i="122"/>
  <c r="V29" i="122"/>
  <c r="V35" i="122"/>
  <c r="J52" i="122"/>
  <c r="V64" i="122"/>
  <c r="V69" i="122"/>
  <c r="V70" i="122"/>
  <c r="V76" i="122"/>
  <c r="V82" i="122"/>
  <c r="V93" i="122"/>
  <c r="V97" i="122"/>
  <c r="V101" i="122"/>
  <c r="V102" i="122"/>
  <c r="V103" i="122"/>
  <c r="V108" i="122"/>
  <c r="V112" i="122"/>
  <c r="H106" i="121"/>
  <c r="H79" i="121"/>
  <c r="H78" i="121"/>
  <c r="H41" i="121"/>
  <c r="H40" i="121"/>
  <c r="H39" i="121"/>
  <c r="H38" i="121"/>
  <c r="W114" i="122" l="1"/>
  <c r="P8" i="122" s="1"/>
  <c r="W52" i="122"/>
  <c r="P4" i="122" s="1"/>
  <c r="V114" i="122"/>
  <c r="O8" i="122" s="1"/>
  <c r="W83" i="122"/>
  <c r="P6" i="122" s="1"/>
  <c r="V52" i="122"/>
  <c r="O4" i="122" s="1"/>
  <c r="V83" i="122"/>
  <c r="O6" i="122" s="1"/>
  <c r="H34" i="121"/>
  <c r="H32" i="121"/>
  <c r="H73" i="121"/>
  <c r="H103" i="121"/>
  <c r="H72" i="121"/>
  <c r="H102" i="121"/>
  <c r="H27" i="121"/>
  <c r="H26" i="121"/>
  <c r="H70" i="121"/>
  <c r="H25" i="121"/>
  <c r="H23" i="121"/>
  <c r="H22" i="121"/>
  <c r="H66" i="121"/>
  <c r="H19" i="121"/>
  <c r="H15" i="121"/>
  <c r="H63" i="121"/>
  <c r="H62" i="121"/>
  <c r="H8" i="121"/>
  <c r="H61" i="121"/>
  <c r="H60" i="121"/>
  <c r="Q8" i="122" l="1"/>
  <c r="R8" i="122"/>
  <c r="P10" i="122"/>
  <c r="R6" i="122"/>
  <c r="Q6" i="122"/>
  <c r="Q10" i="122" s="1"/>
  <c r="R4" i="122"/>
  <c r="O10" i="122"/>
  <c r="R10" i="122" s="1"/>
  <c r="P12" i="122" s="1"/>
  <c r="J113" i="121"/>
  <c r="V113" i="121" s="1"/>
  <c r="J112" i="121"/>
  <c r="W112" i="121" s="1"/>
  <c r="J111" i="121"/>
  <c r="V111" i="121" s="1"/>
  <c r="J110" i="121"/>
  <c r="J109" i="121"/>
  <c r="J108" i="121"/>
  <c r="W108" i="121" s="1"/>
  <c r="J107" i="121"/>
  <c r="V107" i="121" s="1"/>
  <c r="J106" i="121"/>
  <c r="V106" i="121" s="1"/>
  <c r="J105" i="121"/>
  <c r="W105" i="121" s="1"/>
  <c r="J104" i="121"/>
  <c r="V104" i="121" s="1"/>
  <c r="J103" i="121"/>
  <c r="V103" i="121" s="1"/>
  <c r="J102" i="121"/>
  <c r="V102" i="121" s="1"/>
  <c r="J101" i="121"/>
  <c r="W101" i="121" s="1"/>
  <c r="J100" i="121"/>
  <c r="V100" i="121" s="1"/>
  <c r="J99" i="121"/>
  <c r="V99" i="121" s="1"/>
  <c r="J98" i="121"/>
  <c r="V98" i="121" s="1"/>
  <c r="J97" i="121"/>
  <c r="W97" i="121" s="1"/>
  <c r="J96" i="121"/>
  <c r="V96" i="121" s="1"/>
  <c r="J95" i="121"/>
  <c r="J94" i="121"/>
  <c r="W94" i="121" s="1"/>
  <c r="J93" i="121"/>
  <c r="V93" i="121" s="1"/>
  <c r="J92" i="121"/>
  <c r="W92" i="121" s="1"/>
  <c r="J91" i="121"/>
  <c r="J82" i="121"/>
  <c r="V82" i="121" s="1"/>
  <c r="J81" i="121"/>
  <c r="W81" i="121" s="1"/>
  <c r="J80" i="121"/>
  <c r="V80" i="121" s="1"/>
  <c r="J79" i="121"/>
  <c r="J78" i="121"/>
  <c r="V78" i="121" s="1"/>
  <c r="J77" i="121"/>
  <c r="V77" i="121" s="1"/>
  <c r="J76" i="121"/>
  <c r="J75" i="121"/>
  <c r="J74" i="121"/>
  <c r="J73" i="121"/>
  <c r="W73" i="121" s="1"/>
  <c r="J72" i="121"/>
  <c r="V72" i="121" s="1"/>
  <c r="J71" i="121"/>
  <c r="J70" i="121"/>
  <c r="V70" i="121" s="1"/>
  <c r="J69" i="121"/>
  <c r="V69" i="121" s="1"/>
  <c r="J68" i="121"/>
  <c r="W68" i="121" s="1"/>
  <c r="J67" i="121"/>
  <c r="J66" i="121"/>
  <c r="J65" i="121"/>
  <c r="V65" i="121" s="1"/>
  <c r="J64" i="121"/>
  <c r="W64" i="121" s="1"/>
  <c r="J63" i="121"/>
  <c r="V63" i="121" s="1"/>
  <c r="J62" i="121"/>
  <c r="W62" i="121" s="1"/>
  <c r="J61" i="121"/>
  <c r="J60" i="121"/>
  <c r="J51" i="121"/>
  <c r="W51" i="121" s="1"/>
  <c r="J50" i="121"/>
  <c r="J49" i="121"/>
  <c r="W49" i="121" s="1"/>
  <c r="J48" i="121"/>
  <c r="V48" i="121" s="1"/>
  <c r="J47" i="121"/>
  <c r="J46" i="121"/>
  <c r="J45" i="121"/>
  <c r="J44" i="121"/>
  <c r="J43" i="121"/>
  <c r="J42" i="121"/>
  <c r="W41" i="121"/>
  <c r="V41" i="121"/>
  <c r="J41" i="121"/>
  <c r="J40" i="121"/>
  <c r="V40" i="121" s="1"/>
  <c r="J39" i="121"/>
  <c r="J38" i="121"/>
  <c r="J37" i="121"/>
  <c r="W37" i="121" s="1"/>
  <c r="J36" i="121"/>
  <c r="V36" i="121" s="1"/>
  <c r="J35" i="121"/>
  <c r="W35" i="121" s="1"/>
  <c r="J34" i="121"/>
  <c r="V34" i="121" s="1"/>
  <c r="J33" i="121"/>
  <c r="J32" i="121"/>
  <c r="W32" i="121" s="1"/>
  <c r="J31" i="121"/>
  <c r="W30" i="121"/>
  <c r="J30" i="121"/>
  <c r="V30" i="121" s="1"/>
  <c r="J29" i="121"/>
  <c r="W29" i="121" s="1"/>
  <c r="J28" i="121"/>
  <c r="V28" i="121" s="1"/>
  <c r="J27" i="121"/>
  <c r="J26" i="121"/>
  <c r="W26" i="121" s="1"/>
  <c r="J25" i="121"/>
  <c r="J24" i="121"/>
  <c r="J23" i="121"/>
  <c r="V23" i="121" s="1"/>
  <c r="J22" i="121"/>
  <c r="W22" i="121" s="1"/>
  <c r="J21" i="121"/>
  <c r="V21" i="121" s="1"/>
  <c r="J20" i="121"/>
  <c r="J19" i="121"/>
  <c r="W19" i="121" s="1"/>
  <c r="J18" i="121"/>
  <c r="V18" i="121" s="1"/>
  <c r="J17" i="121"/>
  <c r="W17" i="121" s="1"/>
  <c r="J16" i="121"/>
  <c r="V16" i="121" s="1"/>
  <c r="J15" i="121"/>
  <c r="W15" i="121" s="1"/>
  <c r="J14" i="121"/>
  <c r="V14" i="121" s="1"/>
  <c r="J13" i="121"/>
  <c r="W13" i="121" s="1"/>
  <c r="J12" i="121"/>
  <c r="W12" i="121" s="1"/>
  <c r="J11" i="121"/>
  <c r="V11" i="121" s="1"/>
  <c r="J10" i="121"/>
  <c r="J9" i="121"/>
  <c r="W9" i="121" s="1"/>
  <c r="N8" i="121"/>
  <c r="J8" i="121"/>
  <c r="V8" i="121" s="1"/>
  <c r="J7" i="121"/>
  <c r="W7" i="121" s="1"/>
  <c r="N6" i="121"/>
  <c r="J6" i="121"/>
  <c r="W6" i="121" s="1"/>
  <c r="N4" i="121"/>
  <c r="W14" i="121" l="1"/>
  <c r="W103" i="121"/>
  <c r="V49" i="121"/>
  <c r="V51" i="121"/>
  <c r="W111" i="121"/>
  <c r="W78" i="121"/>
  <c r="V108" i="121"/>
  <c r="W80" i="121"/>
  <c r="W100" i="121"/>
  <c r="V22" i="121"/>
  <c r="V17" i="121"/>
  <c r="V64" i="121"/>
  <c r="V13" i="121"/>
  <c r="W8" i="121"/>
  <c r="J114" i="121"/>
  <c r="V7" i="121"/>
  <c r="V6" i="121"/>
  <c r="V94" i="121"/>
  <c r="N10" i="121"/>
  <c r="W96" i="121"/>
  <c r="W99" i="121"/>
  <c r="W91" i="121"/>
  <c r="W104" i="121"/>
  <c r="W70" i="121"/>
  <c r="W72" i="121"/>
  <c r="W65" i="121"/>
  <c r="V9" i="121"/>
  <c r="V29" i="121"/>
  <c r="W36" i="121"/>
  <c r="V12" i="121"/>
  <c r="W18" i="121"/>
  <c r="W23" i="121"/>
  <c r="V35" i="121"/>
  <c r="W20" i="121"/>
  <c r="V20" i="121"/>
  <c r="W25" i="121"/>
  <c r="V25" i="121"/>
  <c r="W39" i="121"/>
  <c r="V39" i="121"/>
  <c r="W66" i="121"/>
  <c r="V66" i="121"/>
  <c r="W31" i="121"/>
  <c r="V31" i="121"/>
  <c r="W67" i="121"/>
  <c r="V67" i="121"/>
  <c r="V10" i="121"/>
  <c r="W10" i="121"/>
  <c r="W27" i="121"/>
  <c r="V27" i="121"/>
  <c r="W79" i="121"/>
  <c r="V79" i="121"/>
  <c r="W95" i="121"/>
  <c r="V95" i="121"/>
  <c r="W109" i="121"/>
  <c r="V109" i="121"/>
  <c r="W61" i="121"/>
  <c r="V61" i="121"/>
  <c r="W75" i="121"/>
  <c r="V75" i="121"/>
  <c r="W76" i="121"/>
  <c r="V76" i="121"/>
  <c r="J52" i="121"/>
  <c r="W24" i="121"/>
  <c r="V24" i="121"/>
  <c r="W33" i="121"/>
  <c r="V33" i="121"/>
  <c r="W38" i="121"/>
  <c r="V38" i="121"/>
  <c r="W60" i="121"/>
  <c r="J83" i="121"/>
  <c r="V60" i="121"/>
  <c r="W71" i="121"/>
  <c r="V71" i="121"/>
  <c r="W74" i="121"/>
  <c r="V74" i="121"/>
  <c r="W110" i="121"/>
  <c r="V110" i="121"/>
  <c r="W11" i="121"/>
  <c r="V15" i="121"/>
  <c r="W16" i="121"/>
  <c r="V19" i="121"/>
  <c r="W21" i="121"/>
  <c r="V26" i="121"/>
  <c r="W28" i="121"/>
  <c r="V32" i="121"/>
  <c r="W34" i="121"/>
  <c r="V37" i="121"/>
  <c r="W40" i="121"/>
  <c r="W48" i="121"/>
  <c r="V62" i="121"/>
  <c r="W63" i="121"/>
  <c r="V68" i="121"/>
  <c r="W69" i="121"/>
  <c r="V73" i="121"/>
  <c r="W77" i="121"/>
  <c r="V81" i="121"/>
  <c r="W82" i="121"/>
  <c r="V92" i="121"/>
  <c r="W93" i="121"/>
  <c r="V97" i="121"/>
  <c r="W98" i="121"/>
  <c r="V101" i="121"/>
  <c r="W102" i="121"/>
  <c r="V105" i="121"/>
  <c r="W106" i="121"/>
  <c r="W107" i="121"/>
  <c r="V112" i="121"/>
  <c r="W113" i="121"/>
  <c r="V91" i="121"/>
  <c r="H110" i="120"/>
  <c r="H109" i="120"/>
  <c r="H107" i="120"/>
  <c r="H95" i="120"/>
  <c r="H79" i="120"/>
  <c r="H76" i="120"/>
  <c r="H75" i="120"/>
  <c r="H74" i="120"/>
  <c r="H71" i="120"/>
  <c r="H67" i="120"/>
  <c r="H66" i="120"/>
  <c r="H61" i="120"/>
  <c r="H60" i="120"/>
  <c r="H39" i="120"/>
  <c r="H38" i="120"/>
  <c r="H33" i="120"/>
  <c r="H31" i="120"/>
  <c r="H27" i="120"/>
  <c r="H25" i="120"/>
  <c r="H24" i="120"/>
  <c r="H20" i="120"/>
  <c r="H11" i="120"/>
  <c r="H10" i="120"/>
  <c r="H7" i="120"/>
  <c r="W114" i="121" l="1"/>
  <c r="P8" i="121" s="1"/>
  <c r="V52" i="121"/>
  <c r="O4" i="121" s="1"/>
  <c r="R4" i="121" s="1"/>
  <c r="W52" i="121"/>
  <c r="P4" i="121" s="1"/>
  <c r="V83" i="121"/>
  <c r="O6" i="121" s="1"/>
  <c r="V114" i="121"/>
  <c r="O8" i="121" s="1"/>
  <c r="W83" i="121"/>
  <c r="P6" i="121" s="1"/>
  <c r="H9" i="120"/>
  <c r="J113" i="120"/>
  <c r="V113" i="120" s="1"/>
  <c r="V112" i="120"/>
  <c r="J112" i="120"/>
  <c r="W112" i="120" s="1"/>
  <c r="J111" i="120"/>
  <c r="W111" i="120" s="1"/>
  <c r="J110" i="120"/>
  <c r="J109" i="120"/>
  <c r="J108" i="120"/>
  <c r="V108" i="120" s="1"/>
  <c r="J107" i="120"/>
  <c r="V107" i="120" s="1"/>
  <c r="J106" i="120"/>
  <c r="J105" i="120"/>
  <c r="J104" i="120"/>
  <c r="W104" i="120" s="1"/>
  <c r="J103" i="120"/>
  <c r="W103" i="120" s="1"/>
  <c r="J102" i="120"/>
  <c r="J101" i="120"/>
  <c r="J100" i="120"/>
  <c r="J99" i="120"/>
  <c r="V99" i="120" s="1"/>
  <c r="J98" i="120"/>
  <c r="V98" i="120" s="1"/>
  <c r="J97" i="120"/>
  <c r="W97" i="120" s="1"/>
  <c r="J96" i="120"/>
  <c r="W96" i="120" s="1"/>
  <c r="J95" i="120"/>
  <c r="W95" i="120" s="1"/>
  <c r="J94" i="120"/>
  <c r="V94" i="120" s="1"/>
  <c r="J93" i="120"/>
  <c r="W93" i="120" s="1"/>
  <c r="J92" i="120"/>
  <c r="W92" i="120" s="1"/>
  <c r="J91" i="120"/>
  <c r="W91" i="120" s="1"/>
  <c r="J82" i="120"/>
  <c r="W82" i="120" s="1"/>
  <c r="J81" i="120"/>
  <c r="W81" i="120" s="1"/>
  <c r="J80" i="120"/>
  <c r="W80" i="120" s="1"/>
  <c r="J79" i="120"/>
  <c r="V79" i="120" s="1"/>
  <c r="J78" i="120"/>
  <c r="V78" i="120" s="1"/>
  <c r="J77" i="120"/>
  <c r="J76" i="120"/>
  <c r="J75" i="120"/>
  <c r="W75" i="120" s="1"/>
  <c r="J74" i="120"/>
  <c r="W74" i="120" s="1"/>
  <c r="J73" i="120"/>
  <c r="W73" i="120" s="1"/>
  <c r="J72" i="120"/>
  <c r="W72" i="120" s="1"/>
  <c r="J71" i="120"/>
  <c r="W71" i="120" s="1"/>
  <c r="J70" i="120"/>
  <c r="V70" i="120" s="1"/>
  <c r="J69" i="120"/>
  <c r="V69" i="120" s="1"/>
  <c r="J68" i="120"/>
  <c r="W68" i="120" s="1"/>
  <c r="J67" i="120"/>
  <c r="W67" i="120" s="1"/>
  <c r="J66" i="120"/>
  <c r="W66" i="120" s="1"/>
  <c r="J65" i="120"/>
  <c r="V65" i="120" s="1"/>
  <c r="J64" i="120"/>
  <c r="W64" i="120" s="1"/>
  <c r="J63" i="120"/>
  <c r="W63" i="120" s="1"/>
  <c r="J62" i="120"/>
  <c r="W62" i="120" s="1"/>
  <c r="J61" i="120"/>
  <c r="W61" i="120" s="1"/>
  <c r="J60" i="120"/>
  <c r="V60" i="120" s="1"/>
  <c r="J51" i="120"/>
  <c r="W51" i="120" s="1"/>
  <c r="J50" i="120"/>
  <c r="J49" i="120"/>
  <c r="W49" i="120" s="1"/>
  <c r="V48" i="120"/>
  <c r="J48" i="120"/>
  <c r="W48" i="120" s="1"/>
  <c r="J47" i="120"/>
  <c r="J46" i="120"/>
  <c r="J45" i="120"/>
  <c r="J44" i="120"/>
  <c r="J43" i="120"/>
  <c r="J42" i="120"/>
  <c r="J41" i="120"/>
  <c r="W41" i="120" s="1"/>
  <c r="J40" i="120"/>
  <c r="J39" i="120"/>
  <c r="V39" i="120" s="1"/>
  <c r="J38" i="120"/>
  <c r="V38" i="120" s="1"/>
  <c r="J37" i="120"/>
  <c r="V37" i="120" s="1"/>
  <c r="J36" i="120"/>
  <c r="W36" i="120" s="1"/>
  <c r="J35" i="120"/>
  <c r="W35" i="120" s="1"/>
  <c r="J34" i="120"/>
  <c r="W34" i="120" s="1"/>
  <c r="J33" i="120"/>
  <c r="V33" i="120" s="1"/>
  <c r="J32" i="120"/>
  <c r="V32" i="120" s="1"/>
  <c r="J31" i="120"/>
  <c r="V31" i="120" s="1"/>
  <c r="J30" i="120"/>
  <c r="J29" i="120"/>
  <c r="J28" i="120"/>
  <c r="J27" i="120"/>
  <c r="J26" i="120"/>
  <c r="J25" i="120"/>
  <c r="J24" i="120"/>
  <c r="J23" i="120"/>
  <c r="J22" i="120"/>
  <c r="W22" i="120" s="1"/>
  <c r="J21" i="120"/>
  <c r="W21" i="120" s="1"/>
  <c r="J20" i="120"/>
  <c r="W20" i="120" s="1"/>
  <c r="J19" i="120"/>
  <c r="V19" i="120" s="1"/>
  <c r="J18" i="120"/>
  <c r="W18" i="120" s="1"/>
  <c r="J17" i="120"/>
  <c r="W17" i="120" s="1"/>
  <c r="J16" i="120"/>
  <c r="W16" i="120" s="1"/>
  <c r="J15" i="120"/>
  <c r="V15" i="120" s="1"/>
  <c r="J14" i="120"/>
  <c r="W14" i="120" s="1"/>
  <c r="J13" i="120"/>
  <c r="W13" i="120" s="1"/>
  <c r="J12" i="120"/>
  <c r="W12" i="120" s="1"/>
  <c r="J11" i="120"/>
  <c r="W11" i="120" s="1"/>
  <c r="J10" i="120"/>
  <c r="W10" i="120" s="1"/>
  <c r="J9" i="120"/>
  <c r="V9" i="120" s="1"/>
  <c r="N8" i="120"/>
  <c r="J8" i="120"/>
  <c r="W8" i="120" s="1"/>
  <c r="J7" i="120"/>
  <c r="W7" i="120" s="1"/>
  <c r="N6" i="120"/>
  <c r="J6" i="120"/>
  <c r="V6" i="120" s="1"/>
  <c r="N4" i="120"/>
  <c r="V80" i="120" l="1"/>
  <c r="V82" i="120"/>
  <c r="V97" i="120"/>
  <c r="W99" i="120"/>
  <c r="W113" i="120"/>
  <c r="P10" i="121"/>
  <c r="R6" i="121"/>
  <c r="Q6" i="121"/>
  <c r="O10" i="121"/>
  <c r="R10" i="121" s="1"/>
  <c r="P12" i="121" s="1"/>
  <c r="R8" i="121"/>
  <c r="Q8" i="121"/>
  <c r="W108" i="120"/>
  <c r="W98" i="120"/>
  <c r="V95" i="120"/>
  <c r="W94" i="120"/>
  <c r="V93" i="120"/>
  <c r="V91" i="120"/>
  <c r="W78" i="120"/>
  <c r="V75" i="120"/>
  <c r="W70" i="120"/>
  <c r="V68" i="120"/>
  <c r="V66" i="120"/>
  <c r="V64" i="120"/>
  <c r="V61" i="120"/>
  <c r="W39" i="120"/>
  <c r="V11" i="120"/>
  <c r="V7" i="120"/>
  <c r="V104" i="120"/>
  <c r="W107" i="120"/>
  <c r="N10" i="120"/>
  <c r="W60" i="120"/>
  <c r="W65" i="120"/>
  <c r="W69" i="120"/>
  <c r="V71" i="120"/>
  <c r="W79" i="120"/>
  <c r="V8" i="120"/>
  <c r="V10" i="120"/>
  <c r="V14" i="120"/>
  <c r="V16" i="120"/>
  <c r="V18" i="120"/>
  <c r="V20" i="120"/>
  <c r="V22" i="120"/>
  <c r="W32" i="120"/>
  <c r="V34" i="120"/>
  <c r="V36" i="120"/>
  <c r="W38" i="120"/>
  <c r="W9" i="120"/>
  <c r="W15" i="120"/>
  <c r="W19" i="120"/>
  <c r="W31" i="120"/>
  <c r="W33" i="120"/>
  <c r="W37" i="120"/>
  <c r="W27" i="120"/>
  <c r="V27" i="120"/>
  <c r="W106" i="120"/>
  <c r="V106" i="120"/>
  <c r="V24" i="120"/>
  <c r="W24" i="120"/>
  <c r="V28" i="120"/>
  <c r="W28" i="120"/>
  <c r="W76" i="120"/>
  <c r="V76" i="120"/>
  <c r="W100" i="120"/>
  <c r="V100" i="120"/>
  <c r="W23" i="120"/>
  <c r="V23" i="120"/>
  <c r="V25" i="120"/>
  <c r="W25" i="120"/>
  <c r="V29" i="120"/>
  <c r="W29" i="120"/>
  <c r="W40" i="120"/>
  <c r="V40" i="120"/>
  <c r="W77" i="120"/>
  <c r="V77" i="120"/>
  <c r="J114" i="120"/>
  <c r="W101" i="120"/>
  <c r="V101" i="120"/>
  <c r="W109" i="120"/>
  <c r="V109" i="120"/>
  <c r="J52" i="120"/>
  <c r="V26" i="120"/>
  <c r="W26" i="120"/>
  <c r="W30" i="120"/>
  <c r="V30" i="120"/>
  <c r="W102" i="120"/>
  <c r="V102" i="120"/>
  <c r="W105" i="120"/>
  <c r="V105" i="120"/>
  <c r="W110" i="120"/>
  <c r="V110" i="120"/>
  <c r="W6" i="120"/>
  <c r="V13" i="120"/>
  <c r="V17" i="120"/>
  <c r="V21" i="120"/>
  <c r="V35" i="120"/>
  <c r="V41" i="120"/>
  <c r="V49" i="120"/>
  <c r="V51" i="120"/>
  <c r="V62" i="120"/>
  <c r="V63" i="120"/>
  <c r="V67" i="120"/>
  <c r="V72" i="120"/>
  <c r="V73" i="120"/>
  <c r="V74" i="120"/>
  <c r="V81" i="120"/>
  <c r="V92" i="120"/>
  <c r="V96" i="120"/>
  <c r="V103" i="120"/>
  <c r="V111" i="120"/>
  <c r="V12" i="120"/>
  <c r="J83" i="120"/>
  <c r="H110" i="119"/>
  <c r="H79" i="119"/>
  <c r="H109" i="119"/>
  <c r="H77" i="119"/>
  <c r="H40" i="119"/>
  <c r="Q10" i="121" l="1"/>
  <c r="W83" i="120"/>
  <c r="P6" i="120" s="1"/>
  <c r="V52" i="120"/>
  <c r="O4" i="120" s="1"/>
  <c r="V114" i="120"/>
  <c r="O8" i="120" s="1"/>
  <c r="R8" i="120" s="1"/>
  <c r="W114" i="120"/>
  <c r="P8" i="120" s="1"/>
  <c r="V83" i="120"/>
  <c r="O6" i="120" s="1"/>
  <c r="R6" i="120" s="1"/>
  <c r="W52" i="120"/>
  <c r="P4" i="120" s="1"/>
  <c r="H76" i="119"/>
  <c r="H38" i="119"/>
  <c r="Q8" i="120" l="1"/>
  <c r="P10" i="120"/>
  <c r="Q6" i="120"/>
  <c r="O10" i="120"/>
  <c r="R10" i="120" s="1"/>
  <c r="P12" i="120" s="1"/>
  <c r="R4" i="120"/>
  <c r="H106" i="119"/>
  <c r="H74" i="119"/>
  <c r="H105" i="119"/>
  <c r="H73" i="119"/>
  <c r="H33" i="119"/>
  <c r="H32" i="119"/>
  <c r="H30" i="119"/>
  <c r="H29" i="119"/>
  <c r="H28" i="119"/>
  <c r="H102" i="119"/>
  <c r="H101" i="119"/>
  <c r="H70" i="119"/>
  <c r="H27" i="119"/>
  <c r="H26" i="119"/>
  <c r="H25" i="119"/>
  <c r="H24" i="119"/>
  <c r="H100" i="119"/>
  <c r="H23" i="119"/>
  <c r="H63" i="119"/>
  <c r="H7" i="119"/>
  <c r="J113" i="119"/>
  <c r="J112" i="119"/>
  <c r="J111" i="119"/>
  <c r="J110" i="119"/>
  <c r="V110" i="119" s="1"/>
  <c r="J109" i="119"/>
  <c r="W109" i="119" s="1"/>
  <c r="J108" i="119"/>
  <c r="W108" i="119" s="1"/>
  <c r="J107" i="119"/>
  <c r="W107" i="119" s="1"/>
  <c r="J106" i="119"/>
  <c r="W106" i="119" s="1"/>
  <c r="J105" i="119"/>
  <c r="J104" i="119"/>
  <c r="V104" i="119" s="1"/>
  <c r="J103" i="119"/>
  <c r="V103" i="119" s="1"/>
  <c r="J102" i="119"/>
  <c r="W102" i="119" s="1"/>
  <c r="J101" i="119"/>
  <c r="J100" i="119"/>
  <c r="V100" i="119" s="1"/>
  <c r="J99" i="119"/>
  <c r="V99" i="119" s="1"/>
  <c r="J98" i="119"/>
  <c r="V98" i="119" s="1"/>
  <c r="J97" i="119"/>
  <c r="V97" i="119" s="1"/>
  <c r="J96" i="119"/>
  <c r="W96" i="119" s="1"/>
  <c r="J95" i="119"/>
  <c r="W95" i="119" s="1"/>
  <c r="J94" i="119"/>
  <c r="W94" i="119" s="1"/>
  <c r="J93" i="119"/>
  <c r="W93" i="119" s="1"/>
  <c r="J92" i="119"/>
  <c r="W92" i="119" s="1"/>
  <c r="J91" i="119"/>
  <c r="J82" i="119"/>
  <c r="W82" i="119" s="1"/>
  <c r="J81" i="119"/>
  <c r="W81" i="119" s="1"/>
  <c r="J80" i="119"/>
  <c r="V80" i="119" s="1"/>
  <c r="J79" i="119"/>
  <c r="W79" i="119" s="1"/>
  <c r="J78" i="119"/>
  <c r="W78" i="119" s="1"/>
  <c r="J77" i="119"/>
  <c r="W77" i="119" s="1"/>
  <c r="J76" i="119"/>
  <c r="W76" i="119" s="1"/>
  <c r="J75" i="119"/>
  <c r="W75" i="119" s="1"/>
  <c r="J74" i="119"/>
  <c r="J73" i="119"/>
  <c r="J72" i="119"/>
  <c r="J71" i="119"/>
  <c r="J70" i="119"/>
  <c r="V70" i="119" s="1"/>
  <c r="J69" i="119"/>
  <c r="W69" i="119" s="1"/>
  <c r="J68" i="119"/>
  <c r="W68" i="119" s="1"/>
  <c r="J67" i="119"/>
  <c r="J66" i="119"/>
  <c r="J65" i="119"/>
  <c r="W65" i="119" s="1"/>
  <c r="J64" i="119"/>
  <c r="V64" i="119" s="1"/>
  <c r="J63" i="119"/>
  <c r="J62" i="119"/>
  <c r="V62" i="119" s="1"/>
  <c r="J61" i="119"/>
  <c r="W61" i="119" s="1"/>
  <c r="J60" i="119"/>
  <c r="W60" i="119" s="1"/>
  <c r="J51" i="119"/>
  <c r="W51" i="119" s="1"/>
  <c r="J50" i="119"/>
  <c r="J49" i="119"/>
  <c r="W49" i="119" s="1"/>
  <c r="J48" i="119"/>
  <c r="V48" i="119" s="1"/>
  <c r="J47" i="119"/>
  <c r="J46" i="119"/>
  <c r="J45" i="119"/>
  <c r="J44" i="119"/>
  <c r="J43" i="119"/>
  <c r="J42" i="119"/>
  <c r="J41" i="119"/>
  <c r="W41" i="119" s="1"/>
  <c r="J40" i="119"/>
  <c r="W40" i="119" s="1"/>
  <c r="J39" i="119"/>
  <c r="J38" i="119"/>
  <c r="W38" i="119" s="1"/>
  <c r="J37" i="119"/>
  <c r="W37" i="119" s="1"/>
  <c r="J36" i="119"/>
  <c r="V36" i="119" s="1"/>
  <c r="J35" i="119"/>
  <c r="W35" i="119" s="1"/>
  <c r="J34" i="119"/>
  <c r="W34" i="119" s="1"/>
  <c r="J33" i="119"/>
  <c r="V33" i="119" s="1"/>
  <c r="J32" i="119"/>
  <c r="V32" i="119" s="1"/>
  <c r="J31" i="119"/>
  <c r="W31" i="119" s="1"/>
  <c r="J30" i="119"/>
  <c r="W30" i="119" s="1"/>
  <c r="J29" i="119"/>
  <c r="J28" i="119"/>
  <c r="V28" i="119" s="1"/>
  <c r="J27" i="119"/>
  <c r="J26" i="119"/>
  <c r="V26" i="119" s="1"/>
  <c r="J25" i="119"/>
  <c r="V25" i="119" s="1"/>
  <c r="J24" i="119"/>
  <c r="W24" i="119" s="1"/>
  <c r="J23" i="119"/>
  <c r="V23" i="119" s="1"/>
  <c r="J22" i="119"/>
  <c r="V22" i="119" s="1"/>
  <c r="J21" i="119"/>
  <c r="W21" i="119" s="1"/>
  <c r="J20" i="119"/>
  <c r="J19" i="119"/>
  <c r="W19" i="119" s="1"/>
  <c r="J18" i="119"/>
  <c r="V18" i="119" s="1"/>
  <c r="J17" i="119"/>
  <c r="W17" i="119" s="1"/>
  <c r="J16" i="119"/>
  <c r="V16" i="119" s="1"/>
  <c r="J15" i="119"/>
  <c r="W15" i="119" s="1"/>
  <c r="J14" i="119"/>
  <c r="V14" i="119" s="1"/>
  <c r="J13" i="119"/>
  <c r="V13" i="119" s="1"/>
  <c r="J12" i="119"/>
  <c r="W12" i="119" s="1"/>
  <c r="J11" i="119"/>
  <c r="W11" i="119" s="1"/>
  <c r="J10" i="119"/>
  <c r="W10" i="119" s="1"/>
  <c r="J9" i="119"/>
  <c r="V9" i="119" s="1"/>
  <c r="N8" i="119"/>
  <c r="J8" i="119"/>
  <c r="V8" i="119" s="1"/>
  <c r="J7" i="119"/>
  <c r="W7" i="119" s="1"/>
  <c r="N6" i="119"/>
  <c r="J6" i="119"/>
  <c r="W6" i="119" s="1"/>
  <c r="N4" i="119"/>
  <c r="W16" i="119" l="1"/>
  <c r="W23" i="119"/>
  <c r="V61" i="119"/>
  <c r="W80" i="119"/>
  <c r="W48" i="119"/>
  <c r="W25" i="119"/>
  <c r="V40" i="119"/>
  <c r="V76" i="119"/>
  <c r="W110" i="119"/>
  <c r="Q10" i="120"/>
  <c r="W103" i="119"/>
  <c r="W70" i="119"/>
  <c r="V17" i="119"/>
  <c r="W13" i="119"/>
  <c r="V12" i="119"/>
  <c r="W9" i="119"/>
  <c r="W8" i="119"/>
  <c r="V92" i="119"/>
  <c r="V95" i="119"/>
  <c r="W97" i="119"/>
  <c r="W99" i="119"/>
  <c r="V108" i="119"/>
  <c r="W104" i="119"/>
  <c r="V107" i="119"/>
  <c r="V94" i="119"/>
  <c r="W98" i="119"/>
  <c r="W100" i="119"/>
  <c r="V69" i="119"/>
  <c r="V77" i="119"/>
  <c r="V79" i="119"/>
  <c r="V81" i="119"/>
  <c r="V7" i="119"/>
  <c r="W22" i="119"/>
  <c r="W32" i="119"/>
  <c r="V34" i="119"/>
  <c r="W36" i="119"/>
  <c r="V41" i="119"/>
  <c r="V49" i="119"/>
  <c r="V30" i="119"/>
  <c r="V6" i="119"/>
  <c r="W33" i="119"/>
  <c r="V37" i="119"/>
  <c r="W66" i="119"/>
  <c r="V66" i="119"/>
  <c r="W67" i="119"/>
  <c r="V67" i="119"/>
  <c r="W72" i="119"/>
  <c r="V72" i="119"/>
  <c r="W20" i="119"/>
  <c r="V20" i="119"/>
  <c r="V29" i="119"/>
  <c r="W29" i="119"/>
  <c r="W39" i="119"/>
  <c r="V39" i="119"/>
  <c r="W73" i="119"/>
  <c r="V73" i="119"/>
  <c r="W112" i="119"/>
  <c r="V112" i="119"/>
  <c r="V63" i="119"/>
  <c r="W63" i="119"/>
  <c r="V27" i="119"/>
  <c r="W27" i="119"/>
  <c r="W74" i="119"/>
  <c r="V74" i="119"/>
  <c r="W113" i="119"/>
  <c r="V113" i="119"/>
  <c r="W91" i="119"/>
  <c r="V91" i="119"/>
  <c r="V11" i="119"/>
  <c r="V15" i="119"/>
  <c r="W18" i="119"/>
  <c r="V21" i="119"/>
  <c r="V24" i="119"/>
  <c r="W28" i="119"/>
  <c r="V31" i="119"/>
  <c r="V35" i="119"/>
  <c r="V38" i="119"/>
  <c r="V51" i="119"/>
  <c r="W62" i="119"/>
  <c r="V65" i="119"/>
  <c r="W71" i="119"/>
  <c r="V71" i="119"/>
  <c r="V75" i="119"/>
  <c r="V78" i="119"/>
  <c r="V82" i="119"/>
  <c r="V93" i="119"/>
  <c r="V96" i="119"/>
  <c r="V102" i="119"/>
  <c r="V106" i="119"/>
  <c r="V109" i="119"/>
  <c r="W111" i="119"/>
  <c r="V111" i="119"/>
  <c r="J52" i="119"/>
  <c r="J114" i="119"/>
  <c r="J83" i="119"/>
  <c r="N10" i="119"/>
  <c r="V10" i="119"/>
  <c r="W14" i="119"/>
  <c r="V19" i="119"/>
  <c r="W26" i="119"/>
  <c r="V60" i="119"/>
  <c r="W64" i="119"/>
  <c r="V68" i="119"/>
  <c r="W101" i="119"/>
  <c r="V101" i="119"/>
  <c r="W105" i="119"/>
  <c r="V105" i="119"/>
  <c r="H113" i="118"/>
  <c r="H96" i="118"/>
  <c r="H81" i="118"/>
  <c r="H82" i="118"/>
  <c r="J50" i="118"/>
  <c r="H51" i="118"/>
  <c r="H49" i="118"/>
  <c r="H45" i="118"/>
  <c r="H33" i="118"/>
  <c r="H31" i="118"/>
  <c r="H80" i="118"/>
  <c r="H112" i="118"/>
  <c r="W83" i="119" l="1"/>
  <c r="P6" i="119" s="1"/>
  <c r="V52" i="119"/>
  <c r="O4" i="119" s="1"/>
  <c r="R4" i="119" s="1"/>
  <c r="W52" i="119"/>
  <c r="P4" i="119" s="1"/>
  <c r="V83" i="119"/>
  <c r="O6" i="119" s="1"/>
  <c r="W114" i="119"/>
  <c r="P8" i="119" s="1"/>
  <c r="V114" i="119"/>
  <c r="O8" i="119" s="1"/>
  <c r="H109" i="118"/>
  <c r="H108" i="118"/>
  <c r="J108" i="118" s="1"/>
  <c r="W108" i="118" s="1"/>
  <c r="H79" i="118"/>
  <c r="H78" i="118"/>
  <c r="H44" i="118"/>
  <c r="H43" i="118"/>
  <c r="J43" i="118" s="1"/>
  <c r="H42" i="118"/>
  <c r="H39" i="118"/>
  <c r="H38" i="118"/>
  <c r="H35" i="118"/>
  <c r="J35" i="118" s="1"/>
  <c r="W35" i="118" s="1"/>
  <c r="H76" i="118"/>
  <c r="J76" i="118" s="1"/>
  <c r="W76" i="118" s="1"/>
  <c r="H74" i="118"/>
  <c r="H73" i="118"/>
  <c r="H72" i="118"/>
  <c r="J72" i="118" s="1"/>
  <c r="H29" i="118"/>
  <c r="H28" i="118"/>
  <c r="H27" i="118"/>
  <c r="H100" i="118"/>
  <c r="J100" i="118" s="1"/>
  <c r="V100" i="118" s="1"/>
  <c r="H99" i="118"/>
  <c r="H25" i="118"/>
  <c r="H24" i="118"/>
  <c r="H21" i="118"/>
  <c r="J21" i="118" s="1"/>
  <c r="W21" i="118" s="1"/>
  <c r="H20" i="118"/>
  <c r="H67" i="118"/>
  <c r="H66" i="118"/>
  <c r="H98" i="118"/>
  <c r="J98" i="118" s="1"/>
  <c r="W98" i="118" s="1"/>
  <c r="H64" i="118"/>
  <c r="H63" i="118"/>
  <c r="H94" i="118"/>
  <c r="H93" i="118"/>
  <c r="J93" i="118" s="1"/>
  <c r="W93" i="118" s="1"/>
  <c r="H10" i="118"/>
  <c r="H9" i="118"/>
  <c r="H60" i="118"/>
  <c r="J113" i="118"/>
  <c r="V113" i="118" s="1"/>
  <c r="J112" i="118"/>
  <c r="W112" i="118" s="1"/>
  <c r="J111" i="118"/>
  <c r="W111" i="118" s="1"/>
  <c r="J110" i="118"/>
  <c r="W110" i="118" s="1"/>
  <c r="J109" i="118"/>
  <c r="V109" i="118" s="1"/>
  <c r="J107" i="118"/>
  <c r="W107" i="118" s="1"/>
  <c r="J106" i="118"/>
  <c r="V106" i="118" s="1"/>
  <c r="J105" i="118"/>
  <c r="V105" i="118" s="1"/>
  <c r="J104" i="118"/>
  <c r="W104" i="118" s="1"/>
  <c r="J103" i="118"/>
  <c r="W103" i="118" s="1"/>
  <c r="J102" i="118"/>
  <c r="W102" i="118" s="1"/>
  <c r="W101" i="118"/>
  <c r="J101" i="118"/>
  <c r="V101" i="118" s="1"/>
  <c r="J99" i="118"/>
  <c r="V99" i="118" s="1"/>
  <c r="J97" i="118"/>
  <c r="W97" i="118" s="1"/>
  <c r="J96" i="118"/>
  <c r="W96" i="118" s="1"/>
  <c r="J95" i="118"/>
  <c r="W95" i="118" s="1"/>
  <c r="J94" i="118"/>
  <c r="V94" i="118" s="1"/>
  <c r="J92" i="118"/>
  <c r="W92" i="118" s="1"/>
  <c r="J91" i="118"/>
  <c r="W91" i="118" s="1"/>
  <c r="J82" i="118"/>
  <c r="V82" i="118" s="1"/>
  <c r="J81" i="118"/>
  <c r="W81" i="118" s="1"/>
  <c r="J80" i="118"/>
  <c r="W80" i="118" s="1"/>
  <c r="J79" i="118"/>
  <c r="W79" i="118" s="1"/>
  <c r="J78" i="118"/>
  <c r="V78" i="118" s="1"/>
  <c r="J77" i="118"/>
  <c r="W77" i="118" s="1"/>
  <c r="J75" i="118"/>
  <c r="W75" i="118" s="1"/>
  <c r="J74" i="118"/>
  <c r="W74" i="118" s="1"/>
  <c r="J73" i="118"/>
  <c r="J71" i="118"/>
  <c r="V71" i="118" s="1"/>
  <c r="J70" i="118"/>
  <c r="V70" i="118" s="1"/>
  <c r="J69" i="118"/>
  <c r="V69" i="118" s="1"/>
  <c r="J68" i="118"/>
  <c r="V68" i="118" s="1"/>
  <c r="J67" i="118"/>
  <c r="V67" i="118" s="1"/>
  <c r="J66" i="118"/>
  <c r="V66" i="118" s="1"/>
  <c r="J65" i="118"/>
  <c r="W65" i="118" s="1"/>
  <c r="J64" i="118"/>
  <c r="W64" i="118" s="1"/>
  <c r="J63" i="118"/>
  <c r="J62" i="118"/>
  <c r="J61" i="118"/>
  <c r="J60" i="118"/>
  <c r="J51" i="118"/>
  <c r="V51" i="118" s="1"/>
  <c r="J49" i="118"/>
  <c r="W49" i="118" s="1"/>
  <c r="J48" i="118"/>
  <c r="W48" i="118" s="1"/>
  <c r="J47" i="118"/>
  <c r="J46" i="118"/>
  <c r="J45" i="118"/>
  <c r="J44" i="118"/>
  <c r="J42" i="118"/>
  <c r="J41" i="118"/>
  <c r="W41" i="118" s="1"/>
  <c r="J40" i="118"/>
  <c r="W40" i="118" s="1"/>
  <c r="J39" i="118"/>
  <c r="W39" i="118" s="1"/>
  <c r="J38" i="118"/>
  <c r="V38" i="118" s="1"/>
  <c r="J37" i="118"/>
  <c r="W37" i="118" s="1"/>
  <c r="J36" i="118"/>
  <c r="W36" i="118" s="1"/>
  <c r="J34" i="118"/>
  <c r="V34" i="118" s="1"/>
  <c r="J33" i="118"/>
  <c r="V33" i="118" s="1"/>
  <c r="J32" i="118"/>
  <c r="V32" i="118" s="1"/>
  <c r="J31" i="118"/>
  <c r="W31" i="118" s="1"/>
  <c r="J30" i="118"/>
  <c r="W30" i="118" s="1"/>
  <c r="J29" i="118"/>
  <c r="W29" i="118" s="1"/>
  <c r="J28" i="118"/>
  <c r="W28" i="118" s="1"/>
  <c r="J27" i="118"/>
  <c r="V27" i="118" s="1"/>
  <c r="J26" i="118"/>
  <c r="W26" i="118" s="1"/>
  <c r="J25" i="118"/>
  <c r="W25" i="118" s="1"/>
  <c r="J24" i="118"/>
  <c r="W24" i="118" s="1"/>
  <c r="J23" i="118"/>
  <c r="V23" i="118" s="1"/>
  <c r="J22" i="118"/>
  <c r="W22" i="118" s="1"/>
  <c r="J20" i="118"/>
  <c r="J19" i="118"/>
  <c r="J18" i="118"/>
  <c r="J17" i="118"/>
  <c r="W17" i="118" s="1"/>
  <c r="J16" i="118"/>
  <c r="V16" i="118" s="1"/>
  <c r="J15" i="118"/>
  <c r="W15" i="118" s="1"/>
  <c r="J14" i="118"/>
  <c r="W14" i="118" s="1"/>
  <c r="J13" i="118"/>
  <c r="W13" i="118" s="1"/>
  <c r="J12" i="118"/>
  <c r="J11" i="118"/>
  <c r="J10" i="118"/>
  <c r="W10" i="118" s="1"/>
  <c r="J9" i="118"/>
  <c r="W9" i="118" s="1"/>
  <c r="N8" i="118"/>
  <c r="J8" i="118"/>
  <c r="J7" i="118"/>
  <c r="N6" i="118"/>
  <c r="J6" i="118"/>
  <c r="W6" i="118" s="1"/>
  <c r="N4" i="118"/>
  <c r="W82" i="118" l="1"/>
  <c r="V112" i="118"/>
  <c r="V72" i="118"/>
  <c r="W72" i="118"/>
  <c r="W70" i="118"/>
  <c r="V77" i="118"/>
  <c r="V24" i="118"/>
  <c r="W27" i="118"/>
  <c r="P10" i="119"/>
  <c r="R8" i="119"/>
  <c r="Q8" i="119"/>
  <c r="Q6" i="119"/>
  <c r="R6" i="119"/>
  <c r="O10" i="119"/>
  <c r="R10" i="119" s="1"/>
  <c r="P12" i="119" s="1"/>
  <c r="W113" i="118"/>
  <c r="W51" i="118"/>
  <c r="V49" i="118"/>
  <c r="V41" i="118"/>
  <c r="V81" i="118"/>
  <c r="V110" i="118"/>
  <c r="W109" i="118"/>
  <c r="V108" i="118"/>
  <c r="V79" i="118"/>
  <c r="W78" i="118"/>
  <c r="W105" i="118"/>
  <c r="V28" i="118"/>
  <c r="V26" i="118"/>
  <c r="W99" i="118"/>
  <c r="W68" i="118"/>
  <c r="W23" i="118"/>
  <c r="V22" i="118"/>
  <c r="W66" i="118"/>
  <c r="W16" i="118"/>
  <c r="W94" i="118"/>
  <c r="V9" i="118"/>
  <c r="N10" i="118"/>
  <c r="V93" i="118"/>
  <c r="V95" i="118"/>
  <c r="V104" i="118"/>
  <c r="V98" i="118"/>
  <c r="W100" i="118"/>
  <c r="W106" i="118"/>
  <c r="V65" i="118"/>
  <c r="W67" i="118"/>
  <c r="W69" i="118"/>
  <c r="W71" i="118"/>
  <c r="V13" i="118"/>
  <c r="V15" i="118"/>
  <c r="V17" i="118"/>
  <c r="V31" i="118"/>
  <c r="W33" i="118"/>
  <c r="V35" i="118"/>
  <c r="V37" i="118"/>
  <c r="V39" i="118"/>
  <c r="W32" i="118"/>
  <c r="W34" i="118"/>
  <c r="W38" i="118"/>
  <c r="W7" i="118"/>
  <c r="V7" i="118"/>
  <c r="W73" i="118"/>
  <c r="V73" i="118"/>
  <c r="V8" i="118"/>
  <c r="W8" i="118"/>
  <c r="W19" i="118"/>
  <c r="V19" i="118"/>
  <c r="W60" i="118"/>
  <c r="V60" i="118"/>
  <c r="J83" i="118"/>
  <c r="W20" i="118"/>
  <c r="V20" i="118"/>
  <c r="W61" i="118"/>
  <c r="V61" i="118"/>
  <c r="V12" i="118"/>
  <c r="W12" i="118"/>
  <c r="W18" i="118"/>
  <c r="V18" i="118"/>
  <c r="W63" i="118"/>
  <c r="V63" i="118"/>
  <c r="W11" i="118"/>
  <c r="V11" i="118"/>
  <c r="W62" i="118"/>
  <c r="V62" i="118"/>
  <c r="V14" i="118"/>
  <c r="V21" i="118"/>
  <c r="V25" i="118"/>
  <c r="V29" i="118"/>
  <c r="V30" i="118"/>
  <c r="V36" i="118"/>
  <c r="V40" i="118"/>
  <c r="V48" i="118"/>
  <c r="J52" i="118"/>
  <c r="V64" i="118"/>
  <c r="V74" i="118"/>
  <c r="V75" i="118"/>
  <c r="V76" i="118"/>
  <c r="V80" i="118"/>
  <c r="V91" i="118"/>
  <c r="V92" i="118"/>
  <c r="V96" i="118"/>
  <c r="V97" i="118"/>
  <c r="V102" i="118"/>
  <c r="V103" i="118"/>
  <c r="V107" i="118"/>
  <c r="V111" i="118"/>
  <c r="J114" i="118"/>
  <c r="V10" i="118"/>
  <c r="V6" i="118"/>
  <c r="H75" i="117"/>
  <c r="Q10" i="119" l="1"/>
  <c r="W114" i="118"/>
  <c r="P8" i="118" s="1"/>
  <c r="W52" i="118"/>
  <c r="P4" i="118" s="1"/>
  <c r="V114" i="118"/>
  <c r="O8" i="118" s="1"/>
  <c r="V83" i="118"/>
  <c r="O6" i="118" s="1"/>
  <c r="V52" i="118"/>
  <c r="W83" i="118"/>
  <c r="P6" i="118" s="1"/>
  <c r="H74" i="117"/>
  <c r="H34" i="117"/>
  <c r="H72" i="117"/>
  <c r="H33" i="117"/>
  <c r="H30" i="117"/>
  <c r="H102" i="117"/>
  <c r="P10" i="118" l="1"/>
  <c r="R4" i="118"/>
  <c r="O10" i="118"/>
  <c r="R10" i="118" s="1"/>
  <c r="P12" i="118" s="1"/>
  <c r="Q6" i="118"/>
  <c r="R6" i="118"/>
  <c r="R8" i="118"/>
  <c r="Q8" i="118"/>
  <c r="H70" i="117"/>
  <c r="H69" i="117"/>
  <c r="H99" i="117"/>
  <c r="H68" i="117"/>
  <c r="H67" i="117"/>
  <c r="H66" i="117"/>
  <c r="H20" i="117"/>
  <c r="H19" i="117"/>
  <c r="H18" i="117"/>
  <c r="H96" i="117"/>
  <c r="Q10" i="118" l="1"/>
  <c r="H12" i="117"/>
  <c r="H62" i="117"/>
  <c r="H11" i="117"/>
  <c r="H61" i="117"/>
  <c r="H8" i="117"/>
  <c r="J8" i="117" s="1"/>
  <c r="W8" i="117" s="1"/>
  <c r="H60" i="117"/>
  <c r="H91" i="117"/>
  <c r="H59" i="117"/>
  <c r="J59" i="117" s="1"/>
  <c r="H7" i="117"/>
  <c r="J7" i="117" s="1"/>
  <c r="V7" i="117" s="1"/>
  <c r="H6" i="117"/>
  <c r="J112" i="117"/>
  <c r="V112" i="117" s="1"/>
  <c r="V111" i="117"/>
  <c r="J111" i="117"/>
  <c r="W111" i="117" s="1"/>
  <c r="J110" i="117"/>
  <c r="W110" i="117" s="1"/>
  <c r="J109" i="117"/>
  <c r="J108" i="117"/>
  <c r="W108" i="117" s="1"/>
  <c r="J107" i="117"/>
  <c r="V107" i="117" s="1"/>
  <c r="J106" i="117"/>
  <c r="V106" i="117" s="1"/>
  <c r="J105" i="117"/>
  <c r="W105" i="117" s="1"/>
  <c r="J104" i="117"/>
  <c r="W104" i="117" s="1"/>
  <c r="J103" i="117"/>
  <c r="V103" i="117" s="1"/>
  <c r="J102" i="117"/>
  <c r="V102" i="117" s="1"/>
  <c r="J101" i="117"/>
  <c r="W101" i="117" s="1"/>
  <c r="J100" i="117"/>
  <c r="W100" i="117" s="1"/>
  <c r="J99" i="117"/>
  <c r="V99" i="117" s="1"/>
  <c r="J98" i="117"/>
  <c r="V98" i="117" s="1"/>
  <c r="J97" i="117"/>
  <c r="W97" i="117" s="1"/>
  <c r="J96" i="117"/>
  <c r="W96" i="117" s="1"/>
  <c r="J95" i="117"/>
  <c r="V95" i="117" s="1"/>
  <c r="J94" i="117"/>
  <c r="V94" i="117" s="1"/>
  <c r="J93" i="117"/>
  <c r="W93" i="117" s="1"/>
  <c r="J92" i="117"/>
  <c r="W92" i="117" s="1"/>
  <c r="J91" i="117"/>
  <c r="W91" i="117" s="1"/>
  <c r="J90" i="117"/>
  <c r="V90" i="117" s="1"/>
  <c r="J81" i="117"/>
  <c r="W81" i="117" s="1"/>
  <c r="J80" i="117"/>
  <c r="W80" i="117" s="1"/>
  <c r="J79" i="117"/>
  <c r="V79" i="117" s="1"/>
  <c r="J78" i="117"/>
  <c r="W78" i="117" s="1"/>
  <c r="J77" i="117"/>
  <c r="W77" i="117" s="1"/>
  <c r="J76" i="117"/>
  <c r="W76" i="117" s="1"/>
  <c r="J75" i="117"/>
  <c r="V75" i="117" s="1"/>
  <c r="J74" i="117"/>
  <c r="V74" i="117" s="1"/>
  <c r="J73" i="117"/>
  <c r="J72" i="117"/>
  <c r="J71" i="117"/>
  <c r="W71" i="117" s="1"/>
  <c r="J70" i="117"/>
  <c r="W70" i="117" s="1"/>
  <c r="J69" i="117"/>
  <c r="J68" i="117"/>
  <c r="J67" i="117"/>
  <c r="V67" i="117" s="1"/>
  <c r="J66" i="117"/>
  <c r="V66" i="117" s="1"/>
  <c r="J65" i="117"/>
  <c r="W65" i="117" s="1"/>
  <c r="J64" i="117"/>
  <c r="W64" i="117" s="1"/>
  <c r="J63" i="117"/>
  <c r="V63" i="117" s="1"/>
  <c r="J62" i="117"/>
  <c r="V62" i="117" s="1"/>
  <c r="J61" i="117"/>
  <c r="W61" i="117" s="1"/>
  <c r="J60" i="117"/>
  <c r="W60" i="117" s="1"/>
  <c r="J50" i="117"/>
  <c r="V50" i="117" s="1"/>
  <c r="J49" i="117"/>
  <c r="W49" i="117" s="1"/>
  <c r="J48" i="117"/>
  <c r="W48" i="117" s="1"/>
  <c r="J47" i="117"/>
  <c r="J46" i="117"/>
  <c r="J45" i="117"/>
  <c r="J44" i="117"/>
  <c r="J43" i="117"/>
  <c r="J42" i="117"/>
  <c r="J41" i="117"/>
  <c r="J40" i="117"/>
  <c r="V40" i="117" s="1"/>
  <c r="J39" i="117"/>
  <c r="V39" i="117" s="1"/>
  <c r="J38" i="117"/>
  <c r="W38" i="117" s="1"/>
  <c r="J37" i="117"/>
  <c r="W37" i="117" s="1"/>
  <c r="J36" i="117"/>
  <c r="V36" i="117" s="1"/>
  <c r="J35" i="117"/>
  <c r="V35" i="117" s="1"/>
  <c r="J34" i="117"/>
  <c r="V34" i="117" s="1"/>
  <c r="J33" i="117"/>
  <c r="W33" i="117" s="1"/>
  <c r="J32" i="117"/>
  <c r="W32" i="117" s="1"/>
  <c r="J31" i="117"/>
  <c r="J30" i="117"/>
  <c r="W30" i="117" s="1"/>
  <c r="J29" i="117"/>
  <c r="V29" i="117" s="1"/>
  <c r="J28" i="117"/>
  <c r="W28" i="117" s="1"/>
  <c r="J27" i="117"/>
  <c r="W27" i="117" s="1"/>
  <c r="J26" i="117"/>
  <c r="W26" i="117" s="1"/>
  <c r="J25" i="117"/>
  <c r="V25" i="117" s="1"/>
  <c r="J24" i="117"/>
  <c r="V24" i="117" s="1"/>
  <c r="J23" i="117"/>
  <c r="V23" i="117" s="1"/>
  <c r="J22" i="117"/>
  <c r="W22" i="117" s="1"/>
  <c r="J21" i="117"/>
  <c r="W21" i="117" s="1"/>
  <c r="J20" i="117"/>
  <c r="V20" i="117" s="1"/>
  <c r="J19" i="117"/>
  <c r="V19" i="117" s="1"/>
  <c r="J18" i="117"/>
  <c r="W18" i="117" s="1"/>
  <c r="J17" i="117"/>
  <c r="W17" i="117" s="1"/>
  <c r="J16" i="117"/>
  <c r="W16" i="117" s="1"/>
  <c r="J15" i="117"/>
  <c r="V15" i="117" s="1"/>
  <c r="J14" i="117"/>
  <c r="V14" i="117" s="1"/>
  <c r="J13" i="117"/>
  <c r="W13" i="117" s="1"/>
  <c r="J12" i="117"/>
  <c r="V12" i="117" s="1"/>
  <c r="J11" i="117"/>
  <c r="W11" i="117" s="1"/>
  <c r="J10" i="117"/>
  <c r="V10" i="117" s="1"/>
  <c r="J9" i="117"/>
  <c r="W9" i="117" s="1"/>
  <c r="N8" i="117"/>
  <c r="N6" i="117"/>
  <c r="J6" i="117"/>
  <c r="W6" i="117" s="1"/>
  <c r="N4" i="117"/>
  <c r="W12" i="117" l="1"/>
  <c r="W15" i="117"/>
  <c r="W112" i="117"/>
  <c r="V49" i="117"/>
  <c r="W40" i="117"/>
  <c r="W50" i="117"/>
  <c r="V80" i="117"/>
  <c r="W99" i="117"/>
  <c r="W107" i="117"/>
  <c r="W79" i="117"/>
  <c r="W95" i="117"/>
  <c r="V93" i="117"/>
  <c r="V38" i="117"/>
  <c r="W75" i="117"/>
  <c r="V105" i="117"/>
  <c r="W36" i="117"/>
  <c r="W34" i="117"/>
  <c r="W103" i="117"/>
  <c r="V30" i="117"/>
  <c r="V22" i="117"/>
  <c r="V101" i="117"/>
  <c r="V28" i="117"/>
  <c r="V26" i="117"/>
  <c r="W24" i="117"/>
  <c r="W67" i="117"/>
  <c r="V97" i="117"/>
  <c r="W20" i="117"/>
  <c r="V18" i="117"/>
  <c r="V65" i="117"/>
  <c r="V16" i="117"/>
  <c r="W14" i="117"/>
  <c r="W63" i="117"/>
  <c r="V13" i="117"/>
  <c r="V61" i="117"/>
  <c r="V91" i="117"/>
  <c r="W90" i="117"/>
  <c r="W94" i="117"/>
  <c r="W98" i="117"/>
  <c r="W102" i="117"/>
  <c r="W106" i="117"/>
  <c r="V108" i="117"/>
  <c r="W62" i="117"/>
  <c r="W66" i="117"/>
  <c r="V71" i="117"/>
  <c r="W74" i="117"/>
  <c r="V76" i="117"/>
  <c r="V78" i="117"/>
  <c r="W35" i="117"/>
  <c r="W39" i="117"/>
  <c r="W19" i="117"/>
  <c r="W23" i="117"/>
  <c r="W25" i="117"/>
  <c r="W29" i="117"/>
  <c r="V33" i="117"/>
  <c r="W10" i="117"/>
  <c r="V6" i="117"/>
  <c r="W69" i="117"/>
  <c r="V69" i="117"/>
  <c r="V72" i="117"/>
  <c r="W72" i="117"/>
  <c r="W31" i="117"/>
  <c r="V31" i="117"/>
  <c r="W41" i="117"/>
  <c r="V41" i="117"/>
  <c r="W73" i="117"/>
  <c r="V73" i="117"/>
  <c r="J82" i="117"/>
  <c r="W59" i="117"/>
  <c r="V59" i="117"/>
  <c r="W68" i="117"/>
  <c r="V68" i="117"/>
  <c r="W109" i="117"/>
  <c r="V109" i="117"/>
  <c r="N10" i="117"/>
  <c r="V9" i="117"/>
  <c r="V11" i="117"/>
  <c r="V17" i="117"/>
  <c r="V21" i="117"/>
  <c r="V27" i="117"/>
  <c r="V32" i="117"/>
  <c r="V37" i="117"/>
  <c r="V48" i="117"/>
  <c r="J51" i="117"/>
  <c r="V60" i="117"/>
  <c r="V64" i="117"/>
  <c r="V70" i="117"/>
  <c r="V77" i="117"/>
  <c r="V81" i="117"/>
  <c r="V92" i="117"/>
  <c r="V96" i="117"/>
  <c r="V100" i="117"/>
  <c r="V104" i="117"/>
  <c r="V110" i="117"/>
  <c r="J113" i="117"/>
  <c r="W7" i="117"/>
  <c r="V8" i="117"/>
  <c r="H109" i="116"/>
  <c r="H107" i="116"/>
  <c r="H75" i="116"/>
  <c r="H73" i="116"/>
  <c r="H72" i="116"/>
  <c r="H69" i="116"/>
  <c r="H68" i="116"/>
  <c r="W113" i="117" l="1"/>
  <c r="P8" i="117" s="1"/>
  <c r="V113" i="117"/>
  <c r="O8" i="117" s="1"/>
  <c r="Q8" i="117" s="1"/>
  <c r="W51" i="117"/>
  <c r="P4" i="117" s="1"/>
  <c r="V51" i="117"/>
  <c r="O4" i="117" s="1"/>
  <c r="R4" i="117" s="1"/>
  <c r="V82" i="117"/>
  <c r="O6" i="117" s="1"/>
  <c r="W82" i="117"/>
  <c r="P6" i="117" s="1"/>
  <c r="H59" i="116"/>
  <c r="H45" i="116"/>
  <c r="H43" i="116"/>
  <c r="H41" i="116"/>
  <c r="H35" i="116"/>
  <c r="H31" i="116"/>
  <c r="H25" i="116"/>
  <c r="H24" i="116"/>
  <c r="H15" i="116"/>
  <c r="H11" i="116"/>
  <c r="H8" i="116"/>
  <c r="H7" i="116"/>
  <c r="R8" i="117" l="1"/>
  <c r="P10" i="117"/>
  <c r="Q4" i="117"/>
  <c r="O10" i="117"/>
  <c r="R10" i="117" s="1"/>
  <c r="P12" i="117" s="1"/>
  <c r="R6" i="117"/>
  <c r="Q6" i="117"/>
  <c r="J112" i="116"/>
  <c r="W112" i="116" s="1"/>
  <c r="J111" i="116"/>
  <c r="W111" i="116" s="1"/>
  <c r="J110" i="116"/>
  <c r="V110" i="116" s="1"/>
  <c r="J109" i="116"/>
  <c r="V109" i="116" s="1"/>
  <c r="J108" i="116"/>
  <c r="J107" i="116"/>
  <c r="W107" i="116" s="1"/>
  <c r="J106" i="116"/>
  <c r="W106" i="116" s="1"/>
  <c r="J105" i="116"/>
  <c r="W105" i="116" s="1"/>
  <c r="J104" i="116"/>
  <c r="V104" i="116" s="1"/>
  <c r="J103" i="116"/>
  <c r="W103" i="116" s="1"/>
  <c r="J102" i="116"/>
  <c r="W102" i="116" s="1"/>
  <c r="J101" i="116"/>
  <c r="W101" i="116" s="1"/>
  <c r="J100" i="116"/>
  <c r="W100" i="116" s="1"/>
  <c r="J99" i="116"/>
  <c r="V99" i="116" s="1"/>
  <c r="J98" i="116"/>
  <c r="V98" i="116" s="1"/>
  <c r="J97" i="116"/>
  <c r="J96" i="116"/>
  <c r="W96" i="116" s="1"/>
  <c r="J95" i="116"/>
  <c r="W95" i="116" s="1"/>
  <c r="J94" i="116"/>
  <c r="W94" i="116" s="1"/>
  <c r="J93" i="116"/>
  <c r="V93" i="116" s="1"/>
  <c r="J92" i="116"/>
  <c r="V92" i="116" s="1"/>
  <c r="J91" i="116"/>
  <c r="V91" i="116" s="1"/>
  <c r="J90" i="116"/>
  <c r="J81" i="116"/>
  <c r="W81" i="116" s="1"/>
  <c r="J80" i="116"/>
  <c r="V80" i="116" s="1"/>
  <c r="J79" i="116"/>
  <c r="V79" i="116" s="1"/>
  <c r="J78" i="116"/>
  <c r="W78" i="116" s="1"/>
  <c r="J77" i="116"/>
  <c r="W77" i="116" s="1"/>
  <c r="J76" i="116"/>
  <c r="W76" i="116" s="1"/>
  <c r="J75" i="116"/>
  <c r="J74" i="116"/>
  <c r="J73" i="116"/>
  <c r="W73" i="116" s="1"/>
  <c r="J72" i="116"/>
  <c r="V72" i="116" s="1"/>
  <c r="J71" i="116"/>
  <c r="V71" i="116" s="1"/>
  <c r="J70" i="116"/>
  <c r="J69" i="116"/>
  <c r="W69" i="116" s="1"/>
  <c r="J68" i="116"/>
  <c r="W68" i="116" s="1"/>
  <c r="J67" i="116"/>
  <c r="W67" i="116" s="1"/>
  <c r="J66" i="116"/>
  <c r="W66" i="116" s="1"/>
  <c r="J65" i="116"/>
  <c r="W65" i="116" s="1"/>
  <c r="J64" i="116"/>
  <c r="W64" i="116" s="1"/>
  <c r="J63" i="116"/>
  <c r="W63" i="116" s="1"/>
  <c r="J62" i="116"/>
  <c r="W62" i="116" s="1"/>
  <c r="J61" i="116"/>
  <c r="V61" i="116" s="1"/>
  <c r="J60" i="116"/>
  <c r="W60" i="116" s="1"/>
  <c r="J59" i="116"/>
  <c r="J50" i="116"/>
  <c r="W50" i="116" s="1"/>
  <c r="J49" i="116"/>
  <c r="V49" i="116" s="1"/>
  <c r="J48" i="116"/>
  <c r="W48" i="116" s="1"/>
  <c r="J47" i="116"/>
  <c r="J46" i="116"/>
  <c r="J45" i="116"/>
  <c r="J44" i="116"/>
  <c r="J43" i="116"/>
  <c r="J42" i="116"/>
  <c r="J41" i="116"/>
  <c r="W41" i="116" s="1"/>
  <c r="J40" i="116"/>
  <c r="W40" i="116" s="1"/>
  <c r="J39" i="116"/>
  <c r="V39" i="116" s="1"/>
  <c r="J38" i="116"/>
  <c r="V38" i="116" s="1"/>
  <c r="W37" i="116"/>
  <c r="J37" i="116"/>
  <c r="V37" i="116" s="1"/>
  <c r="J36" i="116"/>
  <c r="J35" i="116"/>
  <c r="W35" i="116" s="1"/>
  <c r="J34" i="116"/>
  <c r="W34" i="116" s="1"/>
  <c r="J33" i="116"/>
  <c r="J32" i="116"/>
  <c r="W32" i="116" s="1"/>
  <c r="J31" i="116"/>
  <c r="V31" i="116" s="1"/>
  <c r="J30" i="116"/>
  <c r="V30" i="116" s="1"/>
  <c r="J29" i="116"/>
  <c r="V29" i="116" s="1"/>
  <c r="J28" i="116"/>
  <c r="V28" i="116" s="1"/>
  <c r="J27" i="116"/>
  <c r="W27" i="116" s="1"/>
  <c r="J26" i="116"/>
  <c r="W26" i="116" s="1"/>
  <c r="J25" i="116"/>
  <c r="W25" i="116" s="1"/>
  <c r="J24" i="116"/>
  <c r="W24" i="116" s="1"/>
  <c r="J23" i="116"/>
  <c r="W23" i="116" s="1"/>
  <c r="J22" i="116"/>
  <c r="W22" i="116" s="1"/>
  <c r="J21" i="116"/>
  <c r="W21" i="116" s="1"/>
  <c r="J20" i="116"/>
  <c r="V20" i="116" s="1"/>
  <c r="J19" i="116"/>
  <c r="W19" i="116" s="1"/>
  <c r="J18" i="116"/>
  <c r="W18" i="116" s="1"/>
  <c r="J17" i="116"/>
  <c r="W17" i="116" s="1"/>
  <c r="J16" i="116"/>
  <c r="V16" i="116" s="1"/>
  <c r="J15" i="116"/>
  <c r="V15" i="116" s="1"/>
  <c r="J14" i="116"/>
  <c r="W14" i="116" s="1"/>
  <c r="J13" i="116"/>
  <c r="W13" i="116" s="1"/>
  <c r="J12" i="116"/>
  <c r="J11" i="116"/>
  <c r="W11" i="116" s="1"/>
  <c r="J10" i="116"/>
  <c r="J9" i="116"/>
  <c r="N8" i="116"/>
  <c r="J8" i="116"/>
  <c r="W8" i="116" s="1"/>
  <c r="J7" i="116"/>
  <c r="V7" i="116" s="1"/>
  <c r="N6" i="116"/>
  <c r="J6" i="116"/>
  <c r="W6" i="116" s="1"/>
  <c r="N4" i="116"/>
  <c r="W49" i="116" l="1"/>
  <c r="W80" i="116"/>
  <c r="W39" i="116"/>
  <c r="W110" i="116"/>
  <c r="V48" i="116"/>
  <c r="V50" i="116"/>
  <c r="W93" i="116"/>
  <c r="V73" i="116"/>
  <c r="V112" i="116"/>
  <c r="Q10" i="117"/>
  <c r="W104" i="116"/>
  <c r="W99" i="116"/>
  <c r="W91" i="116"/>
  <c r="W71" i="116"/>
  <c r="V62" i="116"/>
  <c r="W61" i="116"/>
  <c r="V60" i="116"/>
  <c r="V41" i="116"/>
  <c r="V32" i="116"/>
  <c r="W30" i="116"/>
  <c r="W28" i="116"/>
  <c r="W20" i="116"/>
  <c r="W16" i="116"/>
  <c r="V14" i="116"/>
  <c r="V11" i="116"/>
  <c r="W7" i="116"/>
  <c r="V6" i="116"/>
  <c r="W98" i="116"/>
  <c r="V100" i="116"/>
  <c r="W109" i="116"/>
  <c r="N10" i="116"/>
  <c r="W92" i="116"/>
  <c r="V94" i="116"/>
  <c r="V96" i="116"/>
  <c r="V103" i="116"/>
  <c r="V105" i="116"/>
  <c r="V107" i="116"/>
  <c r="V69" i="116"/>
  <c r="W79" i="116"/>
  <c r="W72" i="116"/>
  <c r="V78" i="116"/>
  <c r="V35" i="116"/>
  <c r="W15" i="116"/>
  <c r="V17" i="116"/>
  <c r="V19" i="116"/>
  <c r="V21" i="116"/>
  <c r="V27" i="116"/>
  <c r="W29" i="116"/>
  <c r="W31" i="116"/>
  <c r="W38" i="116"/>
  <c r="V8" i="116"/>
  <c r="V70" i="116"/>
  <c r="W70" i="116"/>
  <c r="W10" i="116"/>
  <c r="V10" i="116"/>
  <c r="W12" i="116"/>
  <c r="V12" i="116"/>
  <c r="W74" i="116"/>
  <c r="V74" i="116"/>
  <c r="V97" i="116"/>
  <c r="W97" i="116"/>
  <c r="V9" i="116"/>
  <c r="J51" i="116"/>
  <c r="W9" i="116"/>
  <c r="W75" i="116"/>
  <c r="V75" i="116"/>
  <c r="J113" i="116"/>
  <c r="W90" i="116"/>
  <c r="V90" i="116"/>
  <c r="W33" i="116"/>
  <c r="V33" i="116"/>
  <c r="V36" i="116"/>
  <c r="W36" i="116"/>
  <c r="J82" i="116"/>
  <c r="V108" i="116"/>
  <c r="W108" i="116"/>
  <c r="V13" i="116"/>
  <c r="V18" i="116"/>
  <c r="V22" i="116"/>
  <c r="V23" i="116"/>
  <c r="V24" i="116"/>
  <c r="V25" i="116"/>
  <c r="V26" i="116"/>
  <c r="V34" i="116"/>
  <c r="V40" i="116"/>
  <c r="V59" i="116"/>
  <c r="V63" i="116"/>
  <c r="V64" i="116"/>
  <c r="V65" i="116"/>
  <c r="V66" i="116"/>
  <c r="V67" i="116"/>
  <c r="V68" i="116"/>
  <c r="V76" i="116"/>
  <c r="V77" i="116"/>
  <c r="V81" i="116"/>
  <c r="V95" i="116"/>
  <c r="V101" i="116"/>
  <c r="V102" i="116"/>
  <c r="V106" i="116"/>
  <c r="V111" i="116"/>
  <c r="W59" i="116"/>
  <c r="H108" i="115"/>
  <c r="W51" i="116" l="1"/>
  <c r="P4" i="116" s="1"/>
  <c r="W113" i="116"/>
  <c r="P8" i="116" s="1"/>
  <c r="V51" i="116"/>
  <c r="O4" i="116" s="1"/>
  <c r="R4" i="116" s="1"/>
  <c r="V113" i="116"/>
  <c r="O8" i="116" s="1"/>
  <c r="V82" i="116"/>
  <c r="O6" i="116" s="1"/>
  <c r="W82" i="116"/>
  <c r="P6" i="116" s="1"/>
  <c r="H45" i="115"/>
  <c r="H44" i="115"/>
  <c r="H42" i="115"/>
  <c r="H38" i="115"/>
  <c r="H36" i="115"/>
  <c r="H33" i="115"/>
  <c r="H31" i="115"/>
  <c r="H30" i="115"/>
  <c r="H29" i="115"/>
  <c r="H26" i="115"/>
  <c r="H25" i="115"/>
  <c r="H24" i="115"/>
  <c r="H23" i="115"/>
  <c r="H77" i="115"/>
  <c r="H75" i="115"/>
  <c r="H74" i="115"/>
  <c r="H72" i="115"/>
  <c r="H70" i="115"/>
  <c r="H68" i="115"/>
  <c r="H67" i="115"/>
  <c r="H66" i="115"/>
  <c r="H65" i="115"/>
  <c r="H102" i="115"/>
  <c r="H99" i="115"/>
  <c r="H97" i="115"/>
  <c r="P10" i="116" l="1"/>
  <c r="Q4" i="116"/>
  <c r="R8" i="116"/>
  <c r="Q8" i="116"/>
  <c r="R6" i="116"/>
  <c r="Q6" i="116"/>
  <c r="O10" i="116"/>
  <c r="R10" i="116" s="1"/>
  <c r="P12" i="116" s="1"/>
  <c r="H92" i="115"/>
  <c r="Q10" i="116" l="1"/>
  <c r="H93" i="115"/>
  <c r="H90" i="115"/>
  <c r="H64" i="115"/>
  <c r="J64" i="115" s="1"/>
  <c r="H59" i="115"/>
  <c r="H16" i="115"/>
  <c r="H13" i="115"/>
  <c r="H12" i="115"/>
  <c r="J12" i="115" s="1"/>
  <c r="V12" i="115" s="1"/>
  <c r="H10" i="115"/>
  <c r="H9" i="115"/>
  <c r="H8" i="115"/>
  <c r="W112" i="115"/>
  <c r="J112" i="115"/>
  <c r="V112" i="115" s="1"/>
  <c r="J111" i="115"/>
  <c r="W111" i="115" s="1"/>
  <c r="J110" i="115"/>
  <c r="W110" i="115" s="1"/>
  <c r="J109" i="115"/>
  <c r="W109" i="115" s="1"/>
  <c r="J108" i="115"/>
  <c r="J107" i="115"/>
  <c r="W107" i="115" s="1"/>
  <c r="J106" i="115"/>
  <c r="V106" i="115" s="1"/>
  <c r="J105" i="115"/>
  <c r="V105" i="115" s="1"/>
  <c r="J104" i="115"/>
  <c r="W104" i="115" s="1"/>
  <c r="J103" i="115"/>
  <c r="W103" i="115" s="1"/>
  <c r="J102" i="115"/>
  <c r="W102" i="115" s="1"/>
  <c r="J101" i="115"/>
  <c r="V101" i="115" s="1"/>
  <c r="J100" i="115"/>
  <c r="W100" i="115" s="1"/>
  <c r="J99" i="115"/>
  <c r="W99" i="115" s="1"/>
  <c r="J98" i="115"/>
  <c r="W98" i="115" s="1"/>
  <c r="J97" i="115"/>
  <c r="V97" i="115" s="1"/>
  <c r="J96" i="115"/>
  <c r="W96" i="115" s="1"/>
  <c r="J95" i="115"/>
  <c r="W95" i="115" s="1"/>
  <c r="J94" i="115"/>
  <c r="W94" i="115" s="1"/>
  <c r="J93" i="115"/>
  <c r="V93" i="115" s="1"/>
  <c r="J92" i="115"/>
  <c r="V92" i="115" s="1"/>
  <c r="J91" i="115"/>
  <c r="V91" i="115" s="1"/>
  <c r="J90" i="115"/>
  <c r="V90" i="115" s="1"/>
  <c r="J81" i="115"/>
  <c r="W81" i="115" s="1"/>
  <c r="J80" i="115"/>
  <c r="W80" i="115" s="1"/>
  <c r="J79" i="115"/>
  <c r="V79" i="115" s="1"/>
  <c r="J78" i="115"/>
  <c r="V78" i="115" s="1"/>
  <c r="J77" i="115"/>
  <c r="V77" i="115" s="1"/>
  <c r="J76" i="115"/>
  <c r="V76" i="115" s="1"/>
  <c r="J75" i="115"/>
  <c r="W75" i="115" s="1"/>
  <c r="J74" i="115"/>
  <c r="J73" i="115"/>
  <c r="J72" i="115"/>
  <c r="J71" i="115"/>
  <c r="W71" i="115" s="1"/>
  <c r="J70" i="115"/>
  <c r="V70" i="115" s="1"/>
  <c r="J69" i="115"/>
  <c r="W69" i="115" s="1"/>
  <c r="J68" i="115"/>
  <c r="W68" i="115" s="1"/>
  <c r="J67" i="115"/>
  <c r="W67" i="115" s="1"/>
  <c r="J66" i="115"/>
  <c r="W66" i="115" s="1"/>
  <c r="J65" i="115"/>
  <c r="J63" i="115"/>
  <c r="J62" i="115"/>
  <c r="W62" i="115" s="1"/>
  <c r="J61" i="115"/>
  <c r="V61" i="115" s="1"/>
  <c r="J60" i="115"/>
  <c r="V60" i="115" s="1"/>
  <c r="J59" i="115"/>
  <c r="W59" i="115" s="1"/>
  <c r="J50" i="115"/>
  <c r="W50" i="115" s="1"/>
  <c r="J49" i="115"/>
  <c r="V49" i="115" s="1"/>
  <c r="V48" i="115"/>
  <c r="J48" i="115"/>
  <c r="W48" i="115" s="1"/>
  <c r="J47" i="115"/>
  <c r="J46" i="115"/>
  <c r="J45" i="115"/>
  <c r="J44" i="115"/>
  <c r="J43" i="115"/>
  <c r="J42" i="115"/>
  <c r="J41" i="115"/>
  <c r="V41" i="115" s="1"/>
  <c r="J40" i="115"/>
  <c r="V40" i="115" s="1"/>
  <c r="J39" i="115"/>
  <c r="W39" i="115" s="1"/>
  <c r="J38" i="115"/>
  <c r="W38" i="115" s="1"/>
  <c r="J37" i="115"/>
  <c r="W37" i="115" s="1"/>
  <c r="J36" i="115"/>
  <c r="J35" i="115"/>
  <c r="J34" i="115"/>
  <c r="J33" i="115"/>
  <c r="W33" i="115" s="1"/>
  <c r="J32" i="115"/>
  <c r="V32" i="115" s="1"/>
  <c r="J31" i="115"/>
  <c r="W31" i="115" s="1"/>
  <c r="J30" i="115"/>
  <c r="J29" i="115"/>
  <c r="W29" i="115" s="1"/>
  <c r="J28" i="115"/>
  <c r="V28" i="115" s="1"/>
  <c r="J27" i="115"/>
  <c r="V27" i="115" s="1"/>
  <c r="J26" i="115"/>
  <c r="V26" i="115" s="1"/>
  <c r="J25" i="115"/>
  <c r="W25" i="115" s="1"/>
  <c r="J24" i="115"/>
  <c r="J23" i="115"/>
  <c r="J22" i="115"/>
  <c r="W22" i="115" s="1"/>
  <c r="J21" i="115"/>
  <c r="V21" i="115" s="1"/>
  <c r="J20" i="115"/>
  <c r="V20" i="115" s="1"/>
  <c r="J19" i="115"/>
  <c r="J18" i="115"/>
  <c r="W18" i="115" s="1"/>
  <c r="J17" i="115"/>
  <c r="V17" i="115" s="1"/>
  <c r="J16" i="115"/>
  <c r="V16" i="115" s="1"/>
  <c r="J15" i="115"/>
  <c r="J14" i="115"/>
  <c r="J13" i="115"/>
  <c r="W13" i="115" s="1"/>
  <c r="J11" i="115"/>
  <c r="W11" i="115" s="1"/>
  <c r="J10" i="115"/>
  <c r="V10" i="115" s="1"/>
  <c r="J9" i="115"/>
  <c r="V9" i="115" s="1"/>
  <c r="N8" i="115"/>
  <c r="J8" i="115"/>
  <c r="W8" i="115" s="1"/>
  <c r="J7" i="115"/>
  <c r="V7" i="115" s="1"/>
  <c r="N6" i="115"/>
  <c r="J6" i="115"/>
  <c r="W6" i="115" s="1"/>
  <c r="N4" i="115"/>
  <c r="V80" i="115" l="1"/>
  <c r="V96" i="115"/>
  <c r="V111" i="115"/>
  <c r="V18" i="115"/>
  <c r="V50" i="115"/>
  <c r="W49" i="115"/>
  <c r="V31" i="115"/>
  <c r="V25" i="115"/>
  <c r="V22" i="115"/>
  <c r="W20" i="115"/>
  <c r="V104" i="115"/>
  <c r="V100" i="115"/>
  <c r="W60" i="115"/>
  <c r="V62" i="115"/>
  <c r="N10" i="115"/>
  <c r="W16" i="115"/>
  <c r="V11" i="115"/>
  <c r="V8" i="115"/>
  <c r="V6" i="115"/>
  <c r="W27" i="115"/>
  <c r="V29" i="115"/>
  <c r="V33" i="115"/>
  <c r="V38" i="115"/>
  <c r="W7" i="115"/>
  <c r="W10" i="115"/>
  <c r="W17" i="115"/>
  <c r="W21" i="115"/>
  <c r="V37" i="115"/>
  <c r="W40" i="115"/>
  <c r="W9" i="115"/>
  <c r="V13" i="115"/>
  <c r="W26" i="115"/>
  <c r="W28" i="115"/>
  <c r="W32" i="115"/>
  <c r="V39" i="115"/>
  <c r="W41" i="115"/>
  <c r="V59" i="115"/>
  <c r="V66" i="115"/>
  <c r="V71" i="115"/>
  <c r="W76" i="115"/>
  <c r="W78" i="115"/>
  <c r="W61" i="115"/>
  <c r="V75" i="115"/>
  <c r="W70" i="115"/>
  <c r="W77" i="115"/>
  <c r="W79" i="115"/>
  <c r="W90" i="115"/>
  <c r="W92" i="115"/>
  <c r="V94" i="115"/>
  <c r="V98" i="115"/>
  <c r="V102" i="115"/>
  <c r="W106" i="115"/>
  <c r="W91" i="115"/>
  <c r="W93" i="115"/>
  <c r="W97" i="115"/>
  <c r="W101" i="115"/>
  <c r="W105" i="115"/>
  <c r="V107" i="115"/>
  <c r="W34" i="115"/>
  <c r="V34" i="115"/>
  <c r="W63" i="115"/>
  <c r="V63" i="115"/>
  <c r="W35" i="115"/>
  <c r="V35" i="115"/>
  <c r="J51" i="115"/>
  <c r="V67" i="115"/>
  <c r="V69" i="115"/>
  <c r="W74" i="115"/>
  <c r="V74" i="115"/>
  <c r="W15" i="115"/>
  <c r="V15" i="115"/>
  <c r="W19" i="115"/>
  <c r="V19" i="115"/>
  <c r="W23" i="115"/>
  <c r="V23" i="115"/>
  <c r="W30" i="115"/>
  <c r="V30" i="115"/>
  <c r="W24" i="115"/>
  <c r="V24" i="115"/>
  <c r="J82" i="115"/>
  <c r="W64" i="115"/>
  <c r="V64" i="115"/>
  <c r="W72" i="115"/>
  <c r="V72" i="115"/>
  <c r="W65" i="115"/>
  <c r="V65" i="115"/>
  <c r="W14" i="115"/>
  <c r="V14" i="115"/>
  <c r="W12" i="115"/>
  <c r="W36" i="115"/>
  <c r="V36" i="115"/>
  <c r="V68" i="115"/>
  <c r="W73" i="115"/>
  <c r="V73" i="115"/>
  <c r="W108" i="115"/>
  <c r="V108" i="115"/>
  <c r="V81" i="115"/>
  <c r="V95" i="115"/>
  <c r="V99" i="115"/>
  <c r="V103" i="115"/>
  <c r="V109" i="115"/>
  <c r="V110" i="115"/>
  <c r="J113" i="115"/>
  <c r="H41" i="114"/>
  <c r="H39" i="114"/>
  <c r="H79" i="114"/>
  <c r="H110" i="114"/>
  <c r="H78" i="114"/>
  <c r="H77" i="114"/>
  <c r="H38" i="114"/>
  <c r="H68" i="114"/>
  <c r="H108" i="114"/>
  <c r="H36" i="114"/>
  <c r="H106" i="114"/>
  <c r="H34" i="114"/>
  <c r="H28" i="114"/>
  <c r="H74" i="114"/>
  <c r="H27" i="114"/>
  <c r="H72" i="114"/>
  <c r="H24" i="114"/>
  <c r="H69" i="114"/>
  <c r="H67" i="114"/>
  <c r="H65" i="114"/>
  <c r="H15" i="114"/>
  <c r="V82" i="115" l="1"/>
  <c r="O6" i="115" s="1"/>
  <c r="R6" i="115" s="1"/>
  <c r="W51" i="115"/>
  <c r="P4" i="115" s="1"/>
  <c r="V51" i="115"/>
  <c r="O4" i="115" s="1"/>
  <c r="R4" i="115" s="1"/>
  <c r="W82" i="115"/>
  <c r="P6" i="115" s="1"/>
  <c r="W113" i="115"/>
  <c r="P8" i="115" s="1"/>
  <c r="V113" i="115"/>
  <c r="O8" i="115" s="1"/>
  <c r="R8" i="115" s="1"/>
  <c r="H64" i="114"/>
  <c r="H12" i="114"/>
  <c r="J12" i="114" s="1"/>
  <c r="W12" i="114" s="1"/>
  <c r="H61" i="114"/>
  <c r="H93" i="114"/>
  <c r="H92" i="114"/>
  <c r="J92" i="114" s="1"/>
  <c r="W92" i="114" s="1"/>
  <c r="H91" i="114"/>
  <c r="J91" i="114" s="1"/>
  <c r="W91" i="114" s="1"/>
  <c r="H8" i="114"/>
  <c r="J112" i="114"/>
  <c r="V112" i="114" s="1"/>
  <c r="J111" i="114"/>
  <c r="W111" i="114" s="1"/>
  <c r="J110" i="114"/>
  <c r="W110" i="114" s="1"/>
  <c r="J109" i="114"/>
  <c r="W109" i="114" s="1"/>
  <c r="J108" i="114"/>
  <c r="V108" i="114" s="1"/>
  <c r="J107" i="114"/>
  <c r="V107" i="114" s="1"/>
  <c r="J106" i="114"/>
  <c r="V106" i="114" s="1"/>
  <c r="J105" i="114"/>
  <c r="J104" i="114"/>
  <c r="J103" i="114"/>
  <c r="J102" i="114"/>
  <c r="J101" i="114"/>
  <c r="W101" i="114" s="1"/>
  <c r="J100" i="114"/>
  <c r="W100" i="114" s="1"/>
  <c r="J99" i="114"/>
  <c r="W99" i="114" s="1"/>
  <c r="J98" i="114"/>
  <c r="J97" i="114"/>
  <c r="W97" i="114" s="1"/>
  <c r="J96" i="114"/>
  <c r="V96" i="114" s="1"/>
  <c r="J95" i="114"/>
  <c r="V95" i="114" s="1"/>
  <c r="J94" i="114"/>
  <c r="V94" i="114" s="1"/>
  <c r="J93" i="114"/>
  <c r="V93" i="114" s="1"/>
  <c r="J90" i="114"/>
  <c r="W90" i="114" s="1"/>
  <c r="J81" i="114"/>
  <c r="V81" i="114" s="1"/>
  <c r="J80" i="114"/>
  <c r="W80" i="114" s="1"/>
  <c r="J79" i="114"/>
  <c r="W79" i="114" s="1"/>
  <c r="J78" i="114"/>
  <c r="W78" i="114" s="1"/>
  <c r="J77" i="114"/>
  <c r="J76" i="114"/>
  <c r="W76" i="114" s="1"/>
  <c r="J75" i="114"/>
  <c r="V75" i="114" s="1"/>
  <c r="J74" i="114"/>
  <c r="W74" i="114" s="1"/>
  <c r="J73" i="114"/>
  <c r="W73" i="114" s="1"/>
  <c r="J72" i="114"/>
  <c r="W72" i="114" s="1"/>
  <c r="J71" i="114"/>
  <c r="W71" i="114" s="1"/>
  <c r="J70" i="114"/>
  <c r="W70" i="114" s="1"/>
  <c r="J69" i="114"/>
  <c r="W69" i="114" s="1"/>
  <c r="J68" i="114"/>
  <c r="J67" i="114"/>
  <c r="W67" i="114" s="1"/>
  <c r="J66" i="114"/>
  <c r="V66" i="114" s="1"/>
  <c r="J65" i="114"/>
  <c r="W65" i="114" s="1"/>
  <c r="J64" i="114"/>
  <c r="V64" i="114" s="1"/>
  <c r="V63" i="114"/>
  <c r="J63" i="114"/>
  <c r="W63" i="114" s="1"/>
  <c r="J62" i="114"/>
  <c r="W62" i="114" s="1"/>
  <c r="J61" i="114"/>
  <c r="W61" i="114" s="1"/>
  <c r="J60" i="114"/>
  <c r="W60" i="114" s="1"/>
  <c r="J59" i="114"/>
  <c r="W59" i="114" s="1"/>
  <c r="J50" i="114"/>
  <c r="W50" i="114" s="1"/>
  <c r="J49" i="114"/>
  <c r="W49" i="114" s="1"/>
  <c r="J48" i="114"/>
  <c r="W48" i="114" s="1"/>
  <c r="J47" i="114"/>
  <c r="J46" i="114"/>
  <c r="J45" i="114"/>
  <c r="J44" i="114"/>
  <c r="J43" i="114"/>
  <c r="J42" i="114"/>
  <c r="J41" i="114"/>
  <c r="W41" i="114" s="1"/>
  <c r="J40" i="114"/>
  <c r="J39" i="114"/>
  <c r="J38" i="114"/>
  <c r="J37" i="114"/>
  <c r="W37" i="114" s="1"/>
  <c r="J36" i="114"/>
  <c r="V36" i="114" s="1"/>
  <c r="W35" i="114"/>
  <c r="J35" i="114"/>
  <c r="V35" i="114" s="1"/>
  <c r="J34" i="114"/>
  <c r="V34" i="114" s="1"/>
  <c r="J33" i="114"/>
  <c r="W33" i="114" s="1"/>
  <c r="J32" i="114"/>
  <c r="W32" i="114" s="1"/>
  <c r="J31" i="114"/>
  <c r="W31" i="114" s="1"/>
  <c r="J30" i="114"/>
  <c r="W30" i="114" s="1"/>
  <c r="J29" i="114"/>
  <c r="W29" i="114" s="1"/>
  <c r="J28" i="114"/>
  <c r="W28" i="114" s="1"/>
  <c r="J27" i="114"/>
  <c r="V27" i="114" s="1"/>
  <c r="J26" i="114"/>
  <c r="W26" i="114" s="1"/>
  <c r="J25" i="114"/>
  <c r="W25" i="114" s="1"/>
  <c r="J24" i="114"/>
  <c r="W24" i="114" s="1"/>
  <c r="J23" i="114"/>
  <c r="W23" i="114" s="1"/>
  <c r="J22" i="114"/>
  <c r="W22" i="114" s="1"/>
  <c r="J21" i="114"/>
  <c r="W21" i="114" s="1"/>
  <c r="J20" i="114"/>
  <c r="W20" i="114" s="1"/>
  <c r="J19" i="114"/>
  <c r="W19" i="114" s="1"/>
  <c r="J18" i="114"/>
  <c r="W18" i="114" s="1"/>
  <c r="J17" i="114"/>
  <c r="J16" i="114"/>
  <c r="J15" i="114"/>
  <c r="W15" i="114" s="1"/>
  <c r="J14" i="114"/>
  <c r="V14" i="114" s="1"/>
  <c r="J13" i="114"/>
  <c r="W13" i="114" s="1"/>
  <c r="J11" i="114"/>
  <c r="W11" i="114" s="1"/>
  <c r="J10" i="114"/>
  <c r="W10" i="114" s="1"/>
  <c r="J9" i="114"/>
  <c r="W9" i="114" s="1"/>
  <c r="N8" i="114"/>
  <c r="J8" i="114"/>
  <c r="W8" i="114" s="1"/>
  <c r="J7" i="114"/>
  <c r="W7" i="114" s="1"/>
  <c r="N6" i="114"/>
  <c r="J6" i="114"/>
  <c r="V6" i="114" s="1"/>
  <c r="N4" i="114"/>
  <c r="V111" i="114" l="1"/>
  <c r="W27" i="114"/>
  <c r="V49" i="114"/>
  <c r="V50" i="114"/>
  <c r="W81" i="114"/>
  <c r="V97" i="114"/>
  <c r="W112" i="114"/>
  <c r="V80" i="114"/>
  <c r="Q6" i="115"/>
  <c r="Q8" i="115"/>
  <c r="O10" i="115"/>
  <c r="R10" i="115" s="1"/>
  <c r="P12" i="115" s="1"/>
  <c r="Q4" i="115"/>
  <c r="P10" i="115"/>
  <c r="W108" i="114"/>
  <c r="W36" i="114"/>
  <c r="W106" i="114"/>
  <c r="W75" i="114"/>
  <c r="V22" i="114"/>
  <c r="V67" i="114"/>
  <c r="V15" i="114"/>
  <c r="W95" i="114"/>
  <c r="W64" i="114"/>
  <c r="V11" i="114"/>
  <c r="V9" i="114"/>
  <c r="W93" i="114"/>
  <c r="N10" i="114"/>
  <c r="V92" i="114"/>
  <c r="W94" i="114"/>
  <c r="W96" i="114"/>
  <c r="V101" i="114"/>
  <c r="W107" i="114"/>
  <c r="V109" i="114"/>
  <c r="V62" i="114"/>
  <c r="V65" i="114"/>
  <c r="W66" i="114"/>
  <c r="V76" i="114"/>
  <c r="V74" i="114"/>
  <c r="V21" i="114"/>
  <c r="V24" i="114"/>
  <c r="V26" i="114"/>
  <c r="V29" i="114"/>
  <c r="V8" i="114"/>
  <c r="W14" i="114"/>
  <c r="V23" i="114"/>
  <c r="V28" i="114"/>
  <c r="W34" i="114"/>
  <c r="V37" i="114"/>
  <c r="V7" i="114"/>
  <c r="V13" i="114"/>
  <c r="V20" i="114"/>
  <c r="V33" i="114"/>
  <c r="W39" i="114"/>
  <c r="V39" i="114"/>
  <c r="W16" i="114"/>
  <c r="V16" i="114"/>
  <c r="W40" i="114"/>
  <c r="V40" i="114"/>
  <c r="W68" i="114"/>
  <c r="V68" i="114"/>
  <c r="V103" i="114"/>
  <c r="W103" i="114"/>
  <c r="W102" i="114"/>
  <c r="V102" i="114"/>
  <c r="J51" i="114"/>
  <c r="W17" i="114"/>
  <c r="V17" i="114"/>
  <c r="W98" i="114"/>
  <c r="V98" i="114"/>
  <c r="V104" i="114"/>
  <c r="W104" i="114"/>
  <c r="W38" i="114"/>
  <c r="V38" i="114"/>
  <c r="W77" i="114"/>
  <c r="V77" i="114"/>
  <c r="V105" i="114"/>
  <c r="W105" i="114"/>
  <c r="W6" i="114"/>
  <c r="V10" i="114"/>
  <c r="V12" i="114"/>
  <c r="V18" i="114"/>
  <c r="V19" i="114"/>
  <c r="V25" i="114"/>
  <c r="V30" i="114"/>
  <c r="V31" i="114"/>
  <c r="V32" i="114"/>
  <c r="V41" i="114"/>
  <c r="V48" i="114"/>
  <c r="V59" i="114"/>
  <c r="V60" i="114"/>
  <c r="V61" i="114"/>
  <c r="V69" i="114"/>
  <c r="V70" i="114"/>
  <c r="V71" i="114"/>
  <c r="V72" i="114"/>
  <c r="V73" i="114"/>
  <c r="V78" i="114"/>
  <c r="V79" i="114"/>
  <c r="J82" i="114"/>
  <c r="V90" i="114"/>
  <c r="V91" i="114"/>
  <c r="V99" i="114"/>
  <c r="V100" i="114"/>
  <c r="V110" i="114"/>
  <c r="J113" i="114"/>
  <c r="H79" i="113"/>
  <c r="H43" i="113"/>
  <c r="Q10" i="115" l="1"/>
  <c r="W113" i="114"/>
  <c r="P8" i="114" s="1"/>
  <c r="W82" i="114"/>
  <c r="P6" i="114" s="1"/>
  <c r="V51" i="114"/>
  <c r="O4" i="114" s="1"/>
  <c r="R4" i="114" s="1"/>
  <c r="W51" i="114"/>
  <c r="P4" i="114" s="1"/>
  <c r="V82" i="114"/>
  <c r="O6" i="114" s="1"/>
  <c r="V113" i="114"/>
  <c r="O8" i="114" s="1"/>
  <c r="H45" i="113"/>
  <c r="H44" i="113"/>
  <c r="H77" i="113"/>
  <c r="H40" i="113"/>
  <c r="H39" i="113"/>
  <c r="H38" i="113"/>
  <c r="H36" i="113"/>
  <c r="H108" i="113"/>
  <c r="H107" i="113"/>
  <c r="P10" i="114" l="1"/>
  <c r="Q4" i="114"/>
  <c r="R8" i="114"/>
  <c r="Q8" i="114"/>
  <c r="R6" i="114"/>
  <c r="Q6" i="114"/>
  <c r="O10" i="114"/>
  <c r="R10" i="114" s="1"/>
  <c r="P12" i="114" s="1"/>
  <c r="H35" i="113"/>
  <c r="H105" i="113"/>
  <c r="H104" i="113"/>
  <c r="H73" i="113"/>
  <c r="H32" i="113"/>
  <c r="H31" i="113"/>
  <c r="H72" i="113"/>
  <c r="H71" i="113"/>
  <c r="H103" i="113"/>
  <c r="H102" i="113"/>
  <c r="H70" i="113"/>
  <c r="H28" i="113"/>
  <c r="H100" i="113"/>
  <c r="H68" i="113"/>
  <c r="H23" i="113"/>
  <c r="H98" i="113"/>
  <c r="H66" i="113"/>
  <c r="H21" i="113"/>
  <c r="Q10" i="114" l="1"/>
  <c r="H19" i="113"/>
  <c r="H65" i="113"/>
  <c r="H96" i="113"/>
  <c r="H95" i="113"/>
  <c r="J95" i="113" s="1"/>
  <c r="W95" i="113" s="1"/>
  <c r="H94" i="113"/>
  <c r="H64" i="113"/>
  <c r="J64" i="113" s="1"/>
  <c r="H17" i="113"/>
  <c r="J17" i="113" s="1"/>
  <c r="W17" i="113" s="1"/>
  <c r="H16" i="113"/>
  <c r="H12" i="113"/>
  <c r="H61" i="113"/>
  <c r="H10" i="113"/>
  <c r="H9" i="113"/>
  <c r="J9" i="113" s="1"/>
  <c r="W9" i="113" s="1"/>
  <c r="H60" i="113"/>
  <c r="H91" i="113"/>
  <c r="J91" i="113" s="1"/>
  <c r="V91" i="113" s="1"/>
  <c r="H7" i="113"/>
  <c r="W112" i="113"/>
  <c r="J112" i="113"/>
  <c r="V112" i="113" s="1"/>
  <c r="J111" i="113"/>
  <c r="J110" i="113"/>
  <c r="W110" i="113" s="1"/>
  <c r="J109" i="113"/>
  <c r="V109" i="113" s="1"/>
  <c r="J108" i="113"/>
  <c r="V108" i="113" s="1"/>
  <c r="W107" i="113"/>
  <c r="J107" i="113"/>
  <c r="V107" i="113" s="1"/>
  <c r="J106" i="113"/>
  <c r="V106" i="113" s="1"/>
  <c r="J105" i="113"/>
  <c r="J104" i="113"/>
  <c r="J103" i="113"/>
  <c r="W103" i="113" s="1"/>
  <c r="J102" i="113"/>
  <c r="W102" i="113" s="1"/>
  <c r="J101" i="113"/>
  <c r="W101" i="113" s="1"/>
  <c r="J100" i="113"/>
  <c r="J99" i="113"/>
  <c r="W99" i="113" s="1"/>
  <c r="J98" i="113"/>
  <c r="V98" i="113" s="1"/>
  <c r="J97" i="113"/>
  <c r="V97" i="113" s="1"/>
  <c r="J96" i="113"/>
  <c r="W96" i="113" s="1"/>
  <c r="J94" i="113"/>
  <c r="J93" i="113"/>
  <c r="J92" i="113"/>
  <c r="W92" i="113" s="1"/>
  <c r="J90" i="113"/>
  <c r="W90" i="113" s="1"/>
  <c r="J81" i="113"/>
  <c r="W81" i="113" s="1"/>
  <c r="J80" i="113"/>
  <c r="V80" i="113" s="1"/>
  <c r="J79" i="113"/>
  <c r="V79" i="113" s="1"/>
  <c r="J78" i="113"/>
  <c r="V78" i="113" s="1"/>
  <c r="J77" i="113"/>
  <c r="W77" i="113" s="1"/>
  <c r="J76" i="113"/>
  <c r="W76" i="113" s="1"/>
  <c r="J75" i="113"/>
  <c r="J74" i="113"/>
  <c r="J73" i="113"/>
  <c r="J72" i="113"/>
  <c r="J71" i="113"/>
  <c r="J70" i="113"/>
  <c r="W70" i="113" s="1"/>
  <c r="J69" i="113"/>
  <c r="W69" i="113" s="1"/>
  <c r="J68" i="113"/>
  <c r="W68" i="113" s="1"/>
  <c r="J67" i="113"/>
  <c r="V67" i="113" s="1"/>
  <c r="J66" i="113"/>
  <c r="W66" i="113" s="1"/>
  <c r="J65" i="113"/>
  <c r="J63" i="113"/>
  <c r="W63" i="113" s="1"/>
  <c r="J62" i="113"/>
  <c r="W62" i="113" s="1"/>
  <c r="J61" i="113"/>
  <c r="V61" i="113" s="1"/>
  <c r="J60" i="113"/>
  <c r="J59" i="113"/>
  <c r="J50" i="113"/>
  <c r="W50" i="113" s="1"/>
  <c r="J49" i="113"/>
  <c r="W49" i="113" s="1"/>
  <c r="J48" i="113"/>
  <c r="J47" i="113"/>
  <c r="J46" i="113"/>
  <c r="J45" i="113"/>
  <c r="J44" i="113"/>
  <c r="J43" i="113"/>
  <c r="J42" i="113"/>
  <c r="J41" i="113"/>
  <c r="V41" i="113" s="1"/>
  <c r="J40" i="113"/>
  <c r="W40" i="113" s="1"/>
  <c r="J39" i="113"/>
  <c r="J38" i="113"/>
  <c r="W38" i="113" s="1"/>
  <c r="J37" i="113"/>
  <c r="W37" i="113" s="1"/>
  <c r="J36" i="113"/>
  <c r="W36" i="113" s="1"/>
  <c r="J35" i="113"/>
  <c r="J34" i="113"/>
  <c r="J33" i="113"/>
  <c r="W33" i="113" s="1"/>
  <c r="J32" i="113"/>
  <c r="W32" i="113" s="1"/>
  <c r="J31" i="113"/>
  <c r="V31" i="113" s="1"/>
  <c r="J30" i="113"/>
  <c r="J29" i="113"/>
  <c r="W29" i="113" s="1"/>
  <c r="J28" i="113"/>
  <c r="W28" i="113" s="1"/>
  <c r="J27" i="113"/>
  <c r="V27" i="113" s="1"/>
  <c r="J26" i="113"/>
  <c r="J25" i="113"/>
  <c r="W25" i="113" s="1"/>
  <c r="J24" i="113"/>
  <c r="W24" i="113" s="1"/>
  <c r="J23" i="113"/>
  <c r="V23" i="113" s="1"/>
  <c r="J22" i="113"/>
  <c r="J21" i="113"/>
  <c r="J20" i="113"/>
  <c r="W20" i="113" s="1"/>
  <c r="J19" i="113"/>
  <c r="V19" i="113" s="1"/>
  <c r="J18" i="113"/>
  <c r="V18" i="113" s="1"/>
  <c r="J16" i="113"/>
  <c r="V16" i="113" s="1"/>
  <c r="J15" i="113"/>
  <c r="J14" i="113"/>
  <c r="J13" i="113"/>
  <c r="J12" i="113"/>
  <c r="J11" i="113"/>
  <c r="W11" i="113" s="1"/>
  <c r="J10" i="113"/>
  <c r="W10" i="113" s="1"/>
  <c r="N8" i="113"/>
  <c r="J8" i="113"/>
  <c r="W8" i="113" s="1"/>
  <c r="J7" i="113"/>
  <c r="W7" i="113" s="1"/>
  <c r="N6" i="113"/>
  <c r="J6" i="113"/>
  <c r="W6" i="113" s="1"/>
  <c r="N4" i="113"/>
  <c r="W41" i="113" l="1"/>
  <c r="V50" i="113"/>
  <c r="W23" i="113"/>
  <c r="V49" i="113"/>
  <c r="W78" i="113"/>
  <c r="V40" i="113"/>
  <c r="V37" i="113"/>
  <c r="V36" i="113"/>
  <c r="V76" i="113"/>
  <c r="W106" i="113"/>
  <c r="W31" i="113"/>
  <c r="V101" i="113"/>
  <c r="W27" i="113"/>
  <c r="V68" i="113"/>
  <c r="W67" i="113"/>
  <c r="W98" i="113"/>
  <c r="W97" i="113"/>
  <c r="V66" i="113"/>
  <c r="V96" i="113"/>
  <c r="W16" i="113"/>
  <c r="V62" i="113"/>
  <c r="W61" i="113"/>
  <c r="W91" i="113"/>
  <c r="V90" i="113"/>
  <c r="V6" i="113"/>
  <c r="V95" i="113"/>
  <c r="V102" i="113"/>
  <c r="W108" i="113"/>
  <c r="V69" i="113"/>
  <c r="V77" i="113"/>
  <c r="N10" i="113"/>
  <c r="W80" i="113"/>
  <c r="J51" i="113"/>
  <c r="V17" i="113"/>
  <c r="V24" i="113"/>
  <c r="V28" i="113"/>
  <c r="V32" i="113"/>
  <c r="V9" i="113"/>
  <c r="V11" i="113"/>
  <c r="W18" i="113"/>
  <c r="V7" i="113"/>
  <c r="V8" i="113"/>
  <c r="V10" i="113"/>
  <c r="W26" i="113"/>
  <c r="V26" i="113"/>
  <c r="W94" i="113"/>
  <c r="V94" i="113"/>
  <c r="W12" i="113"/>
  <c r="V12" i="113"/>
  <c r="W14" i="113"/>
  <c r="V14" i="113"/>
  <c r="W19" i="113"/>
  <c r="W35" i="113"/>
  <c r="V35" i="113"/>
  <c r="W39" i="113"/>
  <c r="V39" i="113"/>
  <c r="W65" i="113"/>
  <c r="V65" i="113"/>
  <c r="W71" i="113"/>
  <c r="V71" i="113"/>
  <c r="W109" i="113"/>
  <c r="W34" i="113"/>
  <c r="V34" i="113"/>
  <c r="W75" i="113"/>
  <c r="V75" i="113"/>
  <c r="W59" i="113"/>
  <c r="V59" i="113"/>
  <c r="W72" i="113"/>
  <c r="V72" i="113"/>
  <c r="W74" i="113"/>
  <c r="V74" i="113"/>
  <c r="W79" i="113"/>
  <c r="J82" i="113"/>
  <c r="W93" i="113"/>
  <c r="V93" i="113"/>
  <c r="W100" i="113"/>
  <c r="V100" i="113"/>
  <c r="W104" i="113"/>
  <c r="V104" i="113"/>
  <c r="W13" i="113"/>
  <c r="V13" i="113"/>
  <c r="W22" i="113"/>
  <c r="V22" i="113"/>
  <c r="W30" i="113"/>
  <c r="V30" i="113"/>
  <c r="W73" i="113"/>
  <c r="V73" i="113"/>
  <c r="W15" i="113"/>
  <c r="V15" i="113"/>
  <c r="W21" i="113"/>
  <c r="V21" i="113"/>
  <c r="W48" i="113"/>
  <c r="V48" i="113"/>
  <c r="W60" i="113"/>
  <c r="V60" i="113"/>
  <c r="W64" i="113"/>
  <c r="V64" i="113"/>
  <c r="J113" i="113"/>
  <c r="W105" i="113"/>
  <c r="V105" i="113"/>
  <c r="W111" i="113"/>
  <c r="V111" i="113"/>
  <c r="V20" i="113"/>
  <c r="V25" i="113"/>
  <c r="V29" i="113"/>
  <c r="V33" i="113"/>
  <c r="V38" i="113"/>
  <c r="V63" i="113"/>
  <c r="V70" i="113"/>
  <c r="V81" i="113"/>
  <c r="V92" i="113"/>
  <c r="V99" i="113"/>
  <c r="V103" i="113"/>
  <c r="V110" i="113"/>
  <c r="H80" i="112"/>
  <c r="V113" i="113" l="1"/>
  <c r="O8" i="113" s="1"/>
  <c r="W51" i="113"/>
  <c r="P4" i="113" s="1"/>
  <c r="W113" i="113"/>
  <c r="P8" i="113" s="1"/>
  <c r="V51" i="113"/>
  <c r="O4" i="113" s="1"/>
  <c r="R8" i="113"/>
  <c r="V82" i="113"/>
  <c r="O6" i="113" s="1"/>
  <c r="W82" i="113"/>
  <c r="P6" i="113" s="1"/>
  <c r="H79" i="112"/>
  <c r="J79" i="112" s="1"/>
  <c r="V79" i="112" s="1"/>
  <c r="H43" i="112"/>
  <c r="H78" i="112"/>
  <c r="H109" i="112"/>
  <c r="H108" i="112"/>
  <c r="J108" i="112" s="1"/>
  <c r="H75" i="112"/>
  <c r="H74" i="112"/>
  <c r="H104" i="112"/>
  <c r="H73" i="112"/>
  <c r="J73" i="112" s="1"/>
  <c r="W73" i="112" s="1"/>
  <c r="H34" i="112"/>
  <c r="H71" i="112"/>
  <c r="H68" i="112"/>
  <c r="H98" i="112"/>
  <c r="H67" i="112"/>
  <c r="H21" i="112"/>
  <c r="H96" i="112"/>
  <c r="H65" i="112"/>
  <c r="J65" i="112" s="1"/>
  <c r="W65" i="112" s="1"/>
  <c r="H19" i="112"/>
  <c r="H18" i="112"/>
  <c r="H94" i="112"/>
  <c r="H15" i="112"/>
  <c r="J15" i="112" s="1"/>
  <c r="V15" i="112" s="1"/>
  <c r="H13" i="112"/>
  <c r="H12" i="112"/>
  <c r="H11" i="112"/>
  <c r="H9" i="112"/>
  <c r="J9" i="112" s="1"/>
  <c r="W9" i="112" s="1"/>
  <c r="H8" i="112"/>
  <c r="H59" i="112"/>
  <c r="H7" i="112"/>
  <c r="W112" i="112"/>
  <c r="J112" i="112"/>
  <c r="V112" i="112" s="1"/>
  <c r="J111" i="112"/>
  <c r="W111" i="112" s="1"/>
  <c r="J110" i="112"/>
  <c r="W110" i="112" s="1"/>
  <c r="J109" i="112"/>
  <c r="J107" i="112"/>
  <c r="W107" i="112" s="1"/>
  <c r="J106" i="112"/>
  <c r="V106" i="112" s="1"/>
  <c r="J105" i="112"/>
  <c r="W105" i="112" s="1"/>
  <c r="J104" i="112"/>
  <c r="W104" i="112" s="1"/>
  <c r="J103" i="112"/>
  <c r="J102" i="112"/>
  <c r="W102" i="112" s="1"/>
  <c r="J101" i="112"/>
  <c r="V101" i="112" s="1"/>
  <c r="J100" i="112"/>
  <c r="W100" i="112" s="1"/>
  <c r="J99" i="112"/>
  <c r="W99" i="112" s="1"/>
  <c r="J98" i="112"/>
  <c r="W98" i="112" s="1"/>
  <c r="J97" i="112"/>
  <c r="W97" i="112" s="1"/>
  <c r="J96" i="112"/>
  <c r="W96" i="112" s="1"/>
  <c r="J95" i="112"/>
  <c r="W95" i="112" s="1"/>
  <c r="J94" i="112"/>
  <c r="V94" i="112" s="1"/>
  <c r="J93" i="112"/>
  <c r="W93" i="112" s="1"/>
  <c r="J92" i="112"/>
  <c r="W92" i="112" s="1"/>
  <c r="J91" i="112"/>
  <c r="W91" i="112" s="1"/>
  <c r="J90" i="112"/>
  <c r="V90" i="112" s="1"/>
  <c r="J81" i="112"/>
  <c r="W81" i="112" s="1"/>
  <c r="J80" i="112"/>
  <c r="W80" i="112" s="1"/>
  <c r="J78" i="112"/>
  <c r="J77" i="112"/>
  <c r="W77" i="112" s="1"/>
  <c r="J76" i="112"/>
  <c r="W76" i="112" s="1"/>
  <c r="J75" i="112"/>
  <c r="W75" i="112" s="1"/>
  <c r="J74" i="112"/>
  <c r="W74" i="112" s="1"/>
  <c r="J72" i="112"/>
  <c r="W72" i="112" s="1"/>
  <c r="J71" i="112"/>
  <c r="W71" i="112" s="1"/>
  <c r="J70" i="112"/>
  <c r="W70" i="112" s="1"/>
  <c r="J69" i="112"/>
  <c r="W69" i="112" s="1"/>
  <c r="J68" i="112"/>
  <c r="V68" i="112" s="1"/>
  <c r="J67" i="112"/>
  <c r="W67" i="112" s="1"/>
  <c r="J66" i="112"/>
  <c r="W66" i="112" s="1"/>
  <c r="J64" i="112"/>
  <c r="V64" i="112" s="1"/>
  <c r="J63" i="112"/>
  <c r="J62" i="112"/>
  <c r="W62" i="112" s="1"/>
  <c r="J61" i="112"/>
  <c r="W61" i="112" s="1"/>
  <c r="J60" i="112"/>
  <c r="J59" i="112"/>
  <c r="V59" i="112" s="1"/>
  <c r="V50" i="112"/>
  <c r="J50" i="112"/>
  <c r="W50" i="112" s="1"/>
  <c r="J49" i="112"/>
  <c r="W49" i="112" s="1"/>
  <c r="J48" i="112"/>
  <c r="W48" i="112" s="1"/>
  <c r="J47" i="112"/>
  <c r="J46" i="112"/>
  <c r="J45" i="112"/>
  <c r="J44" i="112"/>
  <c r="J43" i="112"/>
  <c r="J42" i="112"/>
  <c r="J41" i="112"/>
  <c r="V41" i="112" s="1"/>
  <c r="J40" i="112"/>
  <c r="V40" i="112" s="1"/>
  <c r="J39" i="112"/>
  <c r="V39" i="112" s="1"/>
  <c r="J38" i="112"/>
  <c r="W38" i="112" s="1"/>
  <c r="J37" i="112"/>
  <c r="W37" i="112" s="1"/>
  <c r="J36" i="112"/>
  <c r="W36" i="112" s="1"/>
  <c r="J35" i="112"/>
  <c r="W35" i="112" s="1"/>
  <c r="J34" i="112"/>
  <c r="W34" i="112" s="1"/>
  <c r="J33" i="112"/>
  <c r="W33" i="112" s="1"/>
  <c r="J32" i="112"/>
  <c r="V32" i="112" s="1"/>
  <c r="J31" i="112"/>
  <c r="W31" i="112" s="1"/>
  <c r="J30" i="112"/>
  <c r="W30" i="112" s="1"/>
  <c r="J29" i="112"/>
  <c r="W29" i="112" s="1"/>
  <c r="J28" i="112"/>
  <c r="W28" i="112" s="1"/>
  <c r="J27" i="112"/>
  <c r="V27" i="112" s="1"/>
  <c r="J26" i="112"/>
  <c r="W26" i="112" s="1"/>
  <c r="J25" i="112"/>
  <c r="W25" i="112" s="1"/>
  <c r="J24" i="112"/>
  <c r="W24" i="112" s="1"/>
  <c r="J23" i="112"/>
  <c r="V23" i="112" s="1"/>
  <c r="J22" i="112"/>
  <c r="V22" i="112" s="1"/>
  <c r="J21" i="112"/>
  <c r="J20" i="112"/>
  <c r="W20" i="112" s="1"/>
  <c r="J19" i="112"/>
  <c r="W19" i="112" s="1"/>
  <c r="J18" i="112"/>
  <c r="W18" i="112" s="1"/>
  <c r="J17" i="112"/>
  <c r="V17" i="112" s="1"/>
  <c r="J16" i="112"/>
  <c r="V16" i="112" s="1"/>
  <c r="J14" i="112"/>
  <c r="W14" i="112" s="1"/>
  <c r="J13" i="112"/>
  <c r="W13" i="112" s="1"/>
  <c r="J12" i="112"/>
  <c r="W12" i="112" s="1"/>
  <c r="J11" i="112"/>
  <c r="W11" i="112" s="1"/>
  <c r="J10" i="112"/>
  <c r="N8" i="112"/>
  <c r="J8" i="112"/>
  <c r="V8" i="112" s="1"/>
  <c r="J7" i="112"/>
  <c r="V7" i="112" s="1"/>
  <c r="N6" i="112"/>
  <c r="J6" i="112"/>
  <c r="V6" i="112" s="1"/>
  <c r="N4" i="112"/>
  <c r="V105" i="112" l="1"/>
  <c r="V48" i="112"/>
  <c r="Q8" i="113"/>
  <c r="Q4" i="113"/>
  <c r="P10" i="113"/>
  <c r="R4" i="113"/>
  <c r="R6" i="113"/>
  <c r="Q6" i="113"/>
  <c r="O10" i="113"/>
  <c r="R10" i="113" s="1"/>
  <c r="P12" i="113" s="1"/>
  <c r="V80" i="112"/>
  <c r="V111" i="112"/>
  <c r="W79" i="112"/>
  <c r="W40" i="112"/>
  <c r="V107" i="112"/>
  <c r="V38" i="112"/>
  <c r="W32" i="112"/>
  <c r="V102" i="112"/>
  <c r="V100" i="112"/>
  <c r="W27" i="112"/>
  <c r="V24" i="112"/>
  <c r="W22" i="112"/>
  <c r="V20" i="112"/>
  <c r="W64" i="112"/>
  <c r="W94" i="112"/>
  <c r="V9" i="112"/>
  <c r="W8" i="112"/>
  <c r="V91" i="112"/>
  <c r="W90" i="112"/>
  <c r="V93" i="112"/>
  <c r="V95" i="112"/>
  <c r="W101" i="112"/>
  <c r="W106" i="112"/>
  <c r="V62" i="112"/>
  <c r="V67" i="112"/>
  <c r="V69" i="112"/>
  <c r="V65" i="112"/>
  <c r="V77" i="112"/>
  <c r="W68" i="112"/>
  <c r="W7" i="112"/>
  <c r="V11" i="112"/>
  <c r="V14" i="112"/>
  <c r="W16" i="112"/>
  <c r="V18" i="112"/>
  <c r="W23" i="112"/>
  <c r="V26" i="112"/>
  <c r="V28" i="112"/>
  <c r="V31" i="112"/>
  <c r="V33" i="112"/>
  <c r="W39" i="112"/>
  <c r="W41" i="112"/>
  <c r="W15" i="112"/>
  <c r="W17" i="112"/>
  <c r="V10" i="112"/>
  <c r="W10" i="112"/>
  <c r="V21" i="112"/>
  <c r="W21" i="112"/>
  <c r="W103" i="112"/>
  <c r="V103" i="112"/>
  <c r="W108" i="112"/>
  <c r="V108" i="112"/>
  <c r="W60" i="112"/>
  <c r="V60" i="112"/>
  <c r="W109" i="112"/>
  <c r="V109" i="112"/>
  <c r="V63" i="112"/>
  <c r="W63" i="112"/>
  <c r="J82" i="112"/>
  <c r="J51" i="112"/>
  <c r="W78" i="112"/>
  <c r="V78" i="112"/>
  <c r="W6" i="112"/>
  <c r="V13" i="112"/>
  <c r="V19" i="112"/>
  <c r="V25" i="112"/>
  <c r="V29" i="112"/>
  <c r="V30" i="112"/>
  <c r="V34" i="112"/>
  <c r="V35" i="112"/>
  <c r="V36" i="112"/>
  <c r="V37" i="112"/>
  <c r="V49" i="112"/>
  <c r="V61" i="112"/>
  <c r="V66" i="112"/>
  <c r="V70" i="112"/>
  <c r="V71" i="112"/>
  <c r="V72" i="112"/>
  <c r="V73" i="112"/>
  <c r="V74" i="112"/>
  <c r="V75" i="112"/>
  <c r="V76" i="112"/>
  <c r="V81" i="112"/>
  <c r="V92" i="112"/>
  <c r="V96" i="112"/>
  <c r="V97" i="112"/>
  <c r="V98" i="112"/>
  <c r="V99" i="112"/>
  <c r="V104" i="112"/>
  <c r="V110" i="112"/>
  <c r="J113" i="112"/>
  <c r="N10" i="112"/>
  <c r="V12" i="112"/>
  <c r="W59" i="112"/>
  <c r="H109" i="111"/>
  <c r="H108" i="111"/>
  <c r="H103" i="111"/>
  <c r="H78" i="111"/>
  <c r="H76" i="111"/>
  <c r="H75" i="111"/>
  <c r="H74" i="111"/>
  <c r="H73" i="111"/>
  <c r="H72" i="111"/>
  <c r="H71" i="111"/>
  <c r="H45" i="111"/>
  <c r="H43" i="111"/>
  <c r="H41" i="111"/>
  <c r="H40" i="111"/>
  <c r="H37" i="111"/>
  <c r="H36" i="111"/>
  <c r="H35" i="111"/>
  <c r="H30" i="111"/>
  <c r="Q10" i="113" l="1"/>
  <c r="W113" i="112"/>
  <c r="P8" i="112" s="1"/>
  <c r="V113" i="112"/>
  <c r="O8" i="112" s="1"/>
  <c r="R8" i="112" s="1"/>
  <c r="V51" i="112"/>
  <c r="O4" i="112" s="1"/>
  <c r="R4" i="112" s="1"/>
  <c r="V82" i="112"/>
  <c r="O6" i="112" s="1"/>
  <c r="W51" i="112"/>
  <c r="P4" i="112" s="1"/>
  <c r="W82" i="112"/>
  <c r="P6" i="112" s="1"/>
  <c r="H99" i="111"/>
  <c r="J99" i="111" s="1"/>
  <c r="V99" i="111" s="1"/>
  <c r="H98" i="111"/>
  <c r="H97" i="111"/>
  <c r="H63" i="111"/>
  <c r="H60" i="111"/>
  <c r="J60" i="111" s="1"/>
  <c r="V60" i="111" s="1"/>
  <c r="H23" i="111"/>
  <c r="H21" i="111"/>
  <c r="H17" i="111"/>
  <c r="H16" i="111"/>
  <c r="H10" i="111"/>
  <c r="H6" i="111"/>
  <c r="J6" i="111" s="1"/>
  <c r="V6" i="111" s="1"/>
  <c r="J112" i="111"/>
  <c r="V112" i="111" s="1"/>
  <c r="J111" i="111"/>
  <c r="W111" i="111" s="1"/>
  <c r="J110" i="111"/>
  <c r="W110" i="111" s="1"/>
  <c r="J109" i="111"/>
  <c r="W109" i="111" s="1"/>
  <c r="J108" i="111"/>
  <c r="V108" i="111" s="1"/>
  <c r="J107" i="111"/>
  <c r="J106" i="111"/>
  <c r="W106" i="111" s="1"/>
  <c r="J105" i="111"/>
  <c r="V105" i="111" s="1"/>
  <c r="J104" i="111"/>
  <c r="W104" i="111" s="1"/>
  <c r="J103" i="111"/>
  <c r="V103" i="111" s="1"/>
  <c r="J102" i="111"/>
  <c r="V102" i="111" s="1"/>
  <c r="J101" i="111"/>
  <c r="V101" i="111" s="1"/>
  <c r="J100" i="111"/>
  <c r="W100" i="111" s="1"/>
  <c r="J98" i="111"/>
  <c r="W98" i="111" s="1"/>
  <c r="J97" i="111"/>
  <c r="V97" i="111" s="1"/>
  <c r="J96" i="111"/>
  <c r="W96" i="111" s="1"/>
  <c r="J95" i="111"/>
  <c r="V95" i="111" s="1"/>
  <c r="J94" i="111"/>
  <c r="V94" i="111" s="1"/>
  <c r="J93" i="111"/>
  <c r="W93" i="111" s="1"/>
  <c r="J92" i="111"/>
  <c r="W92" i="111" s="1"/>
  <c r="J91" i="111"/>
  <c r="V91" i="111" s="1"/>
  <c r="J90" i="111"/>
  <c r="W90" i="111" s="1"/>
  <c r="J81" i="111"/>
  <c r="W81" i="111" s="1"/>
  <c r="J80" i="111"/>
  <c r="V80" i="111" s="1"/>
  <c r="J79" i="111"/>
  <c r="V79" i="111" s="1"/>
  <c r="J78" i="111"/>
  <c r="V78" i="111" s="1"/>
  <c r="J77" i="111"/>
  <c r="W77" i="111" s="1"/>
  <c r="J76" i="111"/>
  <c r="V76" i="111" s="1"/>
  <c r="J75" i="111"/>
  <c r="V75" i="111" s="1"/>
  <c r="J74" i="111"/>
  <c r="W74" i="111" s="1"/>
  <c r="J73" i="111"/>
  <c r="W73" i="111" s="1"/>
  <c r="J72" i="111"/>
  <c r="V72" i="111" s="1"/>
  <c r="J71" i="111"/>
  <c r="W71" i="111" s="1"/>
  <c r="J70" i="111"/>
  <c r="W70" i="111" s="1"/>
  <c r="J69" i="111"/>
  <c r="W69" i="111" s="1"/>
  <c r="J68" i="111"/>
  <c r="V68" i="111" s="1"/>
  <c r="J67" i="111"/>
  <c r="W67" i="111" s="1"/>
  <c r="J66" i="111"/>
  <c r="W66" i="111" s="1"/>
  <c r="J65" i="111"/>
  <c r="W65" i="111" s="1"/>
  <c r="J64" i="111"/>
  <c r="V64" i="111" s="1"/>
  <c r="J63" i="111"/>
  <c r="W63" i="111" s="1"/>
  <c r="J62" i="111"/>
  <c r="V62" i="111" s="1"/>
  <c r="J61" i="111"/>
  <c r="W61" i="111" s="1"/>
  <c r="J59" i="111"/>
  <c r="V59" i="111" s="1"/>
  <c r="J50" i="111"/>
  <c r="W50" i="111" s="1"/>
  <c r="J49" i="111"/>
  <c r="V49" i="111" s="1"/>
  <c r="J48" i="111"/>
  <c r="V48" i="111" s="1"/>
  <c r="J47" i="111"/>
  <c r="J46" i="111"/>
  <c r="J45" i="111"/>
  <c r="J44" i="111"/>
  <c r="J43" i="111"/>
  <c r="J42" i="111"/>
  <c r="J41" i="111"/>
  <c r="V41" i="111" s="1"/>
  <c r="J40" i="111"/>
  <c r="W40" i="111" s="1"/>
  <c r="J39" i="111"/>
  <c r="W39" i="111" s="1"/>
  <c r="J38" i="111"/>
  <c r="W38" i="111" s="1"/>
  <c r="J37" i="111"/>
  <c r="V37" i="111" s="1"/>
  <c r="J36" i="111"/>
  <c r="W36" i="111" s="1"/>
  <c r="J35" i="111"/>
  <c r="W35" i="111" s="1"/>
  <c r="J34" i="111"/>
  <c r="W34" i="111" s="1"/>
  <c r="J33" i="111"/>
  <c r="V33" i="111" s="1"/>
  <c r="J32" i="111"/>
  <c r="W32" i="111" s="1"/>
  <c r="J31" i="111"/>
  <c r="V31" i="111" s="1"/>
  <c r="J30" i="111"/>
  <c r="W30" i="111" s="1"/>
  <c r="J29" i="111"/>
  <c r="V29" i="111" s="1"/>
  <c r="J28" i="111"/>
  <c r="W28" i="111" s="1"/>
  <c r="J27" i="111"/>
  <c r="W27" i="111" s="1"/>
  <c r="J26" i="111"/>
  <c r="W26" i="111" s="1"/>
  <c r="J25" i="111"/>
  <c r="V25" i="111" s="1"/>
  <c r="J24" i="111"/>
  <c r="W24" i="111" s="1"/>
  <c r="J23" i="111"/>
  <c r="V23" i="111" s="1"/>
  <c r="J22" i="111"/>
  <c r="W22" i="111" s="1"/>
  <c r="J21" i="111"/>
  <c r="V21" i="111" s="1"/>
  <c r="J20" i="111"/>
  <c r="W20" i="111" s="1"/>
  <c r="J19" i="111"/>
  <c r="W19" i="111" s="1"/>
  <c r="J18" i="111"/>
  <c r="W18" i="111" s="1"/>
  <c r="J17" i="111"/>
  <c r="V17" i="111" s="1"/>
  <c r="J16" i="111"/>
  <c r="W16" i="111" s="1"/>
  <c r="J15" i="111"/>
  <c r="V15" i="111" s="1"/>
  <c r="J14" i="111"/>
  <c r="W14" i="111" s="1"/>
  <c r="J13" i="111"/>
  <c r="V13" i="111" s="1"/>
  <c r="J12" i="111"/>
  <c r="W12" i="111" s="1"/>
  <c r="J11" i="111"/>
  <c r="W11" i="111" s="1"/>
  <c r="J10" i="111"/>
  <c r="W10" i="111" s="1"/>
  <c r="J9" i="111"/>
  <c r="V9" i="111" s="1"/>
  <c r="N8" i="111"/>
  <c r="J8" i="111"/>
  <c r="W8" i="111" s="1"/>
  <c r="J7" i="111"/>
  <c r="W7" i="111" s="1"/>
  <c r="N6" i="111"/>
  <c r="N4" i="111"/>
  <c r="W79" i="111" l="1"/>
  <c r="W48" i="111"/>
  <c r="W59" i="111"/>
  <c r="W112" i="111"/>
  <c r="W17" i="111"/>
  <c r="V20" i="111"/>
  <c r="W49" i="111"/>
  <c r="W80" i="111"/>
  <c r="V111" i="111"/>
  <c r="W68" i="111"/>
  <c r="Q8" i="112"/>
  <c r="P10" i="112"/>
  <c r="Q4" i="112"/>
  <c r="R6" i="112"/>
  <c r="Q6" i="112"/>
  <c r="O10" i="112"/>
  <c r="R10" i="112" s="1"/>
  <c r="P12" i="112" s="1"/>
  <c r="W108" i="111"/>
  <c r="V106" i="111"/>
  <c r="W103" i="111"/>
  <c r="W75" i="111"/>
  <c r="V71" i="111"/>
  <c r="V36" i="111"/>
  <c r="W33" i="111"/>
  <c r="V32" i="111"/>
  <c r="W94" i="111"/>
  <c r="V90" i="111"/>
  <c r="W29" i="111"/>
  <c r="V16" i="111"/>
  <c r="W13" i="111"/>
  <c r="V10" i="111"/>
  <c r="W95" i="111"/>
  <c r="V98" i="111"/>
  <c r="W102" i="111"/>
  <c r="W99" i="111"/>
  <c r="W91" i="111"/>
  <c r="W64" i="111"/>
  <c r="V67" i="111"/>
  <c r="W60" i="111"/>
  <c r="V63" i="111"/>
  <c r="W76" i="111"/>
  <c r="W72" i="111"/>
  <c r="V12" i="111"/>
  <c r="V28" i="111"/>
  <c r="W41" i="111"/>
  <c r="W6" i="111"/>
  <c r="V11" i="111"/>
  <c r="W21" i="111"/>
  <c r="V24" i="111"/>
  <c r="W37" i="111"/>
  <c r="V40" i="111"/>
  <c r="W25" i="111"/>
  <c r="W107" i="111"/>
  <c r="V107" i="111"/>
  <c r="J82" i="111"/>
  <c r="V19" i="111"/>
  <c r="V27" i="111"/>
  <c r="V35" i="111"/>
  <c r="V39" i="111"/>
  <c r="V66" i="111"/>
  <c r="V70" i="111"/>
  <c r="V74" i="111"/>
  <c r="V93" i="111"/>
  <c r="V110" i="111"/>
  <c r="V7" i="111"/>
  <c r="V8" i="111"/>
  <c r="W9" i="111"/>
  <c r="V14" i="111"/>
  <c r="W15" i="111"/>
  <c r="V18" i="111"/>
  <c r="V22" i="111"/>
  <c r="W23" i="111"/>
  <c r="V26" i="111"/>
  <c r="V30" i="111"/>
  <c r="W31" i="111"/>
  <c r="V34" i="111"/>
  <c r="V38" i="111"/>
  <c r="V50" i="111"/>
  <c r="V61" i="111"/>
  <c r="W62" i="111"/>
  <c r="V65" i="111"/>
  <c r="V69" i="111"/>
  <c r="V73" i="111"/>
  <c r="V77" i="111"/>
  <c r="W78" i="111"/>
  <c r="V81" i="111"/>
  <c r="V92" i="111"/>
  <c r="V96" i="111"/>
  <c r="W97" i="111"/>
  <c r="V100" i="111"/>
  <c r="W101" i="111"/>
  <c r="V104" i="111"/>
  <c r="W105" i="111"/>
  <c r="V109" i="111"/>
  <c r="N10" i="111"/>
  <c r="J51" i="111"/>
  <c r="J113" i="111"/>
  <c r="H107" i="110"/>
  <c r="Q10" i="112" l="1"/>
  <c r="W82" i="111"/>
  <c r="P6" i="111" s="1"/>
  <c r="W113" i="111"/>
  <c r="P8" i="111" s="1"/>
  <c r="V113" i="111"/>
  <c r="O8" i="111" s="1"/>
  <c r="R8" i="111" s="1"/>
  <c r="V82" i="111"/>
  <c r="O6" i="111" s="1"/>
  <c r="R6" i="111" s="1"/>
  <c r="V51" i="111"/>
  <c r="O4" i="111" s="1"/>
  <c r="W51" i="111"/>
  <c r="P4" i="111" s="1"/>
  <c r="W112" i="110"/>
  <c r="J112" i="110"/>
  <c r="V112" i="110" s="1"/>
  <c r="J111" i="110"/>
  <c r="W111" i="110" s="1"/>
  <c r="J110" i="110"/>
  <c r="W110" i="110" s="1"/>
  <c r="J109" i="110"/>
  <c r="W109" i="110" s="1"/>
  <c r="J108" i="110"/>
  <c r="V108" i="110" s="1"/>
  <c r="J107" i="110"/>
  <c r="W107" i="110" s="1"/>
  <c r="J106" i="110"/>
  <c r="W106" i="110" s="1"/>
  <c r="J105" i="110"/>
  <c r="W105" i="110" s="1"/>
  <c r="J104" i="110"/>
  <c r="W104" i="110" s="1"/>
  <c r="J103" i="110"/>
  <c r="W103" i="110" s="1"/>
  <c r="J102" i="110"/>
  <c r="W102" i="110" s="1"/>
  <c r="J101" i="110"/>
  <c r="V101" i="110" s="1"/>
  <c r="J100" i="110"/>
  <c r="W100" i="110" s="1"/>
  <c r="V99" i="110"/>
  <c r="J99" i="110"/>
  <c r="W99" i="110" s="1"/>
  <c r="J98" i="110"/>
  <c r="W98" i="110" s="1"/>
  <c r="J97" i="110"/>
  <c r="W97" i="110" s="1"/>
  <c r="J96" i="110"/>
  <c r="W96" i="110" s="1"/>
  <c r="J95" i="110"/>
  <c r="W95" i="110" s="1"/>
  <c r="J94" i="110"/>
  <c r="W94" i="110" s="1"/>
  <c r="J93" i="110"/>
  <c r="W93" i="110" s="1"/>
  <c r="J92" i="110"/>
  <c r="V92" i="110" s="1"/>
  <c r="J91" i="110"/>
  <c r="W91" i="110" s="1"/>
  <c r="J90" i="110"/>
  <c r="W90" i="110" s="1"/>
  <c r="J81" i="110"/>
  <c r="W81" i="110" s="1"/>
  <c r="V80" i="110"/>
  <c r="J80" i="110"/>
  <c r="W80" i="110" s="1"/>
  <c r="J79" i="110"/>
  <c r="W79" i="110" s="1"/>
  <c r="J78" i="110"/>
  <c r="W78" i="110" s="1"/>
  <c r="J77" i="110"/>
  <c r="V77" i="110" s="1"/>
  <c r="J76" i="110"/>
  <c r="W76" i="110" s="1"/>
  <c r="J75" i="110"/>
  <c r="W75" i="110" s="1"/>
  <c r="J74" i="110"/>
  <c r="V74" i="110" s="1"/>
  <c r="J73" i="110"/>
  <c r="W73" i="110" s="1"/>
  <c r="J72" i="110"/>
  <c r="W72" i="110" s="1"/>
  <c r="J71" i="110"/>
  <c r="W71" i="110" s="1"/>
  <c r="J70" i="110"/>
  <c r="V70" i="110" s="1"/>
  <c r="J69" i="110"/>
  <c r="W69" i="110" s="1"/>
  <c r="J68" i="110"/>
  <c r="W68" i="110" s="1"/>
  <c r="J67" i="110"/>
  <c r="W67" i="110" s="1"/>
  <c r="J66" i="110"/>
  <c r="V66" i="110" s="1"/>
  <c r="J65" i="110"/>
  <c r="W65" i="110" s="1"/>
  <c r="J64" i="110"/>
  <c r="W64" i="110" s="1"/>
  <c r="J63" i="110"/>
  <c r="W63" i="110" s="1"/>
  <c r="J62" i="110"/>
  <c r="W62" i="110" s="1"/>
  <c r="J61" i="110"/>
  <c r="V61" i="110" s="1"/>
  <c r="J60" i="110"/>
  <c r="W60" i="110" s="1"/>
  <c r="J59" i="110"/>
  <c r="W59" i="110" s="1"/>
  <c r="J50" i="110"/>
  <c r="W50" i="110" s="1"/>
  <c r="J49" i="110"/>
  <c r="W49" i="110" s="1"/>
  <c r="J48" i="110"/>
  <c r="W48" i="110" s="1"/>
  <c r="J47" i="110"/>
  <c r="J46" i="110"/>
  <c r="J45" i="110"/>
  <c r="J44" i="110"/>
  <c r="J43" i="110"/>
  <c r="J42" i="110"/>
  <c r="J41" i="110"/>
  <c r="W41" i="110" s="1"/>
  <c r="J40" i="110"/>
  <c r="W40" i="110" s="1"/>
  <c r="J39" i="110"/>
  <c r="W39" i="110" s="1"/>
  <c r="J38" i="110"/>
  <c r="W38" i="110" s="1"/>
  <c r="J37" i="110"/>
  <c r="W37" i="110" s="1"/>
  <c r="J36" i="110"/>
  <c r="W36" i="110" s="1"/>
  <c r="J35" i="110"/>
  <c r="W35" i="110" s="1"/>
  <c r="J34" i="110"/>
  <c r="W34" i="110" s="1"/>
  <c r="J33" i="110"/>
  <c r="W33" i="110" s="1"/>
  <c r="J32" i="110"/>
  <c r="W32" i="110" s="1"/>
  <c r="J31" i="110"/>
  <c r="W31" i="110" s="1"/>
  <c r="J30" i="110"/>
  <c r="V30" i="110" s="1"/>
  <c r="J29" i="110"/>
  <c r="W29" i="110" s="1"/>
  <c r="J28" i="110"/>
  <c r="W28" i="110" s="1"/>
  <c r="J27" i="110"/>
  <c r="V27" i="110" s="1"/>
  <c r="J26" i="110"/>
  <c r="W26" i="110" s="1"/>
  <c r="J25" i="110"/>
  <c r="W25" i="110" s="1"/>
  <c r="J24" i="110"/>
  <c r="W24" i="110" s="1"/>
  <c r="J23" i="110"/>
  <c r="W23" i="110" s="1"/>
  <c r="J22" i="110"/>
  <c r="W22" i="110" s="1"/>
  <c r="J21" i="110"/>
  <c r="W21" i="110" s="1"/>
  <c r="J20" i="110"/>
  <c r="W20" i="110" s="1"/>
  <c r="J19" i="110"/>
  <c r="W19" i="110" s="1"/>
  <c r="J18" i="110"/>
  <c r="W18" i="110" s="1"/>
  <c r="J17" i="110"/>
  <c r="W17" i="110" s="1"/>
  <c r="J16" i="110"/>
  <c r="W16" i="110" s="1"/>
  <c r="J15" i="110"/>
  <c r="W15" i="110" s="1"/>
  <c r="J14" i="110"/>
  <c r="V14" i="110" s="1"/>
  <c r="J13" i="110"/>
  <c r="W13" i="110" s="1"/>
  <c r="J12" i="110"/>
  <c r="W12" i="110" s="1"/>
  <c r="J11" i="110"/>
  <c r="W11" i="110" s="1"/>
  <c r="J10" i="110"/>
  <c r="W10" i="110" s="1"/>
  <c r="J9" i="110"/>
  <c r="W9" i="110" s="1"/>
  <c r="N8" i="110"/>
  <c r="J8" i="110"/>
  <c r="W8" i="110" s="1"/>
  <c r="J7" i="110"/>
  <c r="V7" i="110" s="1"/>
  <c r="N6" i="110"/>
  <c r="J6" i="110"/>
  <c r="V6" i="110" s="1"/>
  <c r="N4" i="110"/>
  <c r="V49" i="110" l="1"/>
  <c r="W70" i="110"/>
  <c r="V50" i="110"/>
  <c r="V81" i="110"/>
  <c r="W101" i="110"/>
  <c r="W108" i="110"/>
  <c r="W113" i="110" s="1"/>
  <c r="P8" i="110" s="1"/>
  <c r="V111" i="110"/>
  <c r="V72" i="110"/>
  <c r="W92" i="110"/>
  <c r="Q8" i="111"/>
  <c r="P10" i="111"/>
  <c r="Q6" i="111"/>
  <c r="Q4" i="111"/>
  <c r="R4" i="111"/>
  <c r="O10" i="111"/>
  <c r="R10" i="111" s="1"/>
  <c r="P12" i="111" s="1"/>
  <c r="W77" i="110"/>
  <c r="V38" i="110"/>
  <c r="V103" i="110"/>
  <c r="V33" i="110"/>
  <c r="V31" i="110"/>
  <c r="V29" i="110"/>
  <c r="W27" i="110"/>
  <c r="V26" i="110"/>
  <c r="V22" i="110"/>
  <c r="V97" i="110"/>
  <c r="V96" i="110"/>
  <c r="W66" i="110"/>
  <c r="V65" i="110"/>
  <c r="W61" i="110"/>
  <c r="V17" i="110"/>
  <c r="V15" i="110"/>
  <c r="V13" i="110"/>
  <c r="W7" i="110"/>
  <c r="V91" i="110"/>
  <c r="V100" i="110"/>
  <c r="V105" i="110"/>
  <c r="V107" i="110"/>
  <c r="V93" i="110"/>
  <c r="V95" i="110"/>
  <c r="V104" i="110"/>
  <c r="V109" i="110"/>
  <c r="V60" i="110"/>
  <c r="V69" i="110"/>
  <c r="V76" i="110"/>
  <c r="N10" i="110"/>
  <c r="V62" i="110"/>
  <c r="V64" i="110"/>
  <c r="V73" i="110"/>
  <c r="W74" i="110"/>
  <c r="W82" i="110" s="1"/>
  <c r="P6" i="110" s="1"/>
  <c r="V78" i="110"/>
  <c r="V68" i="110"/>
  <c r="V9" i="110"/>
  <c r="V19" i="110"/>
  <c r="V35" i="110"/>
  <c r="V8" i="110"/>
  <c r="W14" i="110"/>
  <c r="V18" i="110"/>
  <c r="V23" i="110"/>
  <c r="V25" i="110"/>
  <c r="W30" i="110"/>
  <c r="V34" i="110"/>
  <c r="V39" i="110"/>
  <c r="V41" i="110"/>
  <c r="V21" i="110"/>
  <c r="V37" i="110"/>
  <c r="J51" i="110"/>
  <c r="W6" i="110"/>
  <c r="V11" i="110"/>
  <c r="V12" i="110"/>
  <c r="V16" i="110"/>
  <c r="V20" i="110"/>
  <c r="V24" i="110"/>
  <c r="V28" i="110"/>
  <c r="V32" i="110"/>
  <c r="V36" i="110"/>
  <c r="V40" i="110"/>
  <c r="V48" i="110"/>
  <c r="V59" i="110"/>
  <c r="V63" i="110"/>
  <c r="V67" i="110"/>
  <c r="V71" i="110"/>
  <c r="V75" i="110"/>
  <c r="V79" i="110"/>
  <c r="J82" i="110"/>
  <c r="V90" i="110"/>
  <c r="V94" i="110"/>
  <c r="V98" i="110"/>
  <c r="V102" i="110"/>
  <c r="V106" i="110"/>
  <c r="V110" i="110"/>
  <c r="J113" i="110"/>
  <c r="V10" i="110"/>
  <c r="J112" i="109"/>
  <c r="W112" i="109" s="1"/>
  <c r="J111" i="109"/>
  <c r="V111" i="109" s="1"/>
  <c r="J110" i="109"/>
  <c r="W110" i="109" s="1"/>
  <c r="J109" i="109"/>
  <c r="V109" i="109" s="1"/>
  <c r="J108" i="109"/>
  <c r="W108" i="109" s="1"/>
  <c r="J107" i="109"/>
  <c r="V107" i="109" s="1"/>
  <c r="J106" i="109"/>
  <c r="J105" i="109"/>
  <c r="W105" i="109" s="1"/>
  <c r="J104" i="109"/>
  <c r="J103" i="109"/>
  <c r="V103" i="109" s="1"/>
  <c r="J102" i="109"/>
  <c r="J101" i="109"/>
  <c r="V101" i="109" s="1"/>
  <c r="J100" i="109"/>
  <c r="W100" i="109" s="1"/>
  <c r="J99" i="109"/>
  <c r="V99" i="109" s="1"/>
  <c r="J98" i="109"/>
  <c r="V98" i="109" s="1"/>
  <c r="J97" i="109"/>
  <c r="W97" i="109" s="1"/>
  <c r="J96" i="109"/>
  <c r="W96" i="109" s="1"/>
  <c r="J95" i="109"/>
  <c r="V95" i="109" s="1"/>
  <c r="J94" i="109"/>
  <c r="W94" i="109" s="1"/>
  <c r="J93" i="109"/>
  <c r="V93" i="109" s="1"/>
  <c r="J92" i="109"/>
  <c r="W92" i="109" s="1"/>
  <c r="J91" i="109"/>
  <c r="V91" i="109" s="1"/>
  <c r="J90" i="109"/>
  <c r="V90" i="109" s="1"/>
  <c r="J81" i="109"/>
  <c r="J80" i="109"/>
  <c r="V80" i="109" s="1"/>
  <c r="J79" i="109"/>
  <c r="W79" i="109" s="1"/>
  <c r="J78" i="109"/>
  <c r="V78" i="109" s="1"/>
  <c r="J77" i="109"/>
  <c r="W77" i="109" s="1"/>
  <c r="J76" i="109"/>
  <c r="V76" i="109" s="1"/>
  <c r="J75" i="109"/>
  <c r="W75" i="109" s="1"/>
  <c r="J74" i="109"/>
  <c r="J73" i="109"/>
  <c r="W73" i="109" s="1"/>
  <c r="J72" i="109"/>
  <c r="V72" i="109" s="1"/>
  <c r="J71" i="109"/>
  <c r="J70" i="109"/>
  <c r="W70" i="109" s="1"/>
  <c r="J69" i="109"/>
  <c r="W69" i="109" s="1"/>
  <c r="J68" i="109"/>
  <c r="V68" i="109" s="1"/>
  <c r="J67" i="109"/>
  <c r="V67" i="109" s="1"/>
  <c r="J66" i="109"/>
  <c r="W66" i="109" s="1"/>
  <c r="J65" i="109"/>
  <c r="W65" i="109" s="1"/>
  <c r="J64" i="109"/>
  <c r="V64" i="109" s="1"/>
  <c r="J63" i="109"/>
  <c r="V63" i="109" s="1"/>
  <c r="J62" i="109"/>
  <c r="W62" i="109" s="1"/>
  <c r="J61" i="109"/>
  <c r="W61" i="109" s="1"/>
  <c r="J60" i="109"/>
  <c r="V60" i="109" s="1"/>
  <c r="J59" i="109"/>
  <c r="J50" i="109"/>
  <c r="J49" i="109"/>
  <c r="V49" i="109" s="1"/>
  <c r="J48" i="109"/>
  <c r="J47" i="109"/>
  <c r="J46" i="109"/>
  <c r="J45" i="109"/>
  <c r="J44" i="109"/>
  <c r="J43" i="109"/>
  <c r="J42" i="109"/>
  <c r="J41" i="109"/>
  <c r="V41" i="109" s="1"/>
  <c r="J40" i="109"/>
  <c r="W40" i="109" s="1"/>
  <c r="J39" i="109"/>
  <c r="V39" i="109" s="1"/>
  <c r="J38" i="109"/>
  <c r="W38" i="109" s="1"/>
  <c r="J37" i="109"/>
  <c r="V37" i="109" s="1"/>
  <c r="J36" i="109"/>
  <c r="V36" i="109" s="1"/>
  <c r="J35" i="109"/>
  <c r="W35" i="109" s="1"/>
  <c r="J34" i="109"/>
  <c r="W34" i="109" s="1"/>
  <c r="J33" i="109"/>
  <c r="V33" i="109" s="1"/>
  <c r="J32" i="109"/>
  <c r="V32" i="109" s="1"/>
  <c r="J31" i="109"/>
  <c r="V31" i="109" s="1"/>
  <c r="J30" i="109"/>
  <c r="W30" i="109" s="1"/>
  <c r="J29" i="109"/>
  <c r="V29" i="109" s="1"/>
  <c r="J28" i="109"/>
  <c r="V28" i="109" s="1"/>
  <c r="J27" i="109"/>
  <c r="V27" i="109" s="1"/>
  <c r="J26" i="109"/>
  <c r="W26" i="109" s="1"/>
  <c r="J25" i="109"/>
  <c r="V25" i="109" s="1"/>
  <c r="J24" i="109"/>
  <c r="W24" i="109" s="1"/>
  <c r="J23" i="109"/>
  <c r="V23" i="109" s="1"/>
  <c r="J22" i="109"/>
  <c r="W22" i="109" s="1"/>
  <c r="J21" i="109"/>
  <c r="V21" i="109" s="1"/>
  <c r="J20" i="109"/>
  <c r="V20" i="109" s="1"/>
  <c r="J19" i="109"/>
  <c r="J18" i="109"/>
  <c r="W18" i="109" s="1"/>
  <c r="J17" i="109"/>
  <c r="V17" i="109" s="1"/>
  <c r="J16" i="109"/>
  <c r="W16" i="109" s="1"/>
  <c r="J15" i="109"/>
  <c r="V15" i="109" s="1"/>
  <c r="J14" i="109"/>
  <c r="W14" i="109" s="1"/>
  <c r="J13" i="109"/>
  <c r="V13" i="109" s="1"/>
  <c r="J12" i="109"/>
  <c r="V12" i="109" s="1"/>
  <c r="J11" i="109"/>
  <c r="W11" i="109" s="1"/>
  <c r="J10" i="109"/>
  <c r="V10" i="109" s="1"/>
  <c r="J9" i="109"/>
  <c r="N8" i="109"/>
  <c r="J8" i="109"/>
  <c r="W8" i="109" s="1"/>
  <c r="J7" i="109"/>
  <c r="W7" i="109" s="1"/>
  <c r="N6" i="109"/>
  <c r="J6" i="109"/>
  <c r="V6" i="109" s="1"/>
  <c r="N4" i="109"/>
  <c r="J112" i="108"/>
  <c r="J111" i="108"/>
  <c r="V111" i="108" s="1"/>
  <c r="J110" i="108"/>
  <c r="J109" i="108"/>
  <c r="V109" i="108" s="1"/>
  <c r="J108" i="108"/>
  <c r="W108" i="108" s="1"/>
  <c r="J107" i="108"/>
  <c r="V107" i="108" s="1"/>
  <c r="J106" i="108"/>
  <c r="V106" i="108" s="1"/>
  <c r="J105" i="108"/>
  <c r="W105" i="108" s="1"/>
  <c r="J104" i="108"/>
  <c r="W104" i="108" s="1"/>
  <c r="J103" i="108"/>
  <c r="V103" i="108" s="1"/>
  <c r="J102" i="108"/>
  <c r="W102" i="108" s="1"/>
  <c r="J101" i="108"/>
  <c r="V101" i="108" s="1"/>
  <c r="J100" i="108"/>
  <c r="W100" i="108" s="1"/>
  <c r="J99" i="108"/>
  <c r="V99" i="108" s="1"/>
  <c r="J98" i="108"/>
  <c r="V98" i="108" s="1"/>
  <c r="J97" i="108"/>
  <c r="W97" i="108" s="1"/>
  <c r="J96" i="108"/>
  <c r="W96" i="108" s="1"/>
  <c r="J95" i="108"/>
  <c r="V95" i="108" s="1"/>
  <c r="J94" i="108"/>
  <c r="W94" i="108" s="1"/>
  <c r="J93" i="108"/>
  <c r="V93" i="108" s="1"/>
  <c r="J92" i="108"/>
  <c r="W92" i="108" s="1"/>
  <c r="J91" i="108"/>
  <c r="V91" i="108" s="1"/>
  <c r="J90" i="108"/>
  <c r="V90" i="108" s="1"/>
  <c r="J81" i="108"/>
  <c r="W81" i="108" s="1"/>
  <c r="J80" i="108"/>
  <c r="V80" i="108" s="1"/>
  <c r="J79" i="108"/>
  <c r="W79" i="108" s="1"/>
  <c r="W78" i="108"/>
  <c r="J78" i="108"/>
  <c r="V78" i="108" s="1"/>
  <c r="J77" i="108"/>
  <c r="W77" i="108" s="1"/>
  <c r="J76" i="108"/>
  <c r="V76" i="108" s="1"/>
  <c r="J75" i="108"/>
  <c r="W75" i="108" s="1"/>
  <c r="J74" i="108"/>
  <c r="V74" i="108" s="1"/>
  <c r="J73" i="108"/>
  <c r="W73" i="108" s="1"/>
  <c r="J72" i="108"/>
  <c r="V72" i="108" s="1"/>
  <c r="J71" i="108"/>
  <c r="J70" i="108"/>
  <c r="W70" i="108" s="1"/>
  <c r="J69" i="108"/>
  <c r="W69" i="108" s="1"/>
  <c r="J68" i="108"/>
  <c r="V68" i="108" s="1"/>
  <c r="J67" i="108"/>
  <c r="W67" i="108" s="1"/>
  <c r="J66" i="108"/>
  <c r="V66" i="108" s="1"/>
  <c r="J65" i="108"/>
  <c r="W65" i="108" s="1"/>
  <c r="J64" i="108"/>
  <c r="V64" i="108" s="1"/>
  <c r="J63" i="108"/>
  <c r="V63" i="108" s="1"/>
  <c r="J62" i="108"/>
  <c r="V62" i="108" s="1"/>
  <c r="J61" i="108"/>
  <c r="J60" i="108"/>
  <c r="V60" i="108" s="1"/>
  <c r="J59" i="108"/>
  <c r="W59" i="108" s="1"/>
  <c r="J50" i="108"/>
  <c r="J49" i="108"/>
  <c r="V49" i="108" s="1"/>
  <c r="J48" i="108"/>
  <c r="J47" i="108"/>
  <c r="J46" i="108"/>
  <c r="J45" i="108"/>
  <c r="J44" i="108"/>
  <c r="J43" i="108"/>
  <c r="J42" i="108"/>
  <c r="J41" i="108"/>
  <c r="V41" i="108" s="1"/>
  <c r="V40" i="108"/>
  <c r="J40" i="108"/>
  <c r="W40" i="108" s="1"/>
  <c r="J39" i="108"/>
  <c r="V39" i="108" s="1"/>
  <c r="J38" i="108"/>
  <c r="W38" i="108" s="1"/>
  <c r="J37" i="108"/>
  <c r="V37" i="108" s="1"/>
  <c r="J36" i="108"/>
  <c r="V36" i="108" s="1"/>
  <c r="J35" i="108"/>
  <c r="W35" i="108" s="1"/>
  <c r="J34" i="108"/>
  <c r="W34" i="108" s="1"/>
  <c r="J33" i="108"/>
  <c r="V33" i="108" s="1"/>
  <c r="J32" i="108"/>
  <c r="V32" i="108" s="1"/>
  <c r="J31" i="108"/>
  <c r="J30" i="108"/>
  <c r="W30" i="108" s="1"/>
  <c r="J29" i="108"/>
  <c r="V29" i="108" s="1"/>
  <c r="J28" i="108"/>
  <c r="V28" i="108" s="1"/>
  <c r="J27" i="108"/>
  <c r="V27" i="108" s="1"/>
  <c r="J26" i="108"/>
  <c r="W26" i="108" s="1"/>
  <c r="J25" i="108"/>
  <c r="V25" i="108" s="1"/>
  <c r="J24" i="108"/>
  <c r="J23" i="108"/>
  <c r="V23" i="108" s="1"/>
  <c r="J22" i="108"/>
  <c r="W22" i="108" s="1"/>
  <c r="J21" i="108"/>
  <c r="V21" i="108" s="1"/>
  <c r="J20" i="108"/>
  <c r="V20" i="108" s="1"/>
  <c r="J19" i="108"/>
  <c r="W19" i="108" s="1"/>
  <c r="J18" i="108"/>
  <c r="J17" i="108"/>
  <c r="V17" i="108" s="1"/>
  <c r="J16" i="108"/>
  <c r="W16" i="108" s="1"/>
  <c r="J15" i="108"/>
  <c r="J14" i="108"/>
  <c r="W14" i="108" s="1"/>
  <c r="J13" i="108"/>
  <c r="V13" i="108" s="1"/>
  <c r="J12" i="108"/>
  <c r="V12" i="108" s="1"/>
  <c r="J11" i="108"/>
  <c r="W11" i="108" s="1"/>
  <c r="J10" i="108"/>
  <c r="V10" i="108" s="1"/>
  <c r="J9" i="108"/>
  <c r="W9" i="108" s="1"/>
  <c r="N8" i="108"/>
  <c r="J8" i="108"/>
  <c r="W8" i="108" s="1"/>
  <c r="J7" i="108"/>
  <c r="W7" i="108" s="1"/>
  <c r="N6" i="108"/>
  <c r="J6" i="108"/>
  <c r="V6" i="108" s="1"/>
  <c r="N4" i="108"/>
  <c r="V112" i="107"/>
  <c r="J112" i="107"/>
  <c r="W112" i="107" s="1"/>
  <c r="J111" i="107"/>
  <c r="V111" i="107" s="1"/>
  <c r="J110" i="107"/>
  <c r="V110" i="107" s="1"/>
  <c r="J109" i="107"/>
  <c r="J108" i="107"/>
  <c r="W108" i="107" s="1"/>
  <c r="J107" i="107"/>
  <c r="V107" i="107" s="1"/>
  <c r="J106" i="107"/>
  <c r="V106" i="107" s="1"/>
  <c r="J105" i="107"/>
  <c r="V105" i="107" s="1"/>
  <c r="J104" i="107"/>
  <c r="W104" i="107" s="1"/>
  <c r="J103" i="107"/>
  <c r="V103" i="107" s="1"/>
  <c r="J102" i="107"/>
  <c r="V102" i="107" s="1"/>
  <c r="W101" i="107"/>
  <c r="J101" i="107"/>
  <c r="V101" i="107" s="1"/>
  <c r="J100" i="107"/>
  <c r="W100" i="107" s="1"/>
  <c r="J99" i="107"/>
  <c r="V99" i="107" s="1"/>
  <c r="J98" i="107"/>
  <c r="V98" i="107" s="1"/>
  <c r="J97" i="107"/>
  <c r="V97" i="107" s="1"/>
  <c r="J96" i="107"/>
  <c r="W96" i="107" s="1"/>
  <c r="J95" i="107"/>
  <c r="V95" i="107" s="1"/>
  <c r="J94" i="107"/>
  <c r="V94" i="107" s="1"/>
  <c r="J93" i="107"/>
  <c r="J92" i="107"/>
  <c r="W92" i="107" s="1"/>
  <c r="J91" i="107"/>
  <c r="V91" i="107" s="1"/>
  <c r="J90" i="107"/>
  <c r="J81" i="107"/>
  <c r="W81" i="107" s="1"/>
  <c r="J80" i="107"/>
  <c r="V80" i="107" s="1"/>
  <c r="W79" i="107"/>
  <c r="J79" i="107"/>
  <c r="V79" i="107" s="1"/>
  <c r="J78" i="107"/>
  <c r="W78" i="107" s="1"/>
  <c r="J77" i="107"/>
  <c r="W77" i="107" s="1"/>
  <c r="J76" i="107"/>
  <c r="V76" i="107" s="1"/>
  <c r="J75" i="107"/>
  <c r="V75" i="107" s="1"/>
  <c r="J74" i="107"/>
  <c r="W74" i="107" s="1"/>
  <c r="J73" i="107"/>
  <c r="W73" i="107" s="1"/>
  <c r="J72" i="107"/>
  <c r="V72" i="107" s="1"/>
  <c r="J71" i="107"/>
  <c r="V71" i="107" s="1"/>
  <c r="J70" i="107"/>
  <c r="W70" i="107" s="1"/>
  <c r="J69" i="107"/>
  <c r="W69" i="107" s="1"/>
  <c r="J68" i="107"/>
  <c r="V68" i="107" s="1"/>
  <c r="J67" i="107"/>
  <c r="V67" i="107" s="1"/>
  <c r="J66" i="107"/>
  <c r="W66" i="107" s="1"/>
  <c r="J65" i="107"/>
  <c r="W65" i="107" s="1"/>
  <c r="J64" i="107"/>
  <c r="V64" i="107" s="1"/>
  <c r="J63" i="107"/>
  <c r="V63" i="107" s="1"/>
  <c r="J62" i="107"/>
  <c r="W62" i="107" s="1"/>
  <c r="J61" i="107"/>
  <c r="W61" i="107" s="1"/>
  <c r="J60" i="107"/>
  <c r="V60" i="107" s="1"/>
  <c r="J59" i="107"/>
  <c r="W59" i="107" s="1"/>
  <c r="J50" i="107"/>
  <c r="W50" i="107" s="1"/>
  <c r="J49" i="107"/>
  <c r="V49" i="107" s="1"/>
  <c r="J48" i="107"/>
  <c r="J47" i="107"/>
  <c r="J46" i="107"/>
  <c r="J45" i="107"/>
  <c r="J44" i="107"/>
  <c r="J43" i="107"/>
  <c r="J42" i="107"/>
  <c r="J41" i="107"/>
  <c r="V41" i="107" s="1"/>
  <c r="J40" i="107"/>
  <c r="V40" i="107" s="1"/>
  <c r="J39" i="107"/>
  <c r="W39" i="107" s="1"/>
  <c r="J38" i="107"/>
  <c r="W38" i="107" s="1"/>
  <c r="J37" i="107"/>
  <c r="V37" i="107" s="1"/>
  <c r="J36" i="107"/>
  <c r="W36" i="107" s="1"/>
  <c r="J35" i="107"/>
  <c r="W35" i="107" s="1"/>
  <c r="J34" i="107"/>
  <c r="W34" i="107" s="1"/>
  <c r="J33" i="107"/>
  <c r="V33" i="107" s="1"/>
  <c r="J32" i="107"/>
  <c r="V32" i="107" s="1"/>
  <c r="J31" i="107"/>
  <c r="J30" i="107"/>
  <c r="W30" i="107" s="1"/>
  <c r="J29" i="107"/>
  <c r="V29" i="107" s="1"/>
  <c r="J28" i="107"/>
  <c r="J27" i="107"/>
  <c r="W27" i="107" s="1"/>
  <c r="J26" i="107"/>
  <c r="W26" i="107" s="1"/>
  <c r="J25" i="107"/>
  <c r="V25" i="107" s="1"/>
  <c r="J24" i="107"/>
  <c r="V24" i="107" s="1"/>
  <c r="J23" i="107"/>
  <c r="W23" i="107" s="1"/>
  <c r="J22" i="107"/>
  <c r="W22" i="107" s="1"/>
  <c r="J21" i="107"/>
  <c r="V21" i="107" s="1"/>
  <c r="J20" i="107"/>
  <c r="V20" i="107" s="1"/>
  <c r="J19" i="107"/>
  <c r="W19" i="107" s="1"/>
  <c r="J18" i="107"/>
  <c r="W18" i="107" s="1"/>
  <c r="J17" i="107"/>
  <c r="V17" i="107" s="1"/>
  <c r="W16" i="107"/>
  <c r="J16" i="107"/>
  <c r="V16" i="107" s="1"/>
  <c r="J15" i="107"/>
  <c r="J14" i="107"/>
  <c r="W14" i="107" s="1"/>
  <c r="J13" i="107"/>
  <c r="V13" i="107" s="1"/>
  <c r="J12" i="107"/>
  <c r="J11" i="107"/>
  <c r="V11" i="107" s="1"/>
  <c r="J10" i="107"/>
  <c r="W10" i="107" s="1"/>
  <c r="J9" i="107"/>
  <c r="V9" i="107" s="1"/>
  <c r="N8" i="107"/>
  <c r="J8" i="107"/>
  <c r="W8" i="107" s="1"/>
  <c r="J7" i="107"/>
  <c r="W7" i="107" s="1"/>
  <c r="N6" i="107"/>
  <c r="J6" i="107"/>
  <c r="V6" i="107" s="1"/>
  <c r="N4" i="107"/>
  <c r="J42" i="106"/>
  <c r="J43" i="106"/>
  <c r="J44" i="106"/>
  <c r="J45" i="106"/>
  <c r="J46" i="106"/>
  <c r="J47" i="106"/>
  <c r="J35" i="106"/>
  <c r="V35" i="106" s="1"/>
  <c r="J36" i="106"/>
  <c r="V36" i="106" s="1"/>
  <c r="J37" i="106"/>
  <c r="W37" i="106" s="1"/>
  <c r="J38" i="106"/>
  <c r="V38" i="106" s="1"/>
  <c r="J39" i="106"/>
  <c r="V39" i="106" s="1"/>
  <c r="J40" i="106"/>
  <c r="V40" i="106" s="1"/>
  <c r="J112" i="106"/>
  <c r="W112" i="106" s="1"/>
  <c r="J111" i="106"/>
  <c r="V111" i="106" s="1"/>
  <c r="J110" i="106"/>
  <c r="V110" i="106" s="1"/>
  <c r="J109" i="106"/>
  <c r="V109" i="106" s="1"/>
  <c r="J108" i="106"/>
  <c r="W108" i="106" s="1"/>
  <c r="J107" i="106"/>
  <c r="V107" i="106" s="1"/>
  <c r="J106" i="106"/>
  <c r="V106" i="106" s="1"/>
  <c r="J105" i="106"/>
  <c r="W105" i="106" s="1"/>
  <c r="J104" i="106"/>
  <c r="W104" i="106" s="1"/>
  <c r="J103" i="106"/>
  <c r="V103" i="106" s="1"/>
  <c r="J102" i="106"/>
  <c r="V102" i="106" s="1"/>
  <c r="J101" i="106"/>
  <c r="V101" i="106" s="1"/>
  <c r="J100" i="106"/>
  <c r="W100" i="106" s="1"/>
  <c r="J99" i="106"/>
  <c r="V99" i="106" s="1"/>
  <c r="J98" i="106"/>
  <c r="V98" i="106" s="1"/>
  <c r="J97" i="106"/>
  <c r="V97" i="106" s="1"/>
  <c r="J96" i="106"/>
  <c r="W96" i="106" s="1"/>
  <c r="J95" i="106"/>
  <c r="V95" i="106" s="1"/>
  <c r="J94" i="106"/>
  <c r="V94" i="106" s="1"/>
  <c r="J93" i="106"/>
  <c r="V93" i="106" s="1"/>
  <c r="J92" i="106"/>
  <c r="W92" i="106" s="1"/>
  <c r="J91" i="106"/>
  <c r="V91" i="106" s="1"/>
  <c r="J90" i="106"/>
  <c r="W90" i="106" s="1"/>
  <c r="J81" i="106"/>
  <c r="W81" i="106" s="1"/>
  <c r="J80" i="106"/>
  <c r="V80" i="106" s="1"/>
  <c r="J79" i="106"/>
  <c r="V79" i="106" s="1"/>
  <c r="J78" i="106"/>
  <c r="V78" i="106" s="1"/>
  <c r="J77" i="106"/>
  <c r="W77" i="106" s="1"/>
  <c r="J76" i="106"/>
  <c r="V76" i="106" s="1"/>
  <c r="W75" i="106"/>
  <c r="J75" i="106"/>
  <c r="V75" i="106" s="1"/>
  <c r="J74" i="106"/>
  <c r="V74" i="106" s="1"/>
  <c r="J73" i="106"/>
  <c r="W73" i="106" s="1"/>
  <c r="J72" i="106"/>
  <c r="V72" i="106" s="1"/>
  <c r="J71" i="106"/>
  <c r="V71" i="106" s="1"/>
  <c r="J70" i="106"/>
  <c r="V70" i="106" s="1"/>
  <c r="J69" i="106"/>
  <c r="W69" i="106" s="1"/>
  <c r="J68" i="106"/>
  <c r="V68" i="106" s="1"/>
  <c r="J67" i="106"/>
  <c r="V67" i="106" s="1"/>
  <c r="J66" i="106"/>
  <c r="V66" i="106" s="1"/>
  <c r="J65" i="106"/>
  <c r="W65" i="106" s="1"/>
  <c r="J64" i="106"/>
  <c r="V64" i="106" s="1"/>
  <c r="J63" i="106"/>
  <c r="V63" i="106" s="1"/>
  <c r="J62" i="106"/>
  <c r="W62" i="106" s="1"/>
  <c r="J61" i="106"/>
  <c r="W61" i="106" s="1"/>
  <c r="J60" i="106"/>
  <c r="V60" i="106" s="1"/>
  <c r="J59" i="106"/>
  <c r="J50" i="106"/>
  <c r="W50" i="106" s="1"/>
  <c r="J49" i="106"/>
  <c r="V49" i="106" s="1"/>
  <c r="J48" i="106"/>
  <c r="V48" i="106" s="1"/>
  <c r="J41" i="106"/>
  <c r="V41" i="106" s="1"/>
  <c r="J34" i="106"/>
  <c r="W34" i="106" s="1"/>
  <c r="J33" i="106"/>
  <c r="V33" i="106" s="1"/>
  <c r="J32" i="106"/>
  <c r="V32" i="106" s="1"/>
  <c r="J31" i="106"/>
  <c r="V31" i="106" s="1"/>
  <c r="J30" i="106"/>
  <c r="W30" i="106" s="1"/>
  <c r="J29" i="106"/>
  <c r="V29" i="106" s="1"/>
  <c r="J28" i="106"/>
  <c r="V28" i="106" s="1"/>
  <c r="J27" i="106"/>
  <c r="V27" i="106" s="1"/>
  <c r="J26" i="106"/>
  <c r="W26" i="106" s="1"/>
  <c r="J25" i="106"/>
  <c r="V25" i="106" s="1"/>
  <c r="J24" i="106"/>
  <c r="V24" i="106" s="1"/>
  <c r="J23" i="106"/>
  <c r="W23" i="106" s="1"/>
  <c r="J22" i="106"/>
  <c r="W22" i="106" s="1"/>
  <c r="J21" i="106"/>
  <c r="V21" i="106" s="1"/>
  <c r="J20" i="106"/>
  <c r="V20" i="106" s="1"/>
  <c r="J19" i="106"/>
  <c r="V19" i="106" s="1"/>
  <c r="J18" i="106"/>
  <c r="W18" i="106" s="1"/>
  <c r="J17" i="106"/>
  <c r="V17" i="106" s="1"/>
  <c r="J16" i="106"/>
  <c r="V16" i="106" s="1"/>
  <c r="J15" i="106"/>
  <c r="W15" i="106" s="1"/>
  <c r="J14" i="106"/>
  <c r="W14" i="106" s="1"/>
  <c r="J13" i="106"/>
  <c r="V13" i="106" s="1"/>
  <c r="W12" i="106"/>
  <c r="J12" i="106"/>
  <c r="V12" i="106" s="1"/>
  <c r="J11" i="106"/>
  <c r="V11" i="106" s="1"/>
  <c r="J10" i="106"/>
  <c r="V10" i="106" s="1"/>
  <c r="J9" i="106"/>
  <c r="W9" i="106" s="1"/>
  <c r="N8" i="106"/>
  <c r="J8" i="106"/>
  <c r="V8" i="106" s="1"/>
  <c r="J7" i="106"/>
  <c r="W7" i="106" s="1"/>
  <c r="N6" i="106"/>
  <c r="J6" i="106"/>
  <c r="V6" i="106" s="1"/>
  <c r="N4" i="106"/>
  <c r="J100" i="105"/>
  <c r="W100" i="105" s="1"/>
  <c r="W99" i="105"/>
  <c r="J99" i="105"/>
  <c r="V99" i="105" s="1"/>
  <c r="J98" i="105"/>
  <c r="J97" i="105"/>
  <c r="W97" i="105" s="1"/>
  <c r="J96" i="105"/>
  <c r="W96" i="105" s="1"/>
  <c r="J95" i="105"/>
  <c r="V95" i="105" s="1"/>
  <c r="J94" i="105"/>
  <c r="J93" i="105"/>
  <c r="W93" i="105" s="1"/>
  <c r="J92" i="105"/>
  <c r="W92" i="105" s="1"/>
  <c r="J91" i="105"/>
  <c r="J90" i="105"/>
  <c r="W90" i="105" s="1"/>
  <c r="J89" i="105"/>
  <c r="W89" i="105" s="1"/>
  <c r="J88" i="105"/>
  <c r="W88" i="105" s="1"/>
  <c r="J87" i="105"/>
  <c r="V87" i="105" s="1"/>
  <c r="J86" i="105"/>
  <c r="W86" i="105" s="1"/>
  <c r="J85" i="105"/>
  <c r="W85" i="105" s="1"/>
  <c r="J84" i="105"/>
  <c r="W84" i="105" s="1"/>
  <c r="J83" i="105"/>
  <c r="V83" i="105" s="1"/>
  <c r="J82" i="105"/>
  <c r="J81" i="105"/>
  <c r="W81" i="105" s="1"/>
  <c r="J80" i="105"/>
  <c r="W80" i="105" s="1"/>
  <c r="J79" i="105"/>
  <c r="J78" i="105"/>
  <c r="V78" i="105" s="1"/>
  <c r="J69" i="105"/>
  <c r="W69" i="105" s="1"/>
  <c r="J68" i="105"/>
  <c r="W67" i="105"/>
  <c r="V67" i="105"/>
  <c r="J67" i="105"/>
  <c r="J66" i="105"/>
  <c r="W66" i="105" s="1"/>
  <c r="J65" i="105"/>
  <c r="W65" i="105" s="1"/>
  <c r="J64" i="105"/>
  <c r="V64" i="105" s="1"/>
  <c r="J63" i="105"/>
  <c r="W63" i="105" s="1"/>
  <c r="J62" i="105"/>
  <c r="J61" i="105"/>
  <c r="W61" i="105" s="1"/>
  <c r="J60" i="105"/>
  <c r="V60" i="105" s="1"/>
  <c r="J59" i="105"/>
  <c r="J58" i="105"/>
  <c r="W58" i="105" s="1"/>
  <c r="J57" i="105"/>
  <c r="W57" i="105" s="1"/>
  <c r="J56" i="105"/>
  <c r="V56" i="105" s="1"/>
  <c r="J55" i="105"/>
  <c r="W55" i="105" s="1"/>
  <c r="J54" i="105"/>
  <c r="W54" i="105" s="1"/>
  <c r="J53" i="105"/>
  <c r="W53" i="105" s="1"/>
  <c r="J52" i="105"/>
  <c r="V52" i="105" s="1"/>
  <c r="J51" i="105"/>
  <c r="V51" i="105" s="1"/>
  <c r="J50" i="105"/>
  <c r="W50" i="105" s="1"/>
  <c r="J49" i="105"/>
  <c r="W49" i="105" s="1"/>
  <c r="J48" i="105"/>
  <c r="V48" i="105" s="1"/>
  <c r="J47" i="105"/>
  <c r="W47" i="105" s="1"/>
  <c r="J38" i="105"/>
  <c r="W38" i="105" s="1"/>
  <c r="J37" i="105"/>
  <c r="J36" i="105"/>
  <c r="V36" i="105" s="1"/>
  <c r="J35" i="105"/>
  <c r="W35" i="105" s="1"/>
  <c r="J34" i="105"/>
  <c r="W34" i="105" s="1"/>
  <c r="J33" i="105"/>
  <c r="V33" i="105" s="1"/>
  <c r="J32" i="105"/>
  <c r="V32" i="105" s="1"/>
  <c r="J31" i="105"/>
  <c r="W31" i="105" s="1"/>
  <c r="J30" i="105"/>
  <c r="W30" i="105" s="1"/>
  <c r="J29" i="105"/>
  <c r="J28" i="105"/>
  <c r="W28" i="105" s="1"/>
  <c r="J27" i="105"/>
  <c r="W27" i="105" s="1"/>
  <c r="J26" i="105"/>
  <c r="W26" i="105" s="1"/>
  <c r="J25" i="105"/>
  <c r="V25" i="105" s="1"/>
  <c r="J24" i="105"/>
  <c r="W24" i="105" s="1"/>
  <c r="J23" i="105"/>
  <c r="W23" i="105" s="1"/>
  <c r="J22" i="105"/>
  <c r="W22" i="105" s="1"/>
  <c r="J21" i="105"/>
  <c r="V21" i="105" s="1"/>
  <c r="J20" i="105"/>
  <c r="J19" i="105"/>
  <c r="W19" i="105" s="1"/>
  <c r="J18" i="105"/>
  <c r="W18" i="105" s="1"/>
  <c r="J17" i="105"/>
  <c r="V17" i="105" s="1"/>
  <c r="J16" i="105"/>
  <c r="W16" i="105" s="1"/>
  <c r="J15" i="105"/>
  <c r="W15" i="105" s="1"/>
  <c r="J14" i="105"/>
  <c r="W14" i="105" s="1"/>
  <c r="J13" i="105"/>
  <c r="V13" i="105" s="1"/>
  <c r="J12" i="105"/>
  <c r="W12" i="105" s="1"/>
  <c r="J11" i="105"/>
  <c r="W11" i="105" s="1"/>
  <c r="J10" i="105"/>
  <c r="W10" i="105" s="1"/>
  <c r="J9" i="105"/>
  <c r="W9" i="105" s="1"/>
  <c r="N8" i="105"/>
  <c r="J8" i="105"/>
  <c r="V8" i="105" s="1"/>
  <c r="J7" i="105"/>
  <c r="V7" i="105" s="1"/>
  <c r="N6" i="105"/>
  <c r="J6" i="105"/>
  <c r="N4" i="105"/>
  <c r="J100" i="104"/>
  <c r="J99" i="104"/>
  <c r="V99" i="104" s="1"/>
  <c r="J98" i="104"/>
  <c r="W98" i="104" s="1"/>
  <c r="J97" i="104"/>
  <c r="V97" i="104" s="1"/>
  <c r="J96" i="104"/>
  <c r="W96" i="104" s="1"/>
  <c r="J95" i="104"/>
  <c r="V95" i="104" s="1"/>
  <c r="J94" i="104"/>
  <c r="W94" i="104" s="1"/>
  <c r="J93" i="104"/>
  <c r="V93" i="104" s="1"/>
  <c r="J92" i="104"/>
  <c r="W92" i="104" s="1"/>
  <c r="J91" i="104"/>
  <c r="V91" i="104" s="1"/>
  <c r="J90" i="104"/>
  <c r="W90" i="104" s="1"/>
  <c r="J89" i="104"/>
  <c r="V89" i="104" s="1"/>
  <c r="J88" i="104"/>
  <c r="W88" i="104" s="1"/>
  <c r="J87" i="104"/>
  <c r="V87" i="104" s="1"/>
  <c r="J86" i="104"/>
  <c r="W86" i="104" s="1"/>
  <c r="J85" i="104"/>
  <c r="V85" i="104" s="1"/>
  <c r="J84" i="104"/>
  <c r="W84" i="104" s="1"/>
  <c r="J83" i="104"/>
  <c r="V83" i="104" s="1"/>
  <c r="J82" i="104"/>
  <c r="W82" i="104" s="1"/>
  <c r="J81" i="104"/>
  <c r="V81" i="104" s="1"/>
  <c r="J80" i="104"/>
  <c r="W80" i="104" s="1"/>
  <c r="J79" i="104"/>
  <c r="V79" i="104" s="1"/>
  <c r="J78" i="104"/>
  <c r="V78" i="104" s="1"/>
  <c r="J69" i="104"/>
  <c r="J68" i="104"/>
  <c r="V68" i="104" s="1"/>
  <c r="J67" i="104"/>
  <c r="V67" i="104" s="1"/>
  <c r="J66" i="104"/>
  <c r="J65" i="104"/>
  <c r="W65" i="104" s="1"/>
  <c r="J64" i="104"/>
  <c r="V64" i="104" s="1"/>
  <c r="J63" i="104"/>
  <c r="V63" i="104" s="1"/>
  <c r="J62" i="104"/>
  <c r="V62" i="104" s="1"/>
  <c r="J61" i="104"/>
  <c r="W61" i="104" s="1"/>
  <c r="J60" i="104"/>
  <c r="V60" i="104" s="1"/>
  <c r="J59" i="104"/>
  <c r="V59" i="104" s="1"/>
  <c r="J58" i="104"/>
  <c r="V58" i="104" s="1"/>
  <c r="J57" i="104"/>
  <c r="J56" i="104"/>
  <c r="V56" i="104" s="1"/>
  <c r="J55" i="104"/>
  <c r="W55" i="104" s="1"/>
  <c r="J54" i="104"/>
  <c r="V54" i="104" s="1"/>
  <c r="J53" i="104"/>
  <c r="W53" i="104" s="1"/>
  <c r="J52" i="104"/>
  <c r="V52" i="104" s="1"/>
  <c r="J51" i="104"/>
  <c r="V51" i="104" s="1"/>
  <c r="J50" i="104"/>
  <c r="W50" i="104" s="1"/>
  <c r="J49" i="104"/>
  <c r="W49" i="104" s="1"/>
  <c r="J48" i="104"/>
  <c r="V48" i="104" s="1"/>
  <c r="J47" i="104"/>
  <c r="J38" i="104"/>
  <c r="W38" i="104" s="1"/>
  <c r="J37" i="104"/>
  <c r="V37" i="104" s="1"/>
  <c r="J36" i="104"/>
  <c r="W36" i="104" s="1"/>
  <c r="J35" i="104"/>
  <c r="J34" i="104"/>
  <c r="W34" i="104" s="1"/>
  <c r="J33" i="104"/>
  <c r="V33" i="104" s="1"/>
  <c r="J32" i="104"/>
  <c r="V32" i="104" s="1"/>
  <c r="W31" i="104"/>
  <c r="J31" i="104"/>
  <c r="V31" i="104" s="1"/>
  <c r="J30" i="104"/>
  <c r="J29" i="104"/>
  <c r="V29" i="104" s="1"/>
  <c r="J28" i="104"/>
  <c r="J27" i="104"/>
  <c r="V27" i="104" s="1"/>
  <c r="J26" i="104"/>
  <c r="W26" i="104" s="1"/>
  <c r="J25" i="104"/>
  <c r="V25" i="104" s="1"/>
  <c r="J24" i="104"/>
  <c r="V24" i="104" s="1"/>
  <c r="J23" i="104"/>
  <c r="J22" i="104"/>
  <c r="W22" i="104" s="1"/>
  <c r="J21" i="104"/>
  <c r="V21" i="104" s="1"/>
  <c r="J20" i="104"/>
  <c r="W20" i="104" s="1"/>
  <c r="J19" i="104"/>
  <c r="V19" i="104" s="1"/>
  <c r="J18" i="104"/>
  <c r="W18" i="104" s="1"/>
  <c r="J17" i="104"/>
  <c r="V17" i="104" s="1"/>
  <c r="J16" i="104"/>
  <c r="V16" i="104" s="1"/>
  <c r="J15" i="104"/>
  <c r="W15" i="104" s="1"/>
  <c r="J14" i="104"/>
  <c r="J13" i="104"/>
  <c r="V13" i="104" s="1"/>
  <c r="J12" i="104"/>
  <c r="V12" i="104" s="1"/>
  <c r="J11" i="104"/>
  <c r="V11" i="104" s="1"/>
  <c r="J10" i="104"/>
  <c r="W10" i="104" s="1"/>
  <c r="J9" i="104"/>
  <c r="W9" i="104" s="1"/>
  <c r="N8" i="104"/>
  <c r="J8" i="104"/>
  <c r="W8" i="104" s="1"/>
  <c r="J7" i="104"/>
  <c r="W7" i="104" s="1"/>
  <c r="N6" i="104"/>
  <c r="J6" i="104"/>
  <c r="V6" i="104" s="1"/>
  <c r="N4" i="104"/>
  <c r="J100" i="103"/>
  <c r="J99" i="103"/>
  <c r="V99" i="103" s="1"/>
  <c r="J98" i="103"/>
  <c r="V98" i="103" s="1"/>
  <c r="J97" i="103"/>
  <c r="J96" i="103"/>
  <c r="W96" i="103" s="1"/>
  <c r="J95" i="103"/>
  <c r="V95" i="103" s="1"/>
  <c r="J94" i="103"/>
  <c r="V94" i="103" s="1"/>
  <c r="J93" i="103"/>
  <c r="W93" i="103" s="1"/>
  <c r="J92" i="103"/>
  <c r="W92" i="103" s="1"/>
  <c r="J91" i="103"/>
  <c r="V91" i="103" s="1"/>
  <c r="J90" i="103"/>
  <c r="J89" i="103"/>
  <c r="V89" i="103" s="1"/>
  <c r="J88" i="103"/>
  <c r="W88" i="103" s="1"/>
  <c r="J87" i="103"/>
  <c r="V87" i="103" s="1"/>
  <c r="J86" i="103"/>
  <c r="V86" i="103" s="1"/>
  <c r="J85" i="103"/>
  <c r="W85" i="103" s="1"/>
  <c r="J84" i="103"/>
  <c r="W84" i="103" s="1"/>
  <c r="J83" i="103"/>
  <c r="V83" i="103" s="1"/>
  <c r="J82" i="103"/>
  <c r="J81" i="103"/>
  <c r="V81" i="103" s="1"/>
  <c r="J80" i="103"/>
  <c r="W80" i="103" s="1"/>
  <c r="J79" i="103"/>
  <c r="V79" i="103" s="1"/>
  <c r="J78" i="103"/>
  <c r="J69" i="103"/>
  <c r="J68" i="103"/>
  <c r="V68" i="103" s="1"/>
  <c r="J67" i="103"/>
  <c r="W67" i="103" s="1"/>
  <c r="J66" i="103"/>
  <c r="W66" i="103" s="1"/>
  <c r="J65" i="103"/>
  <c r="W65" i="103" s="1"/>
  <c r="J64" i="103"/>
  <c r="V64" i="103" s="1"/>
  <c r="J63" i="103"/>
  <c r="V63" i="103" s="1"/>
  <c r="J62" i="103"/>
  <c r="V62" i="103" s="1"/>
  <c r="J61" i="103"/>
  <c r="W61" i="103" s="1"/>
  <c r="J60" i="103"/>
  <c r="V60" i="103" s="1"/>
  <c r="J59" i="103"/>
  <c r="V59" i="103" s="1"/>
  <c r="J58" i="103"/>
  <c r="V58" i="103" s="1"/>
  <c r="J57" i="103"/>
  <c r="W57" i="103" s="1"/>
  <c r="J56" i="103"/>
  <c r="V56" i="103" s="1"/>
  <c r="J55" i="103"/>
  <c r="W55" i="103" s="1"/>
  <c r="J54" i="103"/>
  <c r="V54" i="103" s="1"/>
  <c r="J53" i="103"/>
  <c r="W53" i="103" s="1"/>
  <c r="J52" i="103"/>
  <c r="V52" i="103" s="1"/>
  <c r="J51" i="103"/>
  <c r="W51" i="103" s="1"/>
  <c r="J50" i="103"/>
  <c r="W50" i="103" s="1"/>
  <c r="J49" i="103"/>
  <c r="W49" i="103" s="1"/>
  <c r="J48" i="103"/>
  <c r="V48" i="103" s="1"/>
  <c r="J47" i="103"/>
  <c r="V47" i="103" s="1"/>
  <c r="J38" i="103"/>
  <c r="W38" i="103" s="1"/>
  <c r="J37" i="103"/>
  <c r="V37" i="103" s="1"/>
  <c r="V36" i="103"/>
  <c r="J36" i="103"/>
  <c r="W36" i="103" s="1"/>
  <c r="J35" i="103"/>
  <c r="J34" i="103"/>
  <c r="W34" i="103" s="1"/>
  <c r="J33" i="103"/>
  <c r="V33" i="103" s="1"/>
  <c r="J32" i="103"/>
  <c r="V32" i="103" s="1"/>
  <c r="J31" i="103"/>
  <c r="W31" i="103" s="1"/>
  <c r="J30" i="103"/>
  <c r="W30" i="103" s="1"/>
  <c r="J29" i="103"/>
  <c r="V29" i="103" s="1"/>
  <c r="J28" i="103"/>
  <c r="J27" i="103"/>
  <c r="V27" i="103" s="1"/>
  <c r="J26" i="103"/>
  <c r="W26" i="103" s="1"/>
  <c r="J25" i="103"/>
  <c r="V25" i="103" s="1"/>
  <c r="J24" i="103"/>
  <c r="V24" i="103" s="1"/>
  <c r="J23" i="103"/>
  <c r="V23" i="103" s="1"/>
  <c r="J22" i="103"/>
  <c r="J21" i="103"/>
  <c r="V21" i="103" s="1"/>
  <c r="J20" i="103"/>
  <c r="J19" i="103"/>
  <c r="V19" i="103" s="1"/>
  <c r="J18" i="103"/>
  <c r="W18" i="103" s="1"/>
  <c r="J17" i="103"/>
  <c r="V17" i="103" s="1"/>
  <c r="J16" i="103"/>
  <c r="V16" i="103" s="1"/>
  <c r="J15" i="103"/>
  <c r="W15" i="103" s="1"/>
  <c r="J14" i="103"/>
  <c r="W14" i="103" s="1"/>
  <c r="J13" i="103"/>
  <c r="V13" i="103" s="1"/>
  <c r="J12" i="103"/>
  <c r="V12" i="103" s="1"/>
  <c r="J11" i="103"/>
  <c r="V11" i="103" s="1"/>
  <c r="J10" i="103"/>
  <c r="V10" i="103" s="1"/>
  <c r="J9" i="103"/>
  <c r="V9" i="103" s="1"/>
  <c r="N8" i="103"/>
  <c r="J8" i="103"/>
  <c r="W8" i="103" s="1"/>
  <c r="J7" i="103"/>
  <c r="W7" i="103" s="1"/>
  <c r="N6" i="103"/>
  <c r="J6" i="103"/>
  <c r="V6" i="103" s="1"/>
  <c r="N4" i="103"/>
  <c r="J100" i="102"/>
  <c r="W100" i="102" s="1"/>
  <c r="J99" i="102"/>
  <c r="V99" i="102" s="1"/>
  <c r="J98" i="102"/>
  <c r="W98" i="102" s="1"/>
  <c r="J97" i="102"/>
  <c r="W97" i="102" s="1"/>
  <c r="J96" i="102"/>
  <c r="W96" i="102" s="1"/>
  <c r="J95" i="102"/>
  <c r="V95" i="102" s="1"/>
  <c r="J94" i="102"/>
  <c r="W94" i="102" s="1"/>
  <c r="J93" i="102"/>
  <c r="W93" i="102" s="1"/>
  <c r="J92" i="102"/>
  <c r="V92" i="102" s="1"/>
  <c r="J91" i="102"/>
  <c r="V91" i="102" s="1"/>
  <c r="J90" i="102"/>
  <c r="W90" i="102" s="1"/>
  <c r="J89" i="102"/>
  <c r="W89" i="102" s="1"/>
  <c r="J88" i="102"/>
  <c r="W88" i="102" s="1"/>
  <c r="J87" i="102"/>
  <c r="V87" i="102" s="1"/>
  <c r="J86" i="102"/>
  <c r="V86" i="102" s="1"/>
  <c r="J85" i="102"/>
  <c r="W85" i="102" s="1"/>
  <c r="J84" i="102"/>
  <c r="W84" i="102" s="1"/>
  <c r="J83" i="102"/>
  <c r="W83" i="102" s="1"/>
  <c r="J82" i="102"/>
  <c r="V82" i="102" s="1"/>
  <c r="J81" i="102"/>
  <c r="W81" i="102" s="1"/>
  <c r="J80" i="102"/>
  <c r="W80" i="102" s="1"/>
  <c r="J79" i="102"/>
  <c r="V79" i="102" s="1"/>
  <c r="J78" i="102"/>
  <c r="V78" i="102" s="1"/>
  <c r="J69" i="102"/>
  <c r="W69" i="102" s="1"/>
  <c r="J68" i="102"/>
  <c r="J67" i="102"/>
  <c r="W67" i="102" s="1"/>
  <c r="J66" i="102"/>
  <c r="W66" i="102" s="1"/>
  <c r="J65" i="102"/>
  <c r="W65" i="102" s="1"/>
  <c r="J64" i="102"/>
  <c r="V64" i="102" s="1"/>
  <c r="J63" i="102"/>
  <c r="V63" i="102" s="1"/>
  <c r="J62" i="102"/>
  <c r="W62" i="102" s="1"/>
  <c r="J61" i="102"/>
  <c r="V61" i="102" s="1"/>
  <c r="J60" i="102"/>
  <c r="W60" i="102" s="1"/>
  <c r="J59" i="102"/>
  <c r="V59" i="102" s="1"/>
  <c r="J58" i="102"/>
  <c r="W58" i="102" s="1"/>
  <c r="J57" i="102"/>
  <c r="W57" i="102" s="1"/>
  <c r="J56" i="102"/>
  <c r="W56" i="102" s="1"/>
  <c r="J55" i="102"/>
  <c r="J54" i="102"/>
  <c r="W54" i="102" s="1"/>
  <c r="J53" i="102"/>
  <c r="W53" i="102" s="1"/>
  <c r="J52" i="102"/>
  <c r="W52" i="102" s="1"/>
  <c r="J51" i="102"/>
  <c r="V51" i="102" s="1"/>
  <c r="J50" i="102"/>
  <c r="W50" i="102" s="1"/>
  <c r="J49" i="102"/>
  <c r="W49" i="102" s="1"/>
  <c r="J48" i="102"/>
  <c r="V48" i="102" s="1"/>
  <c r="J47" i="102"/>
  <c r="V47" i="102" s="1"/>
  <c r="J38" i="102"/>
  <c r="V38" i="102" s="1"/>
  <c r="J37" i="102"/>
  <c r="W37" i="102" s="1"/>
  <c r="J36" i="102"/>
  <c r="W36" i="102" s="1"/>
  <c r="J35" i="102"/>
  <c r="W35" i="102" s="1"/>
  <c r="J34" i="102"/>
  <c r="W34" i="102" s="1"/>
  <c r="J33" i="102"/>
  <c r="V33" i="102" s="1"/>
  <c r="W32" i="102"/>
  <c r="J32" i="102"/>
  <c r="V32" i="102" s="1"/>
  <c r="J31" i="102"/>
  <c r="J30" i="102"/>
  <c r="V30" i="102" s="1"/>
  <c r="J29" i="102"/>
  <c r="J28" i="102"/>
  <c r="V28" i="102" s="1"/>
  <c r="J27" i="102"/>
  <c r="W27" i="102" s="1"/>
  <c r="J26" i="102"/>
  <c r="V26" i="102" s="1"/>
  <c r="J25" i="102"/>
  <c r="W25" i="102" s="1"/>
  <c r="J24" i="102"/>
  <c r="V24" i="102" s="1"/>
  <c r="J23" i="102"/>
  <c r="W23" i="102" s="1"/>
  <c r="J22" i="102"/>
  <c r="V22" i="102" s="1"/>
  <c r="J21" i="102"/>
  <c r="V21" i="102" s="1"/>
  <c r="J20" i="102"/>
  <c r="W20" i="102" s="1"/>
  <c r="J19" i="102"/>
  <c r="W19" i="102" s="1"/>
  <c r="J18" i="102"/>
  <c r="V18" i="102" s="1"/>
  <c r="J17" i="102"/>
  <c r="V17" i="102" s="1"/>
  <c r="J16" i="102"/>
  <c r="W16" i="102" s="1"/>
  <c r="J15" i="102"/>
  <c r="W15" i="102" s="1"/>
  <c r="J14" i="102"/>
  <c r="W14" i="102" s="1"/>
  <c r="J13" i="102"/>
  <c r="V13" i="102" s="1"/>
  <c r="J12" i="102"/>
  <c r="V12" i="102" s="1"/>
  <c r="J11" i="102"/>
  <c r="W11" i="102" s="1"/>
  <c r="J10" i="102"/>
  <c r="W10" i="102" s="1"/>
  <c r="J9" i="102"/>
  <c r="W9" i="102" s="1"/>
  <c r="N8" i="102"/>
  <c r="J8" i="102"/>
  <c r="V8" i="102" s="1"/>
  <c r="J7" i="102"/>
  <c r="V7" i="102" s="1"/>
  <c r="N6" i="102"/>
  <c r="J6" i="102"/>
  <c r="N4" i="102"/>
  <c r="J100" i="101"/>
  <c r="W100" i="101" s="1"/>
  <c r="J99" i="101"/>
  <c r="V99" i="101" s="1"/>
  <c r="J98" i="101"/>
  <c r="W98" i="101" s="1"/>
  <c r="J97" i="101"/>
  <c r="V97" i="101" s="1"/>
  <c r="J96" i="101"/>
  <c r="J95" i="101"/>
  <c r="V95" i="101" s="1"/>
  <c r="J94" i="101"/>
  <c r="V94" i="101" s="1"/>
  <c r="J93" i="101"/>
  <c r="W93" i="101" s="1"/>
  <c r="J92" i="101"/>
  <c r="W92" i="101" s="1"/>
  <c r="J91" i="101"/>
  <c r="V91" i="101" s="1"/>
  <c r="J90" i="101"/>
  <c r="V90" i="101" s="1"/>
  <c r="J89" i="101"/>
  <c r="W89" i="101" s="1"/>
  <c r="J88" i="101"/>
  <c r="W88" i="101" s="1"/>
  <c r="J87" i="101"/>
  <c r="V87" i="101" s="1"/>
  <c r="J86" i="101"/>
  <c r="V86" i="101" s="1"/>
  <c r="J85" i="101"/>
  <c r="V85" i="101" s="1"/>
  <c r="J84" i="101"/>
  <c r="W84" i="101" s="1"/>
  <c r="J83" i="101"/>
  <c r="V83" i="101" s="1"/>
  <c r="J82" i="101"/>
  <c r="V82" i="101" s="1"/>
  <c r="J81" i="101"/>
  <c r="V81" i="101" s="1"/>
  <c r="V80" i="101"/>
  <c r="J80" i="101"/>
  <c r="W80" i="101" s="1"/>
  <c r="J79" i="101"/>
  <c r="V79" i="101" s="1"/>
  <c r="J78" i="101"/>
  <c r="J69" i="101"/>
  <c r="W69" i="101" s="1"/>
  <c r="J68" i="101"/>
  <c r="V68" i="101" s="1"/>
  <c r="J67" i="101"/>
  <c r="V67" i="101" s="1"/>
  <c r="J66" i="101"/>
  <c r="J65" i="101"/>
  <c r="W65" i="101" s="1"/>
  <c r="J64" i="101"/>
  <c r="V64" i="101" s="1"/>
  <c r="J63" i="101"/>
  <c r="W63" i="101" s="1"/>
  <c r="J62" i="101"/>
  <c r="V62" i="101" s="1"/>
  <c r="V61" i="101"/>
  <c r="J61" i="101"/>
  <c r="W61" i="101" s="1"/>
  <c r="J60" i="101"/>
  <c r="V60" i="101" s="1"/>
  <c r="J59" i="101"/>
  <c r="J58" i="101"/>
  <c r="W58" i="101" s="1"/>
  <c r="J57" i="101"/>
  <c r="W57" i="101" s="1"/>
  <c r="J56" i="101"/>
  <c r="V56" i="101" s="1"/>
  <c r="J55" i="101"/>
  <c r="W55" i="101" s="1"/>
  <c r="J54" i="101"/>
  <c r="V54" i="101" s="1"/>
  <c r="J53" i="101"/>
  <c r="W53" i="101" s="1"/>
  <c r="J52" i="101"/>
  <c r="V52" i="101" s="1"/>
  <c r="J51" i="101"/>
  <c r="V51" i="101" s="1"/>
  <c r="J50" i="101"/>
  <c r="V50" i="101" s="1"/>
  <c r="J49" i="101"/>
  <c r="W49" i="101" s="1"/>
  <c r="J48" i="101"/>
  <c r="V48" i="101" s="1"/>
  <c r="J47" i="101"/>
  <c r="V47" i="101" s="1"/>
  <c r="J38" i="101"/>
  <c r="W38" i="101" s="1"/>
  <c r="J37" i="101"/>
  <c r="V37" i="101" s="1"/>
  <c r="J36" i="101"/>
  <c r="W36" i="101" s="1"/>
  <c r="J35" i="101"/>
  <c r="W35" i="101" s="1"/>
  <c r="J34" i="101"/>
  <c r="W34" i="101" s="1"/>
  <c r="J33" i="101"/>
  <c r="V33" i="101" s="1"/>
  <c r="J32" i="101"/>
  <c r="V32" i="101" s="1"/>
  <c r="V31" i="101"/>
  <c r="J31" i="101"/>
  <c r="W31" i="101" s="1"/>
  <c r="J30" i="101"/>
  <c r="J29" i="101"/>
  <c r="V29" i="101" s="1"/>
  <c r="J28" i="101"/>
  <c r="J27" i="101"/>
  <c r="V27" i="101" s="1"/>
  <c r="J26" i="101"/>
  <c r="W26" i="101" s="1"/>
  <c r="J25" i="101"/>
  <c r="V25" i="101" s="1"/>
  <c r="W24" i="101"/>
  <c r="J24" i="101"/>
  <c r="V24" i="101" s="1"/>
  <c r="J23" i="101"/>
  <c r="J22" i="101"/>
  <c r="W22" i="101" s="1"/>
  <c r="J21" i="101"/>
  <c r="V21" i="101" s="1"/>
  <c r="J20" i="101"/>
  <c r="V20" i="101" s="1"/>
  <c r="J19" i="101"/>
  <c r="V19" i="101" s="1"/>
  <c r="J18" i="101"/>
  <c r="W18" i="101" s="1"/>
  <c r="J17" i="101"/>
  <c r="V17" i="101" s="1"/>
  <c r="J16" i="101"/>
  <c r="V16" i="101" s="1"/>
  <c r="J15" i="101"/>
  <c r="W15" i="101" s="1"/>
  <c r="J14" i="101"/>
  <c r="W14" i="101" s="1"/>
  <c r="J13" i="101"/>
  <c r="V13" i="101" s="1"/>
  <c r="J12" i="101"/>
  <c r="V12" i="101" s="1"/>
  <c r="J11" i="101"/>
  <c r="V11" i="101" s="1"/>
  <c r="J10" i="101"/>
  <c r="W10" i="101" s="1"/>
  <c r="J9" i="101"/>
  <c r="V9" i="101" s="1"/>
  <c r="N8" i="101"/>
  <c r="J8" i="101"/>
  <c r="J7" i="101"/>
  <c r="W7" i="101" s="1"/>
  <c r="N6" i="101"/>
  <c r="J6" i="101"/>
  <c r="V6" i="101" s="1"/>
  <c r="N4" i="101"/>
  <c r="J100" i="100"/>
  <c r="W100" i="100" s="1"/>
  <c r="J99" i="100"/>
  <c r="V99" i="100" s="1"/>
  <c r="J98" i="100"/>
  <c r="J97" i="100"/>
  <c r="V97" i="100" s="1"/>
  <c r="J96" i="100"/>
  <c r="W96" i="100" s="1"/>
  <c r="J95" i="100"/>
  <c r="V95" i="100" s="1"/>
  <c r="J94" i="100"/>
  <c r="V94" i="100" s="1"/>
  <c r="J93" i="100"/>
  <c r="W93" i="100" s="1"/>
  <c r="J92" i="100"/>
  <c r="W92" i="100" s="1"/>
  <c r="J91" i="100"/>
  <c r="V91" i="100" s="1"/>
  <c r="J90" i="100"/>
  <c r="V90" i="100" s="1"/>
  <c r="J89" i="100"/>
  <c r="V89" i="100" s="1"/>
  <c r="J88" i="100"/>
  <c r="W88" i="100" s="1"/>
  <c r="J87" i="100"/>
  <c r="V87" i="100" s="1"/>
  <c r="J86" i="100"/>
  <c r="V86" i="100" s="1"/>
  <c r="J85" i="100"/>
  <c r="J84" i="100"/>
  <c r="W84" i="100" s="1"/>
  <c r="J83" i="100"/>
  <c r="V83" i="100" s="1"/>
  <c r="J82" i="100"/>
  <c r="J81" i="100"/>
  <c r="V81" i="100" s="1"/>
  <c r="J80" i="100"/>
  <c r="W80" i="100" s="1"/>
  <c r="J79" i="100"/>
  <c r="V79" i="100" s="1"/>
  <c r="J78" i="100"/>
  <c r="J69" i="100"/>
  <c r="W69" i="100" s="1"/>
  <c r="J68" i="100"/>
  <c r="V68" i="100" s="1"/>
  <c r="J67" i="100"/>
  <c r="V67" i="100" s="1"/>
  <c r="J66" i="100"/>
  <c r="V66" i="100" s="1"/>
  <c r="J65" i="100"/>
  <c r="W65" i="100" s="1"/>
  <c r="J64" i="100"/>
  <c r="V64" i="100" s="1"/>
  <c r="J63" i="100"/>
  <c r="V63" i="100" s="1"/>
  <c r="J62" i="100"/>
  <c r="W62" i="100" s="1"/>
  <c r="J61" i="100"/>
  <c r="W61" i="100" s="1"/>
  <c r="J60" i="100"/>
  <c r="V60" i="100" s="1"/>
  <c r="J59" i="100"/>
  <c r="V59" i="100" s="1"/>
  <c r="J58" i="100"/>
  <c r="V58" i="100" s="1"/>
  <c r="J57" i="100"/>
  <c r="W57" i="100" s="1"/>
  <c r="J56" i="100"/>
  <c r="V56" i="100" s="1"/>
  <c r="J55" i="100"/>
  <c r="V55" i="100" s="1"/>
  <c r="J54" i="100"/>
  <c r="J53" i="100"/>
  <c r="W53" i="100" s="1"/>
  <c r="J52" i="100"/>
  <c r="V52" i="100" s="1"/>
  <c r="J51" i="100"/>
  <c r="V51" i="100" s="1"/>
  <c r="J50" i="100"/>
  <c r="V50" i="100" s="1"/>
  <c r="J49" i="100"/>
  <c r="W49" i="100" s="1"/>
  <c r="J48" i="100"/>
  <c r="V48" i="100" s="1"/>
  <c r="J47" i="100"/>
  <c r="J38" i="100"/>
  <c r="W38" i="100" s="1"/>
  <c r="J37" i="100"/>
  <c r="V37" i="100" s="1"/>
  <c r="J36" i="100"/>
  <c r="V36" i="100" s="1"/>
  <c r="J35" i="100"/>
  <c r="W35" i="100" s="1"/>
  <c r="J34" i="100"/>
  <c r="W34" i="100" s="1"/>
  <c r="J33" i="100"/>
  <c r="V33" i="100" s="1"/>
  <c r="J32" i="100"/>
  <c r="V32" i="100" s="1"/>
  <c r="V31" i="100"/>
  <c r="J31" i="100"/>
  <c r="W31" i="100" s="1"/>
  <c r="J30" i="100"/>
  <c r="W30" i="100" s="1"/>
  <c r="J29" i="100"/>
  <c r="V29" i="100" s="1"/>
  <c r="J28" i="100"/>
  <c r="V28" i="100" s="1"/>
  <c r="J27" i="100"/>
  <c r="J26" i="100"/>
  <c r="W26" i="100" s="1"/>
  <c r="J25" i="100"/>
  <c r="V25" i="100" s="1"/>
  <c r="J24" i="100"/>
  <c r="V24" i="100" s="1"/>
  <c r="J23" i="100"/>
  <c r="J22" i="100"/>
  <c r="W22" i="100" s="1"/>
  <c r="J21" i="100"/>
  <c r="V21" i="100" s="1"/>
  <c r="J20" i="100"/>
  <c r="J19" i="100"/>
  <c r="V19" i="100" s="1"/>
  <c r="J18" i="100"/>
  <c r="W18" i="100" s="1"/>
  <c r="J17" i="100"/>
  <c r="V17" i="100" s="1"/>
  <c r="J16" i="100"/>
  <c r="V16" i="100" s="1"/>
  <c r="J15" i="100"/>
  <c r="W15" i="100" s="1"/>
  <c r="J14" i="100"/>
  <c r="W14" i="100" s="1"/>
  <c r="J13" i="100"/>
  <c r="V13" i="100" s="1"/>
  <c r="J12" i="100"/>
  <c r="V12" i="100" s="1"/>
  <c r="J11" i="100"/>
  <c r="J10" i="100"/>
  <c r="V10" i="100" s="1"/>
  <c r="J9" i="100"/>
  <c r="W9" i="100" s="1"/>
  <c r="N8" i="100"/>
  <c r="J8" i="100"/>
  <c r="W8" i="100" s="1"/>
  <c r="J7" i="100"/>
  <c r="W7" i="100" s="1"/>
  <c r="N6" i="100"/>
  <c r="J6" i="100"/>
  <c r="V6" i="100" s="1"/>
  <c r="N4" i="100"/>
  <c r="J100" i="99"/>
  <c r="W100" i="99" s="1"/>
  <c r="J99" i="99"/>
  <c r="V99" i="99" s="1"/>
  <c r="J98" i="99"/>
  <c r="J97" i="99"/>
  <c r="J96" i="99"/>
  <c r="W96" i="99" s="1"/>
  <c r="J95" i="99"/>
  <c r="V95" i="99" s="1"/>
  <c r="J94" i="99"/>
  <c r="W94" i="99" s="1"/>
  <c r="J93" i="99"/>
  <c r="W93" i="99" s="1"/>
  <c r="J92" i="99"/>
  <c r="W92" i="99" s="1"/>
  <c r="J91" i="99"/>
  <c r="V91" i="99" s="1"/>
  <c r="J90" i="99"/>
  <c r="W90" i="99" s="1"/>
  <c r="J89" i="99"/>
  <c r="W89" i="99" s="1"/>
  <c r="J88" i="99"/>
  <c r="W88" i="99" s="1"/>
  <c r="J87" i="99"/>
  <c r="V87" i="99" s="1"/>
  <c r="J86" i="99"/>
  <c r="V86" i="99" s="1"/>
  <c r="J85" i="99"/>
  <c r="V85" i="99" s="1"/>
  <c r="J84" i="99"/>
  <c r="W84" i="99" s="1"/>
  <c r="J83" i="99"/>
  <c r="V83" i="99" s="1"/>
  <c r="J82" i="99"/>
  <c r="W82" i="99" s="1"/>
  <c r="J81" i="99"/>
  <c r="V81" i="99" s="1"/>
  <c r="J80" i="99"/>
  <c r="W80" i="99" s="1"/>
  <c r="J79" i="99"/>
  <c r="V79" i="99" s="1"/>
  <c r="J78" i="99"/>
  <c r="J69" i="99"/>
  <c r="W69" i="99" s="1"/>
  <c r="J68" i="99"/>
  <c r="V68" i="99" s="1"/>
  <c r="J67" i="99"/>
  <c r="W67" i="99" s="1"/>
  <c r="J66" i="99"/>
  <c r="V66" i="99" s="1"/>
  <c r="J65" i="99"/>
  <c r="J64" i="99"/>
  <c r="V64" i="99" s="1"/>
  <c r="J63" i="99"/>
  <c r="W63" i="99" s="1"/>
  <c r="J62" i="99"/>
  <c r="J61" i="99"/>
  <c r="W61" i="99" s="1"/>
  <c r="J60" i="99"/>
  <c r="V60" i="99" s="1"/>
  <c r="W59" i="99"/>
  <c r="J59" i="99"/>
  <c r="V59" i="99" s="1"/>
  <c r="J58" i="99"/>
  <c r="W58" i="99" s="1"/>
  <c r="J57" i="99"/>
  <c r="W57" i="99" s="1"/>
  <c r="J56" i="99"/>
  <c r="V56" i="99" s="1"/>
  <c r="J55" i="99"/>
  <c r="V55" i="99" s="1"/>
  <c r="J54" i="99"/>
  <c r="W54" i="99" s="1"/>
  <c r="J53" i="99"/>
  <c r="W53" i="99" s="1"/>
  <c r="J52" i="99"/>
  <c r="V52" i="99" s="1"/>
  <c r="J51" i="99"/>
  <c r="W51" i="99" s="1"/>
  <c r="J50" i="99"/>
  <c r="V50" i="99" s="1"/>
  <c r="J49" i="99"/>
  <c r="W49" i="99" s="1"/>
  <c r="J48" i="99"/>
  <c r="V48" i="99" s="1"/>
  <c r="J47" i="99"/>
  <c r="V47" i="99" s="1"/>
  <c r="J38" i="99"/>
  <c r="W38" i="99" s="1"/>
  <c r="J37" i="99"/>
  <c r="V37" i="99" s="1"/>
  <c r="J36" i="99"/>
  <c r="W36" i="99" s="1"/>
  <c r="J35" i="99"/>
  <c r="J34" i="99"/>
  <c r="W34" i="99" s="1"/>
  <c r="J33" i="99"/>
  <c r="V33" i="99" s="1"/>
  <c r="J32" i="99"/>
  <c r="W32" i="99" s="1"/>
  <c r="V31" i="99"/>
  <c r="J31" i="99"/>
  <c r="W31" i="99" s="1"/>
  <c r="J30" i="99"/>
  <c r="W30" i="99" s="1"/>
  <c r="J29" i="99"/>
  <c r="V29" i="99" s="1"/>
  <c r="J28" i="99"/>
  <c r="V28" i="99" s="1"/>
  <c r="J27" i="99"/>
  <c r="V27" i="99" s="1"/>
  <c r="J26" i="99"/>
  <c r="J25" i="99"/>
  <c r="V25" i="99" s="1"/>
  <c r="J24" i="99"/>
  <c r="W23" i="99"/>
  <c r="J23" i="99"/>
  <c r="V23" i="99" s="1"/>
  <c r="J22" i="99"/>
  <c r="J21" i="99"/>
  <c r="V21" i="99" s="1"/>
  <c r="J20" i="99"/>
  <c r="J19" i="99"/>
  <c r="W19" i="99" s="1"/>
  <c r="J18" i="99"/>
  <c r="W18" i="99" s="1"/>
  <c r="J17" i="99"/>
  <c r="V17" i="99" s="1"/>
  <c r="J16" i="99"/>
  <c r="V16" i="99" s="1"/>
  <c r="J15" i="99"/>
  <c r="V15" i="99" s="1"/>
  <c r="J14" i="99"/>
  <c r="W14" i="99" s="1"/>
  <c r="J13" i="99"/>
  <c r="V13" i="99" s="1"/>
  <c r="J12" i="99"/>
  <c r="V12" i="99" s="1"/>
  <c r="J11" i="99"/>
  <c r="W11" i="99" s="1"/>
  <c r="J10" i="99"/>
  <c r="V10" i="99" s="1"/>
  <c r="J9" i="99"/>
  <c r="V9" i="99" s="1"/>
  <c r="N8" i="99"/>
  <c r="J8" i="99"/>
  <c r="W8" i="99" s="1"/>
  <c r="J7" i="99"/>
  <c r="W7" i="99" s="1"/>
  <c r="N6" i="99"/>
  <c r="J6" i="99"/>
  <c r="V6" i="99" s="1"/>
  <c r="N4" i="99"/>
  <c r="J19" i="98"/>
  <c r="V19" i="98" s="1"/>
  <c r="J18" i="98"/>
  <c r="W18" i="98" s="1"/>
  <c r="J100" i="98"/>
  <c r="W100" i="98" s="1"/>
  <c r="J99" i="98"/>
  <c r="V99" i="98" s="1"/>
  <c r="J98" i="98"/>
  <c r="W98" i="98" s="1"/>
  <c r="J97" i="98"/>
  <c r="V97" i="98" s="1"/>
  <c r="J96" i="98"/>
  <c r="J95" i="98"/>
  <c r="V95" i="98" s="1"/>
  <c r="J94" i="98"/>
  <c r="W94" i="98" s="1"/>
  <c r="J93" i="98"/>
  <c r="W93" i="98" s="1"/>
  <c r="J92" i="98"/>
  <c r="W92" i="98" s="1"/>
  <c r="J91" i="98"/>
  <c r="V91" i="98" s="1"/>
  <c r="J90" i="98"/>
  <c r="V90" i="98" s="1"/>
  <c r="J89" i="98"/>
  <c r="V89" i="98" s="1"/>
  <c r="J88" i="98"/>
  <c r="W88" i="98" s="1"/>
  <c r="J87" i="98"/>
  <c r="V87" i="98" s="1"/>
  <c r="J86" i="98"/>
  <c r="V86" i="98" s="1"/>
  <c r="J85" i="98"/>
  <c r="V85" i="98" s="1"/>
  <c r="J84" i="98"/>
  <c r="W84" i="98" s="1"/>
  <c r="J83" i="98"/>
  <c r="V83" i="98" s="1"/>
  <c r="J82" i="98"/>
  <c r="W82" i="98" s="1"/>
  <c r="J81" i="98"/>
  <c r="V81" i="98" s="1"/>
  <c r="J80" i="98"/>
  <c r="J79" i="98"/>
  <c r="V79" i="98" s="1"/>
  <c r="J78" i="98"/>
  <c r="W78" i="98" s="1"/>
  <c r="J69" i="98"/>
  <c r="J68" i="98"/>
  <c r="V68" i="98" s="1"/>
  <c r="J67" i="98"/>
  <c r="J66" i="98"/>
  <c r="V66" i="98" s="1"/>
  <c r="J65" i="98"/>
  <c r="W65" i="98" s="1"/>
  <c r="J64" i="98"/>
  <c r="V64" i="98" s="1"/>
  <c r="J63" i="98"/>
  <c r="W63" i="98" s="1"/>
  <c r="J62" i="98"/>
  <c r="V62" i="98" s="1"/>
  <c r="J61" i="98"/>
  <c r="J60" i="98"/>
  <c r="V60" i="98" s="1"/>
  <c r="J59" i="98"/>
  <c r="J58" i="98"/>
  <c r="W58" i="98" s="1"/>
  <c r="J57" i="98"/>
  <c r="W57" i="98" s="1"/>
  <c r="J56" i="98"/>
  <c r="V56" i="98" s="1"/>
  <c r="J55" i="98"/>
  <c r="V55" i="98" s="1"/>
  <c r="W54" i="98"/>
  <c r="J54" i="98"/>
  <c r="V54" i="98" s="1"/>
  <c r="J53" i="98"/>
  <c r="W53" i="98" s="1"/>
  <c r="J52" i="98"/>
  <c r="V52" i="98" s="1"/>
  <c r="J51" i="98"/>
  <c r="V51" i="98" s="1"/>
  <c r="J50" i="98"/>
  <c r="J49" i="98"/>
  <c r="W49" i="98" s="1"/>
  <c r="J48" i="98"/>
  <c r="V48" i="98" s="1"/>
  <c r="J47" i="98"/>
  <c r="V47" i="98" s="1"/>
  <c r="J38" i="98"/>
  <c r="J37" i="98"/>
  <c r="V37" i="98" s="1"/>
  <c r="J36" i="98"/>
  <c r="J35" i="98"/>
  <c r="W35" i="98" s="1"/>
  <c r="J34" i="98"/>
  <c r="W34" i="98" s="1"/>
  <c r="J33" i="98"/>
  <c r="V33" i="98" s="1"/>
  <c r="J32" i="98"/>
  <c r="W32" i="98" s="1"/>
  <c r="J31" i="98"/>
  <c r="J30" i="98"/>
  <c r="W30" i="98" s="1"/>
  <c r="J29" i="98"/>
  <c r="V29" i="98" s="1"/>
  <c r="J28" i="98"/>
  <c r="W28" i="98" s="1"/>
  <c r="J27" i="98"/>
  <c r="W27" i="98" s="1"/>
  <c r="J26" i="98"/>
  <c r="W26" i="98" s="1"/>
  <c r="J25" i="98"/>
  <c r="V25" i="98" s="1"/>
  <c r="V24" i="98"/>
  <c r="J24" i="98"/>
  <c r="W24" i="98" s="1"/>
  <c r="J23" i="98"/>
  <c r="W23" i="98" s="1"/>
  <c r="J22" i="98"/>
  <c r="W22" i="98" s="1"/>
  <c r="J21" i="98"/>
  <c r="V21" i="98" s="1"/>
  <c r="J20" i="98"/>
  <c r="V20" i="98" s="1"/>
  <c r="J17" i="98"/>
  <c r="V17" i="98" s="1"/>
  <c r="J16" i="98"/>
  <c r="W16" i="98" s="1"/>
  <c r="J15" i="98"/>
  <c r="J14" i="98"/>
  <c r="W14" i="98" s="1"/>
  <c r="J13" i="98"/>
  <c r="V13" i="98" s="1"/>
  <c r="J12" i="98"/>
  <c r="V12" i="98" s="1"/>
  <c r="J11" i="98"/>
  <c r="V11" i="98" s="1"/>
  <c r="J10" i="98"/>
  <c r="W10" i="98" s="1"/>
  <c r="J9" i="98"/>
  <c r="W9" i="98" s="1"/>
  <c r="N8" i="98"/>
  <c r="J8" i="98"/>
  <c r="W8" i="98" s="1"/>
  <c r="J7" i="98"/>
  <c r="W7" i="98" s="1"/>
  <c r="N6" i="98"/>
  <c r="J6" i="98"/>
  <c r="V6" i="98" s="1"/>
  <c r="N4" i="98"/>
  <c r="J100" i="97"/>
  <c r="W100" i="97" s="1"/>
  <c r="J99" i="97"/>
  <c r="V99" i="97" s="1"/>
  <c r="J98" i="97"/>
  <c r="V98" i="97" s="1"/>
  <c r="J97" i="97"/>
  <c r="V97" i="97" s="1"/>
  <c r="J96" i="97"/>
  <c r="W96" i="97" s="1"/>
  <c r="J95" i="97"/>
  <c r="V95" i="97" s="1"/>
  <c r="J94" i="97"/>
  <c r="W94" i="97" s="1"/>
  <c r="J93" i="97"/>
  <c r="V93" i="97" s="1"/>
  <c r="J92" i="97"/>
  <c r="W92" i="97" s="1"/>
  <c r="J91" i="97"/>
  <c r="V91" i="97" s="1"/>
  <c r="J90" i="97"/>
  <c r="V90" i="97" s="1"/>
  <c r="J89" i="97"/>
  <c r="W89" i="97" s="1"/>
  <c r="J88" i="97"/>
  <c r="W88" i="97" s="1"/>
  <c r="J87" i="97"/>
  <c r="V87" i="97" s="1"/>
  <c r="J86" i="97"/>
  <c r="W86" i="97" s="1"/>
  <c r="J85" i="97"/>
  <c r="V85" i="97" s="1"/>
  <c r="J84" i="97"/>
  <c r="W84" i="97" s="1"/>
  <c r="J83" i="97"/>
  <c r="V83" i="97" s="1"/>
  <c r="W82" i="97"/>
  <c r="J82" i="97"/>
  <c r="V82" i="97" s="1"/>
  <c r="J81" i="97"/>
  <c r="V81" i="97" s="1"/>
  <c r="J80" i="97"/>
  <c r="W80" i="97" s="1"/>
  <c r="J79" i="97"/>
  <c r="V79" i="97" s="1"/>
  <c r="J78" i="97"/>
  <c r="J69" i="97"/>
  <c r="W69" i="97" s="1"/>
  <c r="J68" i="97"/>
  <c r="V68" i="97" s="1"/>
  <c r="J67" i="97"/>
  <c r="J66" i="97"/>
  <c r="V66" i="97" s="1"/>
  <c r="J65" i="97"/>
  <c r="W65" i="97" s="1"/>
  <c r="J64" i="97"/>
  <c r="V64" i="97" s="1"/>
  <c r="J63" i="97"/>
  <c r="W63" i="97" s="1"/>
  <c r="J62" i="97"/>
  <c r="V62" i="97" s="1"/>
  <c r="J61" i="97"/>
  <c r="W61" i="97" s="1"/>
  <c r="J60" i="97"/>
  <c r="V60" i="97" s="1"/>
  <c r="J59" i="97"/>
  <c r="W59" i="97" s="1"/>
  <c r="J58" i="97"/>
  <c r="V58" i="97" s="1"/>
  <c r="J57" i="97"/>
  <c r="W57" i="97" s="1"/>
  <c r="J56" i="97"/>
  <c r="V56" i="97" s="1"/>
  <c r="J55" i="97"/>
  <c r="W55" i="97" s="1"/>
  <c r="J54" i="97"/>
  <c r="V54" i="97" s="1"/>
  <c r="J53" i="97"/>
  <c r="W53" i="97" s="1"/>
  <c r="J52" i="97"/>
  <c r="V52" i="97" s="1"/>
  <c r="J51" i="97"/>
  <c r="W51" i="97" s="1"/>
  <c r="J50" i="97"/>
  <c r="V50" i="97" s="1"/>
  <c r="J49" i="97"/>
  <c r="W49" i="97" s="1"/>
  <c r="J48" i="97"/>
  <c r="V48" i="97" s="1"/>
  <c r="V47" i="97"/>
  <c r="J47" i="97"/>
  <c r="W47" i="97" s="1"/>
  <c r="J38" i="97"/>
  <c r="W38" i="97" s="1"/>
  <c r="J37" i="97"/>
  <c r="V37" i="97" s="1"/>
  <c r="J36" i="97"/>
  <c r="V36" i="97" s="1"/>
  <c r="J35" i="97"/>
  <c r="V35" i="97" s="1"/>
  <c r="J34" i="97"/>
  <c r="W34" i="97" s="1"/>
  <c r="J33" i="97"/>
  <c r="V33" i="97" s="1"/>
  <c r="J32" i="97"/>
  <c r="V32" i="97" s="1"/>
  <c r="V31" i="97"/>
  <c r="J31" i="97"/>
  <c r="W31" i="97" s="1"/>
  <c r="J30" i="97"/>
  <c r="W30" i="97" s="1"/>
  <c r="J29" i="97"/>
  <c r="V29" i="97" s="1"/>
  <c r="J28" i="97"/>
  <c r="V28" i="97" s="1"/>
  <c r="J27" i="97"/>
  <c r="W27" i="97" s="1"/>
  <c r="J26" i="97"/>
  <c r="W26" i="97" s="1"/>
  <c r="J25" i="97"/>
  <c r="V25" i="97" s="1"/>
  <c r="J24" i="97"/>
  <c r="V24" i="97" s="1"/>
  <c r="J23" i="97"/>
  <c r="W23" i="97" s="1"/>
  <c r="J22" i="97"/>
  <c r="W22" i="97" s="1"/>
  <c r="J21" i="97"/>
  <c r="V21" i="97" s="1"/>
  <c r="J20" i="97"/>
  <c r="V20" i="97" s="1"/>
  <c r="J19" i="97"/>
  <c r="W19" i="97" s="1"/>
  <c r="J18" i="97"/>
  <c r="W18" i="97" s="1"/>
  <c r="J17" i="97"/>
  <c r="V17" i="97" s="1"/>
  <c r="J16" i="97"/>
  <c r="J15" i="97"/>
  <c r="W15" i="97" s="1"/>
  <c r="J14" i="97"/>
  <c r="W14" i="97" s="1"/>
  <c r="J13" i="97"/>
  <c r="V13" i="97" s="1"/>
  <c r="J12" i="97"/>
  <c r="V12" i="97" s="1"/>
  <c r="J11" i="97"/>
  <c r="V11" i="97" s="1"/>
  <c r="J10" i="97"/>
  <c r="J9" i="97"/>
  <c r="V9" i="97" s="1"/>
  <c r="N8" i="97"/>
  <c r="J8" i="97"/>
  <c r="W8" i="97" s="1"/>
  <c r="J7" i="97"/>
  <c r="W7" i="97" s="1"/>
  <c r="N6" i="97"/>
  <c r="J6" i="97"/>
  <c r="V6" i="97" s="1"/>
  <c r="N4" i="97"/>
  <c r="J100" i="96"/>
  <c r="W100" i="96" s="1"/>
  <c r="J99" i="96"/>
  <c r="V99" i="96" s="1"/>
  <c r="J98" i="96"/>
  <c r="W98" i="96" s="1"/>
  <c r="J97" i="96"/>
  <c r="V97" i="96" s="1"/>
  <c r="J96" i="96"/>
  <c r="W96" i="96" s="1"/>
  <c r="J95" i="96"/>
  <c r="V95" i="96" s="1"/>
  <c r="J94" i="96"/>
  <c r="W94" i="96" s="1"/>
  <c r="J93" i="96"/>
  <c r="W93" i="96" s="1"/>
  <c r="J92" i="96"/>
  <c r="W92" i="96" s="1"/>
  <c r="J91" i="96"/>
  <c r="V91" i="96" s="1"/>
  <c r="J90" i="96"/>
  <c r="V90" i="96" s="1"/>
  <c r="J89" i="96"/>
  <c r="W89" i="96" s="1"/>
  <c r="J88" i="96"/>
  <c r="J87" i="96"/>
  <c r="V87" i="96" s="1"/>
  <c r="J86" i="96"/>
  <c r="W86" i="96" s="1"/>
  <c r="J85" i="96"/>
  <c r="V85" i="96" s="1"/>
  <c r="J84" i="96"/>
  <c r="W84" i="96" s="1"/>
  <c r="J83" i="96"/>
  <c r="V83" i="96" s="1"/>
  <c r="J82" i="96"/>
  <c r="W82" i="96" s="1"/>
  <c r="J81" i="96"/>
  <c r="W81" i="96" s="1"/>
  <c r="J80" i="96"/>
  <c r="W80" i="96" s="1"/>
  <c r="J79" i="96"/>
  <c r="V79" i="96" s="1"/>
  <c r="J78" i="96"/>
  <c r="J69" i="96"/>
  <c r="J68" i="96"/>
  <c r="V68" i="96" s="1"/>
  <c r="J67" i="96"/>
  <c r="V67" i="96" s="1"/>
  <c r="J66" i="96"/>
  <c r="V66" i="96" s="1"/>
  <c r="J65" i="96"/>
  <c r="W65" i="96" s="1"/>
  <c r="J64" i="96"/>
  <c r="V64" i="96" s="1"/>
  <c r="J63" i="96"/>
  <c r="W63" i="96" s="1"/>
  <c r="J62" i="96"/>
  <c r="V62" i="96" s="1"/>
  <c r="J61" i="96"/>
  <c r="W61" i="96" s="1"/>
  <c r="J60" i="96"/>
  <c r="V60" i="96" s="1"/>
  <c r="J59" i="96"/>
  <c r="V59" i="96" s="1"/>
  <c r="J58" i="96"/>
  <c r="W58" i="96" s="1"/>
  <c r="J57" i="96"/>
  <c r="W57" i="96" s="1"/>
  <c r="J56" i="96"/>
  <c r="V56" i="96" s="1"/>
  <c r="J55" i="96"/>
  <c r="V55" i="96" s="1"/>
  <c r="J54" i="96"/>
  <c r="V54" i="96" s="1"/>
  <c r="J53" i="96"/>
  <c r="W53" i="96" s="1"/>
  <c r="J52" i="96"/>
  <c r="V52" i="96" s="1"/>
  <c r="J51" i="96"/>
  <c r="V51" i="96" s="1"/>
  <c r="J50" i="96"/>
  <c r="V50" i="96" s="1"/>
  <c r="J49" i="96"/>
  <c r="W49" i="96" s="1"/>
  <c r="J48" i="96"/>
  <c r="V48" i="96" s="1"/>
  <c r="J47" i="96"/>
  <c r="W47" i="96" s="1"/>
  <c r="J38" i="96"/>
  <c r="W38" i="96" s="1"/>
  <c r="J37" i="96"/>
  <c r="V37" i="96" s="1"/>
  <c r="J36" i="96"/>
  <c r="W36" i="96" s="1"/>
  <c r="J35" i="96"/>
  <c r="W35" i="96" s="1"/>
  <c r="J34" i="96"/>
  <c r="W34" i="96" s="1"/>
  <c r="J33" i="96"/>
  <c r="V33" i="96" s="1"/>
  <c r="J32" i="96"/>
  <c r="V32" i="96" s="1"/>
  <c r="J31" i="96"/>
  <c r="W31" i="96" s="1"/>
  <c r="J30" i="96"/>
  <c r="J29" i="96"/>
  <c r="V29" i="96" s="1"/>
  <c r="J28" i="96"/>
  <c r="J27" i="96"/>
  <c r="V27" i="96" s="1"/>
  <c r="J26" i="96"/>
  <c r="W26" i="96" s="1"/>
  <c r="J25" i="96"/>
  <c r="V25" i="96" s="1"/>
  <c r="J24" i="96"/>
  <c r="V24" i="96" s="1"/>
  <c r="J23" i="96"/>
  <c r="W23" i="96" s="1"/>
  <c r="J22" i="96"/>
  <c r="W22" i="96" s="1"/>
  <c r="J21" i="96"/>
  <c r="V21" i="96" s="1"/>
  <c r="J20" i="96"/>
  <c r="V20" i="96" s="1"/>
  <c r="J19" i="96"/>
  <c r="V19" i="96" s="1"/>
  <c r="J18" i="96"/>
  <c r="W18" i="96" s="1"/>
  <c r="J17" i="96"/>
  <c r="V17" i="96" s="1"/>
  <c r="J16" i="96"/>
  <c r="V16" i="96" s="1"/>
  <c r="J15" i="96"/>
  <c r="V15" i="96" s="1"/>
  <c r="J14" i="96"/>
  <c r="W14" i="96" s="1"/>
  <c r="J13" i="96"/>
  <c r="V13" i="96" s="1"/>
  <c r="J12" i="96"/>
  <c r="V12" i="96" s="1"/>
  <c r="J11" i="96"/>
  <c r="V11" i="96" s="1"/>
  <c r="J10" i="96"/>
  <c r="J9" i="96"/>
  <c r="V9" i="96" s="1"/>
  <c r="N8" i="96"/>
  <c r="J8" i="96"/>
  <c r="W8" i="96" s="1"/>
  <c r="J7" i="96"/>
  <c r="W7" i="96" s="1"/>
  <c r="N6" i="96"/>
  <c r="J6" i="96"/>
  <c r="V6" i="96" s="1"/>
  <c r="N4" i="96"/>
  <c r="J100" i="95"/>
  <c r="W100" i="95" s="1"/>
  <c r="J99" i="95"/>
  <c r="V99" i="95" s="1"/>
  <c r="J98" i="95"/>
  <c r="V98" i="95" s="1"/>
  <c r="J97" i="95"/>
  <c r="V97" i="95" s="1"/>
  <c r="J96" i="95"/>
  <c r="W96" i="95" s="1"/>
  <c r="J95" i="95"/>
  <c r="V95" i="95" s="1"/>
  <c r="J94" i="95"/>
  <c r="V94" i="95" s="1"/>
  <c r="J93" i="95"/>
  <c r="W93" i="95" s="1"/>
  <c r="J92" i="95"/>
  <c r="W92" i="95" s="1"/>
  <c r="J91" i="95"/>
  <c r="V91" i="95" s="1"/>
  <c r="J90" i="95"/>
  <c r="V90" i="95" s="1"/>
  <c r="J89" i="95"/>
  <c r="V89" i="95" s="1"/>
  <c r="J88" i="95"/>
  <c r="W88" i="95" s="1"/>
  <c r="J87" i="95"/>
  <c r="V87" i="95" s="1"/>
  <c r="J86" i="95"/>
  <c r="V86" i="95" s="1"/>
  <c r="J85" i="95"/>
  <c r="W85" i="95" s="1"/>
  <c r="J84" i="95"/>
  <c r="J83" i="95"/>
  <c r="V83" i="95" s="1"/>
  <c r="J82" i="95"/>
  <c r="V82" i="95" s="1"/>
  <c r="J81" i="95"/>
  <c r="W81" i="95" s="1"/>
  <c r="J80" i="95"/>
  <c r="W80" i="95" s="1"/>
  <c r="J79" i="95"/>
  <c r="V79" i="95" s="1"/>
  <c r="J78" i="95"/>
  <c r="J69" i="95"/>
  <c r="W69" i="95" s="1"/>
  <c r="J68" i="95"/>
  <c r="V68" i="95" s="1"/>
  <c r="J67" i="95"/>
  <c r="V67" i="95" s="1"/>
  <c r="J66" i="95"/>
  <c r="W66" i="95" s="1"/>
  <c r="J65" i="95"/>
  <c r="J64" i="95"/>
  <c r="V64" i="95" s="1"/>
  <c r="J63" i="95"/>
  <c r="V63" i="95" s="1"/>
  <c r="J62" i="95"/>
  <c r="J61" i="95"/>
  <c r="W61" i="95" s="1"/>
  <c r="J60" i="95"/>
  <c r="V60" i="95" s="1"/>
  <c r="J59" i="95"/>
  <c r="J58" i="95"/>
  <c r="W58" i="95" s="1"/>
  <c r="J57" i="95"/>
  <c r="W57" i="95" s="1"/>
  <c r="J56" i="95"/>
  <c r="V56" i="95" s="1"/>
  <c r="J55" i="95"/>
  <c r="V55" i="95" s="1"/>
  <c r="J54" i="95"/>
  <c r="J53" i="95"/>
  <c r="W53" i="95" s="1"/>
  <c r="J52" i="95"/>
  <c r="V52" i="95" s="1"/>
  <c r="J51" i="95"/>
  <c r="V51" i="95" s="1"/>
  <c r="J50" i="95"/>
  <c r="W50" i="95" s="1"/>
  <c r="J49" i="95"/>
  <c r="J48" i="95"/>
  <c r="V48" i="95" s="1"/>
  <c r="J47" i="95"/>
  <c r="W47" i="95" s="1"/>
  <c r="J38" i="95"/>
  <c r="J37" i="95"/>
  <c r="V37" i="95" s="1"/>
  <c r="J36" i="95"/>
  <c r="V36" i="95" s="1"/>
  <c r="J35" i="95"/>
  <c r="W35" i="95" s="1"/>
  <c r="J34" i="95"/>
  <c r="J33" i="95"/>
  <c r="V33" i="95" s="1"/>
  <c r="J32" i="95"/>
  <c r="V32" i="95" s="1"/>
  <c r="J31" i="95"/>
  <c r="V31" i="95" s="1"/>
  <c r="J30" i="95"/>
  <c r="J29" i="95"/>
  <c r="V29" i="95" s="1"/>
  <c r="J28" i="95"/>
  <c r="V28" i="95" s="1"/>
  <c r="J27" i="95"/>
  <c r="W27" i="95" s="1"/>
  <c r="J26" i="95"/>
  <c r="W26" i="95" s="1"/>
  <c r="J25" i="95"/>
  <c r="V25" i="95" s="1"/>
  <c r="J24" i="95"/>
  <c r="V24" i="95" s="1"/>
  <c r="J23" i="95"/>
  <c r="W23" i="95" s="1"/>
  <c r="J22" i="95"/>
  <c r="J21" i="95"/>
  <c r="V21" i="95" s="1"/>
  <c r="J20" i="95"/>
  <c r="V20" i="95" s="1"/>
  <c r="J19" i="95"/>
  <c r="W19" i="95" s="1"/>
  <c r="J18" i="95"/>
  <c r="W18" i="95" s="1"/>
  <c r="J17" i="95"/>
  <c r="V17" i="95" s="1"/>
  <c r="J16" i="95"/>
  <c r="V16" i="95" s="1"/>
  <c r="J15" i="95"/>
  <c r="J14" i="95"/>
  <c r="W14" i="95" s="1"/>
  <c r="J13" i="95"/>
  <c r="V13" i="95" s="1"/>
  <c r="J12" i="95"/>
  <c r="W12" i="95" s="1"/>
  <c r="J11" i="95"/>
  <c r="V11" i="95" s="1"/>
  <c r="J10" i="95"/>
  <c r="V10" i="95" s="1"/>
  <c r="J9" i="95"/>
  <c r="W9" i="95" s="1"/>
  <c r="N8" i="95"/>
  <c r="J8" i="95"/>
  <c r="V8" i="95" s="1"/>
  <c r="J7" i="95"/>
  <c r="W7" i="95" s="1"/>
  <c r="N6" i="95"/>
  <c r="J6" i="95"/>
  <c r="V6" i="95" s="1"/>
  <c r="N4" i="95"/>
  <c r="J100" i="94"/>
  <c r="J99" i="94"/>
  <c r="V99" i="94" s="1"/>
  <c r="J98" i="94"/>
  <c r="V98" i="94" s="1"/>
  <c r="J97" i="94"/>
  <c r="J96" i="94"/>
  <c r="W96" i="94" s="1"/>
  <c r="J95" i="94"/>
  <c r="V95" i="94" s="1"/>
  <c r="J94" i="94"/>
  <c r="V94" i="94" s="1"/>
  <c r="J93" i="94"/>
  <c r="W93" i="94" s="1"/>
  <c r="J92" i="94"/>
  <c r="W92" i="94" s="1"/>
  <c r="J91" i="94"/>
  <c r="V91" i="94" s="1"/>
  <c r="J90" i="94"/>
  <c r="V90" i="94" s="1"/>
  <c r="J89" i="94"/>
  <c r="W89" i="94" s="1"/>
  <c r="J88" i="94"/>
  <c r="W88" i="94" s="1"/>
  <c r="J87" i="94"/>
  <c r="V87" i="94" s="1"/>
  <c r="J86" i="94"/>
  <c r="V86" i="94" s="1"/>
  <c r="J85" i="94"/>
  <c r="V85" i="94" s="1"/>
  <c r="J84" i="94"/>
  <c r="W84" i="94" s="1"/>
  <c r="J83" i="94"/>
  <c r="V83" i="94" s="1"/>
  <c r="J82" i="94"/>
  <c r="V82" i="94" s="1"/>
  <c r="J81" i="94"/>
  <c r="V81" i="94" s="1"/>
  <c r="J80" i="94"/>
  <c r="W80" i="94" s="1"/>
  <c r="J79" i="94"/>
  <c r="V79" i="94" s="1"/>
  <c r="J78" i="94"/>
  <c r="J69" i="94"/>
  <c r="W69" i="94" s="1"/>
  <c r="J68" i="94"/>
  <c r="V68" i="94" s="1"/>
  <c r="W67" i="94"/>
  <c r="J67" i="94"/>
  <c r="V67" i="94" s="1"/>
  <c r="J66" i="94"/>
  <c r="V66" i="94" s="1"/>
  <c r="J65" i="94"/>
  <c r="W65" i="94" s="1"/>
  <c r="J64" i="94"/>
  <c r="V64" i="94" s="1"/>
  <c r="J63" i="94"/>
  <c r="V63" i="94" s="1"/>
  <c r="J62" i="94"/>
  <c r="V62" i="94" s="1"/>
  <c r="J61" i="94"/>
  <c r="W61" i="94" s="1"/>
  <c r="J60" i="94"/>
  <c r="V60" i="94" s="1"/>
  <c r="J59" i="94"/>
  <c r="V59" i="94" s="1"/>
  <c r="J58" i="94"/>
  <c r="V58" i="94" s="1"/>
  <c r="J57" i="94"/>
  <c r="W57" i="94" s="1"/>
  <c r="J56" i="94"/>
  <c r="V56" i="94" s="1"/>
  <c r="J55" i="94"/>
  <c r="V55" i="94" s="1"/>
  <c r="J54" i="94"/>
  <c r="V54" i="94" s="1"/>
  <c r="J53" i="94"/>
  <c r="W53" i="94" s="1"/>
  <c r="J52" i="94"/>
  <c r="V52" i="94" s="1"/>
  <c r="J51" i="94"/>
  <c r="V51" i="94" s="1"/>
  <c r="J50" i="94"/>
  <c r="V50" i="94" s="1"/>
  <c r="J49" i="94"/>
  <c r="W49" i="94" s="1"/>
  <c r="J48" i="94"/>
  <c r="V48" i="94" s="1"/>
  <c r="J47" i="94"/>
  <c r="J38" i="94"/>
  <c r="W38" i="94" s="1"/>
  <c r="J37" i="94"/>
  <c r="V37" i="94" s="1"/>
  <c r="J36" i="94"/>
  <c r="V36" i="94" s="1"/>
  <c r="J35" i="94"/>
  <c r="J34" i="94"/>
  <c r="W34" i="94" s="1"/>
  <c r="J33" i="94"/>
  <c r="V33" i="94" s="1"/>
  <c r="J32" i="94"/>
  <c r="V32" i="94" s="1"/>
  <c r="J31" i="94"/>
  <c r="J30" i="94"/>
  <c r="W30" i="94" s="1"/>
  <c r="J29" i="94"/>
  <c r="V29" i="94" s="1"/>
  <c r="J28" i="94"/>
  <c r="V28" i="94" s="1"/>
  <c r="J27" i="94"/>
  <c r="J26" i="94"/>
  <c r="W26" i="94" s="1"/>
  <c r="J25" i="94"/>
  <c r="V25" i="94" s="1"/>
  <c r="J24" i="94"/>
  <c r="J23" i="94"/>
  <c r="W23" i="94" s="1"/>
  <c r="J22" i="94"/>
  <c r="W22" i="94" s="1"/>
  <c r="J21" i="94"/>
  <c r="V21" i="94" s="1"/>
  <c r="J20" i="94"/>
  <c r="V20" i="94" s="1"/>
  <c r="J19" i="94"/>
  <c r="W19" i="94" s="1"/>
  <c r="J18" i="94"/>
  <c r="W18" i="94" s="1"/>
  <c r="J17" i="94"/>
  <c r="V17" i="94" s="1"/>
  <c r="J16" i="94"/>
  <c r="V16" i="94" s="1"/>
  <c r="J15" i="94"/>
  <c r="J14" i="94"/>
  <c r="W14" i="94" s="1"/>
  <c r="J13" i="94"/>
  <c r="V13" i="94" s="1"/>
  <c r="J12" i="94"/>
  <c r="V12" i="94" s="1"/>
  <c r="J11" i="94"/>
  <c r="V11" i="94" s="1"/>
  <c r="W10" i="94"/>
  <c r="J10" i="94"/>
  <c r="V10" i="94" s="1"/>
  <c r="J9" i="94"/>
  <c r="N8" i="94"/>
  <c r="J8" i="94"/>
  <c r="V8" i="94" s="1"/>
  <c r="J7" i="94"/>
  <c r="W7" i="94" s="1"/>
  <c r="N6" i="94"/>
  <c r="J6" i="94"/>
  <c r="V6" i="94" s="1"/>
  <c r="N4" i="94"/>
  <c r="J100" i="93"/>
  <c r="J99" i="93"/>
  <c r="V99" i="93" s="1"/>
  <c r="J98" i="93"/>
  <c r="W98" i="93" s="1"/>
  <c r="J97" i="93"/>
  <c r="V97" i="93" s="1"/>
  <c r="J96" i="93"/>
  <c r="V96" i="93" s="1"/>
  <c r="J95" i="93"/>
  <c r="V95" i="93" s="1"/>
  <c r="V94" i="93"/>
  <c r="J94" i="93"/>
  <c r="W94" i="93" s="1"/>
  <c r="J93" i="93"/>
  <c r="V93" i="93" s="1"/>
  <c r="J92" i="93"/>
  <c r="V92" i="93" s="1"/>
  <c r="J91" i="93"/>
  <c r="V91" i="93" s="1"/>
  <c r="J90" i="93"/>
  <c r="W90" i="93" s="1"/>
  <c r="J89" i="93"/>
  <c r="V89" i="93" s="1"/>
  <c r="J88" i="93"/>
  <c r="V88" i="93" s="1"/>
  <c r="J87" i="93"/>
  <c r="V87" i="93" s="1"/>
  <c r="J86" i="93"/>
  <c r="W86" i="93" s="1"/>
  <c r="J85" i="93"/>
  <c r="V85" i="93" s="1"/>
  <c r="J84" i="93"/>
  <c r="V84" i="93" s="1"/>
  <c r="J83" i="93"/>
  <c r="V83" i="93" s="1"/>
  <c r="J82" i="93"/>
  <c r="W82" i="93" s="1"/>
  <c r="J81" i="93"/>
  <c r="V81" i="93" s="1"/>
  <c r="J80" i="93"/>
  <c r="V80" i="93" s="1"/>
  <c r="J79" i="93"/>
  <c r="V79" i="93" s="1"/>
  <c r="J78" i="93"/>
  <c r="V78" i="93" s="1"/>
  <c r="J69" i="93"/>
  <c r="V69" i="93" s="1"/>
  <c r="V68" i="93"/>
  <c r="J68" i="93"/>
  <c r="W68" i="93" s="1"/>
  <c r="J67" i="93"/>
  <c r="W67" i="93" s="1"/>
  <c r="J66" i="93"/>
  <c r="V66" i="93" s="1"/>
  <c r="J65" i="93"/>
  <c r="V65" i="93" s="1"/>
  <c r="J64" i="93"/>
  <c r="V64" i="93" s="1"/>
  <c r="J63" i="93"/>
  <c r="W63" i="93" s="1"/>
  <c r="J62" i="93"/>
  <c r="V62" i="93" s="1"/>
  <c r="J61" i="93"/>
  <c r="V61" i="93" s="1"/>
  <c r="J60" i="93"/>
  <c r="V60" i="93" s="1"/>
  <c r="J59" i="93"/>
  <c r="W59" i="93" s="1"/>
  <c r="J58" i="93"/>
  <c r="V58" i="93" s="1"/>
  <c r="J57" i="93"/>
  <c r="V57" i="93" s="1"/>
  <c r="J56" i="93"/>
  <c r="V56" i="93" s="1"/>
  <c r="J55" i="93"/>
  <c r="W55" i="93" s="1"/>
  <c r="J54" i="93"/>
  <c r="V54" i="93" s="1"/>
  <c r="J53" i="93"/>
  <c r="V53" i="93" s="1"/>
  <c r="J52" i="93"/>
  <c r="V52" i="93" s="1"/>
  <c r="J51" i="93"/>
  <c r="W51" i="93" s="1"/>
  <c r="J50" i="93"/>
  <c r="J49" i="93"/>
  <c r="V49" i="93" s="1"/>
  <c r="J48" i="93"/>
  <c r="J47" i="93"/>
  <c r="W47" i="93" s="1"/>
  <c r="J38" i="93"/>
  <c r="J37" i="93"/>
  <c r="V37" i="93" s="1"/>
  <c r="J36" i="93"/>
  <c r="W36" i="93" s="1"/>
  <c r="J35" i="93"/>
  <c r="V35" i="93" s="1"/>
  <c r="J34" i="93"/>
  <c r="J33" i="93"/>
  <c r="V33" i="93" s="1"/>
  <c r="V32" i="93"/>
  <c r="J32" i="93"/>
  <c r="W32" i="93" s="1"/>
  <c r="J31" i="93"/>
  <c r="V31" i="93" s="1"/>
  <c r="J30" i="93"/>
  <c r="J29" i="93"/>
  <c r="W29" i="93" s="1"/>
  <c r="J28" i="93"/>
  <c r="W28" i="93" s="1"/>
  <c r="J27" i="93"/>
  <c r="V27" i="93" s="1"/>
  <c r="J26" i="93"/>
  <c r="W25" i="93"/>
  <c r="J25" i="93"/>
  <c r="V25" i="93" s="1"/>
  <c r="J24" i="93"/>
  <c r="W24" i="93" s="1"/>
  <c r="J23" i="93"/>
  <c r="V23" i="93" s="1"/>
  <c r="J22" i="93"/>
  <c r="J21" i="93"/>
  <c r="V21" i="93" s="1"/>
  <c r="J20" i="93"/>
  <c r="W20" i="93" s="1"/>
  <c r="J19" i="93"/>
  <c r="V19" i="93" s="1"/>
  <c r="J18" i="93"/>
  <c r="V18" i="93" s="1"/>
  <c r="J17" i="93"/>
  <c r="V17" i="93" s="1"/>
  <c r="J16" i="93"/>
  <c r="W16" i="93" s="1"/>
  <c r="J15" i="93"/>
  <c r="V15" i="93" s="1"/>
  <c r="J14" i="93"/>
  <c r="V14" i="93" s="1"/>
  <c r="J13" i="93"/>
  <c r="W13" i="93" s="1"/>
  <c r="J12" i="93"/>
  <c r="W12" i="93" s="1"/>
  <c r="J11" i="93"/>
  <c r="W11" i="93" s="1"/>
  <c r="J10" i="93"/>
  <c r="V10" i="93" s="1"/>
  <c r="J9" i="93"/>
  <c r="V9" i="93" s="1"/>
  <c r="N8" i="93"/>
  <c r="J8" i="93"/>
  <c r="J7" i="93"/>
  <c r="V7" i="93" s="1"/>
  <c r="N6" i="93"/>
  <c r="J6" i="93"/>
  <c r="V6" i="93" s="1"/>
  <c r="N4" i="93"/>
  <c r="J79" i="92"/>
  <c r="W79" i="92" s="1"/>
  <c r="J100" i="92"/>
  <c r="W100" i="92" s="1"/>
  <c r="J99" i="92"/>
  <c r="V99" i="92" s="1"/>
  <c r="J98" i="92"/>
  <c r="V98" i="92" s="1"/>
  <c r="J97" i="92"/>
  <c r="V97" i="92" s="1"/>
  <c r="V96" i="92"/>
  <c r="J96" i="92"/>
  <c r="W96" i="92" s="1"/>
  <c r="J95" i="92"/>
  <c r="W95" i="92" s="1"/>
  <c r="J94" i="92"/>
  <c r="V94" i="92" s="1"/>
  <c r="J93" i="92"/>
  <c r="V93" i="92" s="1"/>
  <c r="J92" i="92"/>
  <c r="W92" i="92" s="1"/>
  <c r="J91" i="92"/>
  <c r="W91" i="92" s="1"/>
  <c r="J90" i="92"/>
  <c r="V90" i="92" s="1"/>
  <c r="J89" i="92"/>
  <c r="V89" i="92" s="1"/>
  <c r="J88" i="92"/>
  <c r="V88" i="92" s="1"/>
  <c r="J87" i="92"/>
  <c r="W87" i="92" s="1"/>
  <c r="J86" i="92"/>
  <c r="V86" i="92" s="1"/>
  <c r="J85" i="92"/>
  <c r="V85" i="92" s="1"/>
  <c r="J84" i="92"/>
  <c r="V84" i="92" s="1"/>
  <c r="J83" i="92"/>
  <c r="W83" i="92" s="1"/>
  <c r="J82" i="92"/>
  <c r="V82" i="92" s="1"/>
  <c r="J81" i="92"/>
  <c r="W81" i="92" s="1"/>
  <c r="J80" i="92"/>
  <c r="V80" i="92" s="1"/>
  <c r="J78" i="92"/>
  <c r="J69" i="92"/>
  <c r="V69" i="92" s="1"/>
  <c r="J68" i="92"/>
  <c r="W68" i="92" s="1"/>
  <c r="J67" i="92"/>
  <c r="V67" i="92" s="1"/>
  <c r="J66" i="92"/>
  <c r="V66" i="92" s="1"/>
  <c r="J65" i="92"/>
  <c r="W65" i="92" s="1"/>
  <c r="J64" i="92"/>
  <c r="W64" i="92" s="1"/>
  <c r="J63" i="92"/>
  <c r="V63" i="92" s="1"/>
  <c r="J62" i="92"/>
  <c r="W62" i="92" s="1"/>
  <c r="J61" i="92"/>
  <c r="V61" i="92" s="1"/>
  <c r="J60" i="92"/>
  <c r="V60" i="92" s="1"/>
  <c r="J59" i="92"/>
  <c r="V59" i="92" s="1"/>
  <c r="J58" i="92"/>
  <c r="W58" i="92" s="1"/>
  <c r="J57" i="92"/>
  <c r="V57" i="92" s="1"/>
  <c r="J56" i="92"/>
  <c r="J55" i="92"/>
  <c r="V55" i="92" s="1"/>
  <c r="J54" i="92"/>
  <c r="V54" i="92" s="1"/>
  <c r="J53" i="92"/>
  <c r="W53" i="92" s="1"/>
  <c r="J52" i="92"/>
  <c r="W52" i="92" s="1"/>
  <c r="J51" i="92"/>
  <c r="V51" i="92" s="1"/>
  <c r="J50" i="92"/>
  <c r="V50" i="92" s="1"/>
  <c r="J49" i="92"/>
  <c r="V49" i="92" s="1"/>
  <c r="J48" i="92"/>
  <c r="W48" i="92" s="1"/>
  <c r="J47" i="92"/>
  <c r="J38" i="92"/>
  <c r="W38" i="92" s="1"/>
  <c r="J37" i="92"/>
  <c r="V37" i="92" s="1"/>
  <c r="J36" i="92"/>
  <c r="V36" i="92" s="1"/>
  <c r="J35" i="92"/>
  <c r="W35" i="92" s="1"/>
  <c r="J34" i="92"/>
  <c r="W34" i="92" s="1"/>
  <c r="J33" i="92"/>
  <c r="V33" i="92" s="1"/>
  <c r="J32" i="92"/>
  <c r="V32" i="92" s="1"/>
  <c r="J31" i="92"/>
  <c r="V31" i="92" s="1"/>
  <c r="J30" i="92"/>
  <c r="W30" i="92" s="1"/>
  <c r="J29" i="92"/>
  <c r="V29" i="92" s="1"/>
  <c r="J28" i="92"/>
  <c r="V28" i="92" s="1"/>
  <c r="J27" i="92"/>
  <c r="W27" i="92" s="1"/>
  <c r="J26" i="92"/>
  <c r="V26" i="92" s="1"/>
  <c r="J25" i="92"/>
  <c r="V25" i="92" s="1"/>
  <c r="J24" i="92"/>
  <c r="V24" i="92" s="1"/>
  <c r="J23" i="92"/>
  <c r="W23" i="92" s="1"/>
  <c r="J22" i="92"/>
  <c r="V22" i="92" s="1"/>
  <c r="J21" i="92"/>
  <c r="V21" i="92" s="1"/>
  <c r="J20" i="92"/>
  <c r="V20" i="92" s="1"/>
  <c r="J19" i="92"/>
  <c r="W19" i="92" s="1"/>
  <c r="J18" i="92"/>
  <c r="V18" i="92" s="1"/>
  <c r="J17" i="92"/>
  <c r="V17" i="92" s="1"/>
  <c r="J16" i="92"/>
  <c r="V16" i="92" s="1"/>
  <c r="J15" i="92"/>
  <c r="J14" i="92"/>
  <c r="V14" i="92" s="1"/>
  <c r="J13" i="92"/>
  <c r="W13" i="92" s="1"/>
  <c r="J12" i="92"/>
  <c r="V12" i="92" s="1"/>
  <c r="J11" i="92"/>
  <c r="V11" i="92" s="1"/>
  <c r="J10" i="92"/>
  <c r="V10" i="92" s="1"/>
  <c r="J9" i="92"/>
  <c r="V9" i="92" s="1"/>
  <c r="N8" i="92"/>
  <c r="J8" i="92"/>
  <c r="V8" i="92" s="1"/>
  <c r="J7" i="92"/>
  <c r="W7" i="92" s="1"/>
  <c r="N6" i="92"/>
  <c r="J6" i="92"/>
  <c r="V6" i="92" s="1"/>
  <c r="N4" i="92"/>
  <c r="J100" i="91"/>
  <c r="V100" i="91" s="1"/>
  <c r="J99" i="91"/>
  <c r="V99" i="91" s="1"/>
  <c r="J98" i="91"/>
  <c r="V98" i="91" s="1"/>
  <c r="J97" i="91"/>
  <c r="V97" i="91" s="1"/>
  <c r="J96" i="91"/>
  <c r="W96" i="91" s="1"/>
  <c r="J95" i="91"/>
  <c r="V95" i="91" s="1"/>
  <c r="J94" i="91"/>
  <c r="V94" i="91" s="1"/>
  <c r="J93" i="91"/>
  <c r="J92" i="91"/>
  <c r="V92" i="91" s="1"/>
  <c r="J91" i="91"/>
  <c r="V91" i="91" s="1"/>
  <c r="J90" i="91"/>
  <c r="V90" i="91" s="1"/>
  <c r="J89" i="91"/>
  <c r="V89" i="91" s="1"/>
  <c r="J88" i="91"/>
  <c r="V88" i="91" s="1"/>
  <c r="J87" i="91"/>
  <c r="V87" i="91" s="1"/>
  <c r="J86" i="91"/>
  <c r="V86" i="91" s="1"/>
  <c r="J85" i="91"/>
  <c r="V85" i="91" s="1"/>
  <c r="J84" i="91"/>
  <c r="V84" i="91" s="1"/>
  <c r="J83" i="91"/>
  <c r="V83" i="91" s="1"/>
  <c r="J82" i="91"/>
  <c r="V82" i="91" s="1"/>
  <c r="J81" i="91"/>
  <c r="V81" i="91" s="1"/>
  <c r="J80" i="91"/>
  <c r="J79" i="91"/>
  <c r="V79" i="91" s="1"/>
  <c r="J78" i="91"/>
  <c r="J69" i="91"/>
  <c r="W69" i="91" s="1"/>
  <c r="J68" i="91"/>
  <c r="V68" i="91" s="1"/>
  <c r="J67" i="91"/>
  <c r="V67" i="91" s="1"/>
  <c r="J66" i="91"/>
  <c r="V66" i="91" s="1"/>
  <c r="J65" i="91"/>
  <c r="W65" i="91" s="1"/>
  <c r="J64" i="91"/>
  <c r="V64" i="91" s="1"/>
  <c r="J63" i="91"/>
  <c r="V63" i="91" s="1"/>
  <c r="J62" i="91"/>
  <c r="V62" i="91" s="1"/>
  <c r="J61" i="91"/>
  <c r="W61" i="91" s="1"/>
  <c r="J60" i="91"/>
  <c r="V60" i="91" s="1"/>
  <c r="J59" i="91"/>
  <c r="V59" i="91" s="1"/>
  <c r="J58" i="91"/>
  <c r="V58" i="91" s="1"/>
  <c r="J57" i="91"/>
  <c r="V57" i="91" s="1"/>
  <c r="J56" i="91"/>
  <c r="V56" i="91" s="1"/>
  <c r="J55" i="91"/>
  <c r="V55" i="91" s="1"/>
  <c r="J54" i="91"/>
  <c r="V54" i="91" s="1"/>
  <c r="J53" i="91"/>
  <c r="V53" i="91" s="1"/>
  <c r="J52" i="91"/>
  <c r="V52" i="91" s="1"/>
  <c r="J51" i="91"/>
  <c r="V51" i="91" s="1"/>
  <c r="J50" i="91"/>
  <c r="V50" i="91" s="1"/>
  <c r="J49" i="91"/>
  <c r="V49" i="91" s="1"/>
  <c r="J48" i="91"/>
  <c r="V48" i="91" s="1"/>
  <c r="J47" i="91"/>
  <c r="J38" i="91"/>
  <c r="V38" i="91" s="1"/>
  <c r="J37" i="91"/>
  <c r="V37" i="91" s="1"/>
  <c r="J36" i="91"/>
  <c r="V36" i="91" s="1"/>
  <c r="J35" i="91"/>
  <c r="V35" i="91" s="1"/>
  <c r="J34" i="91"/>
  <c r="W34" i="91" s="1"/>
  <c r="J33" i="91"/>
  <c r="V33" i="91" s="1"/>
  <c r="J32" i="91"/>
  <c r="V32" i="91" s="1"/>
  <c r="J31" i="91"/>
  <c r="V31" i="91" s="1"/>
  <c r="J30" i="91"/>
  <c r="W30" i="91" s="1"/>
  <c r="J29" i="91"/>
  <c r="V29" i="91" s="1"/>
  <c r="J28" i="91"/>
  <c r="V28" i="91" s="1"/>
  <c r="J27" i="91"/>
  <c r="V27" i="91" s="1"/>
  <c r="J26" i="91"/>
  <c r="W26" i="91" s="1"/>
  <c r="J25" i="91"/>
  <c r="V25" i="91" s="1"/>
  <c r="J24" i="91"/>
  <c r="V24" i="91" s="1"/>
  <c r="J23" i="91"/>
  <c r="V23" i="91" s="1"/>
  <c r="J22" i="91"/>
  <c r="J21" i="91"/>
  <c r="V21" i="91" s="1"/>
  <c r="J20" i="91"/>
  <c r="V20" i="91" s="1"/>
  <c r="J19" i="91"/>
  <c r="V19" i="91" s="1"/>
  <c r="J18" i="91"/>
  <c r="V18" i="91" s="1"/>
  <c r="J17" i="91"/>
  <c r="V17" i="91" s="1"/>
  <c r="J16" i="91"/>
  <c r="V16" i="91" s="1"/>
  <c r="J15" i="91"/>
  <c r="V15" i="91" s="1"/>
  <c r="J14" i="91"/>
  <c r="V14" i="91" s="1"/>
  <c r="J13" i="91"/>
  <c r="V13" i="91" s="1"/>
  <c r="J12" i="91"/>
  <c r="V12" i="91" s="1"/>
  <c r="J11" i="91"/>
  <c r="V11" i="91" s="1"/>
  <c r="J10" i="91"/>
  <c r="V10" i="91" s="1"/>
  <c r="J9" i="91"/>
  <c r="V9" i="91" s="1"/>
  <c r="N8" i="91"/>
  <c r="J8" i="91"/>
  <c r="V8" i="91" s="1"/>
  <c r="J7" i="91"/>
  <c r="W7" i="91" s="1"/>
  <c r="N6" i="91"/>
  <c r="J6" i="91"/>
  <c r="N4" i="91"/>
  <c r="W31" i="91" l="1"/>
  <c r="V34" i="91"/>
  <c r="W31" i="92"/>
  <c r="V38" i="92"/>
  <c r="W97" i="92"/>
  <c r="V100" i="92"/>
  <c r="W33" i="93"/>
  <c r="V67" i="93"/>
  <c r="W69" i="93"/>
  <c r="W99" i="93"/>
  <c r="V34" i="94"/>
  <c r="V96" i="94"/>
  <c r="V9" i="95"/>
  <c r="W31" i="95"/>
  <c r="W35" i="97"/>
  <c r="W28" i="99"/>
  <c r="V94" i="99"/>
  <c r="V96" i="99"/>
  <c r="V11" i="102"/>
  <c r="V37" i="102"/>
  <c r="W47" i="102"/>
  <c r="V54" i="102"/>
  <c r="V36" i="104"/>
  <c r="V38" i="104"/>
  <c r="V49" i="104"/>
  <c r="V90" i="104"/>
  <c r="V11" i="105"/>
  <c r="W13" i="105"/>
  <c r="V16" i="105"/>
  <c r="V31" i="105"/>
  <c r="W36" i="105"/>
  <c r="V108" i="108"/>
  <c r="W63" i="109"/>
  <c r="V97" i="109"/>
  <c r="V13" i="93"/>
  <c r="V66" i="95"/>
  <c r="V69" i="95"/>
  <c r="V88" i="95"/>
  <c r="W27" i="96"/>
  <c r="V36" i="96"/>
  <c r="V38" i="96"/>
  <c r="V61" i="96"/>
  <c r="V100" i="97"/>
  <c r="V9" i="98"/>
  <c r="V16" i="98"/>
  <c r="V32" i="98"/>
  <c r="V82" i="98"/>
  <c r="W85" i="98"/>
  <c r="V34" i="99"/>
  <c r="W85" i="99"/>
  <c r="W32" i="100"/>
  <c r="V35" i="100"/>
  <c r="W32" i="103"/>
  <c r="V38" i="103"/>
  <c r="V53" i="103"/>
  <c r="V63" i="105"/>
  <c r="V36" i="107"/>
  <c r="W67" i="107"/>
  <c r="V70" i="107"/>
  <c r="V26" i="91"/>
  <c r="W38" i="91"/>
  <c r="W53" i="91"/>
  <c r="W84" i="91"/>
  <c r="V26" i="95"/>
  <c r="W32" i="95"/>
  <c r="V35" i="95"/>
  <c r="W36" i="97"/>
  <c r="W27" i="99"/>
  <c r="V32" i="99"/>
  <c r="V38" i="99"/>
  <c r="W66" i="100"/>
  <c r="W97" i="100"/>
  <c r="W32" i="101"/>
  <c r="V35" i="101"/>
  <c r="V47" i="93"/>
  <c r="V30" i="94"/>
  <c r="V50" i="95"/>
  <c r="V53" i="95"/>
  <c r="W97" i="95"/>
  <c r="V100" i="95"/>
  <c r="W32" i="96"/>
  <c r="V35" i="96"/>
  <c r="W28" i="97"/>
  <c r="V98" i="98"/>
  <c r="V69" i="99"/>
  <c r="V84" i="99"/>
  <c r="V90" i="99"/>
  <c r="W28" i="100"/>
  <c r="V93" i="101"/>
  <c r="W62" i="103"/>
  <c r="W81" i="103"/>
  <c r="V22" i="104"/>
  <c r="W51" i="104"/>
  <c r="W62" i="104"/>
  <c r="W33" i="105"/>
  <c r="V50" i="105"/>
  <c r="V86" i="105"/>
  <c r="V89" i="105"/>
  <c r="W20" i="107"/>
  <c r="V23" i="107"/>
  <c r="V26" i="108"/>
  <c r="V24" i="109"/>
  <c r="V35" i="109"/>
  <c r="V69" i="109"/>
  <c r="W14" i="91"/>
  <c r="W27" i="91"/>
  <c r="V30" i="91"/>
  <c r="V61" i="91"/>
  <c r="V27" i="92"/>
  <c r="V35" i="92"/>
  <c r="V81" i="92"/>
  <c r="W84" i="92"/>
  <c r="V29" i="93"/>
  <c r="W37" i="93"/>
  <c r="V55" i="93"/>
  <c r="W32" i="94"/>
  <c r="V38" i="94"/>
  <c r="V49" i="94"/>
  <c r="V93" i="94"/>
  <c r="W36" i="95"/>
  <c r="V85" i="95"/>
  <c r="V7" i="96"/>
  <c r="V31" i="96"/>
  <c r="V27" i="97"/>
  <c r="W20" i="98"/>
  <c r="V26" i="98"/>
  <c r="V28" i="98"/>
  <c r="V30" i="98"/>
  <c r="V35" i="98"/>
  <c r="V100" i="98"/>
  <c r="V67" i="99"/>
  <c r="W11" i="101"/>
  <c r="V14" i="101"/>
  <c r="V36" i="101"/>
  <c r="V38" i="101"/>
  <c r="V63" i="101"/>
  <c r="W28" i="102"/>
  <c r="W33" i="102"/>
  <c r="V36" i="102"/>
  <c r="V67" i="102"/>
  <c r="W27" i="103"/>
  <c r="W16" i="104"/>
  <c r="V82" i="104"/>
  <c r="W85" i="104"/>
  <c r="V88" i="104"/>
  <c r="V55" i="105"/>
  <c r="V97" i="105"/>
  <c r="W20" i="106"/>
  <c r="V23" i="106"/>
  <c r="W97" i="106"/>
  <c r="V39" i="107"/>
  <c r="V74" i="107"/>
  <c r="W106" i="108"/>
  <c r="V8" i="99"/>
  <c r="V8" i="100"/>
  <c r="V58" i="101"/>
  <c r="W90" i="101"/>
  <c r="W27" i="104"/>
  <c r="W32" i="104"/>
  <c r="V53" i="104"/>
  <c r="V58" i="105"/>
  <c r="W95" i="105"/>
  <c r="W24" i="107"/>
  <c r="V27" i="107"/>
  <c r="V62" i="107"/>
  <c r="V35" i="108"/>
  <c r="V69" i="108"/>
  <c r="W35" i="91"/>
  <c r="W62" i="91"/>
  <c r="W100" i="91"/>
  <c r="V11" i="93"/>
  <c r="W20" i="94"/>
  <c r="W81" i="94"/>
  <c r="V84" i="94"/>
  <c r="W28" i="95"/>
  <c r="W55" i="95"/>
  <c r="V58" i="95"/>
  <c r="W11" i="96"/>
  <c r="V65" i="96"/>
  <c r="V96" i="96"/>
  <c r="W32" i="97"/>
  <c r="W98" i="97"/>
  <c r="V27" i="98"/>
  <c r="V34" i="98"/>
  <c r="W66" i="98"/>
  <c r="V36" i="99"/>
  <c r="V92" i="99"/>
  <c r="V100" i="99"/>
  <c r="Q10" i="111"/>
  <c r="W51" i="110"/>
  <c r="P4" i="110" s="1"/>
  <c r="P10" i="110" s="1"/>
  <c r="V51" i="110"/>
  <c r="O4" i="110" s="1"/>
  <c r="R4" i="110" s="1"/>
  <c r="V82" i="110"/>
  <c r="O6" i="110" s="1"/>
  <c r="V113" i="110"/>
  <c r="O8" i="110" s="1"/>
  <c r="V100" i="93"/>
  <c r="W100" i="93"/>
  <c r="V24" i="94"/>
  <c r="W24" i="94"/>
  <c r="W38" i="95"/>
  <c r="V38" i="95"/>
  <c r="W62" i="95"/>
  <c r="V62" i="95"/>
  <c r="W98" i="99"/>
  <c r="V98" i="99"/>
  <c r="W28" i="101"/>
  <c r="V28" i="101"/>
  <c r="W22" i="103"/>
  <c r="V22" i="103"/>
  <c r="V91" i="105"/>
  <c r="W91" i="105"/>
  <c r="W49" i="91"/>
  <c r="V80" i="91"/>
  <c r="W80" i="91"/>
  <c r="V34" i="92"/>
  <c r="V62" i="92"/>
  <c r="W88" i="92"/>
  <c r="V30" i="93"/>
  <c r="W30" i="93"/>
  <c r="V59" i="93"/>
  <c r="W31" i="94"/>
  <c r="V31" i="94"/>
  <c r="W36" i="94"/>
  <c r="V65" i="94"/>
  <c r="V59" i="95"/>
  <c r="W59" i="95"/>
  <c r="W28" i="96"/>
  <c r="V28" i="96"/>
  <c r="V63" i="97"/>
  <c r="W78" i="99"/>
  <c r="V78" i="99"/>
  <c r="V66" i="101"/>
  <c r="W66" i="101"/>
  <c r="V97" i="103"/>
  <c r="W97" i="103"/>
  <c r="W69" i="104"/>
  <c r="V69" i="104"/>
  <c r="W62" i="105"/>
  <c r="V62" i="105"/>
  <c r="W82" i="105"/>
  <c r="V82" i="105"/>
  <c r="W98" i="105"/>
  <c r="V98" i="105"/>
  <c r="W31" i="107"/>
  <c r="V31" i="107"/>
  <c r="W50" i="109"/>
  <c r="V50" i="109"/>
  <c r="W102" i="109"/>
  <c r="V102" i="109"/>
  <c r="V106" i="109"/>
  <c r="W106" i="109"/>
  <c r="W8" i="91"/>
  <c r="W18" i="91"/>
  <c r="W22" i="91"/>
  <c r="V22" i="91"/>
  <c r="W66" i="91"/>
  <c r="V69" i="91"/>
  <c r="V30" i="92"/>
  <c r="W56" i="92"/>
  <c r="V56" i="92"/>
  <c r="V24" i="93"/>
  <c r="V26" i="93"/>
  <c r="W26" i="93"/>
  <c r="V36" i="93"/>
  <c r="W15" i="94"/>
  <c r="V15" i="94"/>
  <c r="W100" i="94"/>
  <c r="V100" i="94"/>
  <c r="V27" i="95"/>
  <c r="W30" i="95"/>
  <c r="V30" i="95"/>
  <c r="W54" i="95"/>
  <c r="V54" i="95"/>
  <c r="V81" i="95"/>
  <c r="V23" i="96"/>
  <c r="V26" i="96"/>
  <c r="W88" i="96"/>
  <c r="V88" i="96"/>
  <c r="W31" i="98"/>
  <c r="V31" i="98"/>
  <c r="W65" i="99"/>
  <c r="V65" i="99"/>
  <c r="V11" i="100"/>
  <c r="W11" i="100"/>
  <c r="W23" i="100"/>
  <c r="V23" i="100"/>
  <c r="V57" i="103"/>
  <c r="W82" i="103"/>
  <c r="V82" i="103"/>
  <c r="W90" i="103"/>
  <c r="V90" i="103"/>
  <c r="V47" i="104"/>
  <c r="W47" i="104"/>
  <c r="V66" i="104"/>
  <c r="W66" i="104"/>
  <c r="W20" i="105"/>
  <c r="V20" i="105"/>
  <c r="V54" i="105"/>
  <c r="V59" i="105"/>
  <c r="W59" i="105"/>
  <c r="V28" i="107"/>
  <c r="W28" i="107"/>
  <c r="W15" i="92"/>
  <c r="V15" i="92"/>
  <c r="W48" i="93"/>
  <c r="V48" i="93"/>
  <c r="W15" i="95"/>
  <c r="V15" i="95"/>
  <c r="V15" i="98"/>
  <c r="W15" i="98"/>
  <c r="W67" i="98"/>
  <c r="V67" i="98"/>
  <c r="W22" i="99"/>
  <c r="V22" i="99"/>
  <c r="V82" i="100"/>
  <c r="W82" i="100"/>
  <c r="W8" i="101"/>
  <c r="V8" i="101"/>
  <c r="V59" i="101"/>
  <c r="W59" i="101"/>
  <c r="V68" i="102"/>
  <c r="W68" i="102"/>
  <c r="W100" i="103"/>
  <c r="V100" i="103"/>
  <c r="W24" i="108"/>
  <c r="V24" i="108"/>
  <c r="V28" i="93"/>
  <c r="V38" i="93"/>
  <c r="W38" i="93"/>
  <c r="V98" i="93"/>
  <c r="W28" i="94"/>
  <c r="W34" i="95"/>
  <c r="V34" i="95"/>
  <c r="W84" i="95"/>
  <c r="V84" i="95"/>
  <c r="V94" i="96"/>
  <c r="V100" i="96"/>
  <c r="W10" i="97"/>
  <c r="V10" i="97"/>
  <c r="W67" i="97"/>
  <c r="V67" i="97"/>
  <c r="W93" i="97"/>
  <c r="W38" i="98"/>
  <c r="V38" i="98"/>
  <c r="V98" i="100"/>
  <c r="W98" i="100"/>
  <c r="V49" i="101"/>
  <c r="V93" i="91"/>
  <c r="W93" i="91"/>
  <c r="V22" i="93"/>
  <c r="W22" i="93"/>
  <c r="V34" i="93"/>
  <c r="W34" i="93"/>
  <c r="W9" i="94"/>
  <c r="V9" i="94"/>
  <c r="W27" i="94"/>
  <c r="V27" i="94"/>
  <c r="W35" i="94"/>
  <c r="V35" i="94"/>
  <c r="V97" i="94"/>
  <c r="W97" i="94"/>
  <c r="W22" i="95"/>
  <c r="V22" i="95"/>
  <c r="W49" i="95"/>
  <c r="V49" i="95"/>
  <c r="W65" i="95"/>
  <c r="V65" i="95"/>
  <c r="W10" i="96"/>
  <c r="V10" i="96"/>
  <c r="W30" i="96"/>
  <c r="V30" i="96"/>
  <c r="W69" i="96"/>
  <c r="V69" i="96"/>
  <c r="V16" i="97"/>
  <c r="W16" i="97"/>
  <c r="W36" i="98"/>
  <c r="V36" i="98"/>
  <c r="W59" i="98"/>
  <c r="V59" i="98"/>
  <c r="W96" i="98"/>
  <c r="V96" i="98"/>
  <c r="W24" i="99"/>
  <c r="V24" i="99"/>
  <c r="W62" i="99"/>
  <c r="V62" i="99"/>
  <c r="W97" i="99"/>
  <c r="V97" i="99"/>
  <c r="V20" i="100"/>
  <c r="W20" i="100"/>
  <c r="W29" i="102"/>
  <c r="V29" i="102"/>
  <c r="V28" i="103"/>
  <c r="W28" i="103"/>
  <c r="W35" i="103"/>
  <c r="V35" i="103"/>
  <c r="W23" i="104"/>
  <c r="V23" i="104"/>
  <c r="W30" i="104"/>
  <c r="V30" i="104"/>
  <c r="W35" i="104"/>
  <c r="V35" i="104"/>
  <c r="V29" i="105"/>
  <c r="W29" i="105"/>
  <c r="W48" i="108"/>
  <c r="V48" i="108"/>
  <c r="V71" i="108"/>
  <c r="W71" i="108"/>
  <c r="W112" i="108"/>
  <c r="V112" i="108"/>
  <c r="W50" i="98"/>
  <c r="V50" i="98"/>
  <c r="W61" i="98"/>
  <c r="V61" i="98"/>
  <c r="W80" i="98"/>
  <c r="V80" i="98"/>
  <c r="W27" i="100"/>
  <c r="V27" i="100"/>
  <c r="V54" i="100"/>
  <c r="W54" i="100"/>
  <c r="W23" i="101"/>
  <c r="V23" i="101"/>
  <c r="W30" i="101"/>
  <c r="V30" i="101"/>
  <c r="W78" i="101"/>
  <c r="V78" i="101"/>
  <c r="W31" i="102"/>
  <c r="V31" i="102"/>
  <c r="W55" i="102"/>
  <c r="V55" i="102"/>
  <c r="W14" i="104"/>
  <c r="V14" i="104"/>
  <c r="W100" i="104"/>
  <c r="V100" i="104"/>
  <c r="V37" i="105"/>
  <c r="W37" i="105"/>
  <c r="V79" i="105"/>
  <c r="W79" i="105"/>
  <c r="W15" i="107"/>
  <c r="V15" i="107"/>
  <c r="W18" i="108"/>
  <c r="V18" i="108"/>
  <c r="W50" i="108"/>
  <c r="V50" i="108"/>
  <c r="V81" i="108"/>
  <c r="V104" i="108"/>
  <c r="W110" i="108"/>
  <c r="V110" i="108"/>
  <c r="V40" i="109"/>
  <c r="W48" i="109"/>
  <c r="V48" i="109"/>
  <c r="V74" i="109"/>
  <c r="W74" i="109"/>
  <c r="W104" i="109"/>
  <c r="V104" i="109"/>
  <c r="W48" i="107"/>
  <c r="V48" i="107"/>
  <c r="W109" i="107"/>
  <c r="V109" i="107"/>
  <c r="V31" i="108"/>
  <c r="W31" i="108"/>
  <c r="W61" i="108"/>
  <c r="V61" i="108"/>
  <c r="W19" i="109"/>
  <c r="V19" i="109"/>
  <c r="W81" i="109"/>
  <c r="V81" i="109"/>
  <c r="W50" i="91"/>
  <c r="W97" i="91"/>
  <c r="V23" i="92"/>
  <c r="W54" i="92"/>
  <c r="W93" i="92"/>
  <c r="V51" i="93"/>
  <c r="W64" i="93"/>
  <c r="V82" i="93"/>
  <c r="V19" i="94"/>
  <c r="V69" i="94"/>
  <c r="V80" i="94"/>
  <c r="V7" i="95"/>
  <c r="V34" i="96"/>
  <c r="W20" i="97"/>
  <c r="V23" i="97"/>
  <c r="V88" i="97"/>
  <c r="W69" i="98"/>
  <c r="V69" i="98"/>
  <c r="V20" i="99"/>
  <c r="W20" i="99"/>
  <c r="W26" i="99"/>
  <c r="V26" i="99"/>
  <c r="W35" i="99"/>
  <c r="V35" i="99"/>
  <c r="V85" i="100"/>
  <c r="W85" i="100"/>
  <c r="W96" i="101"/>
  <c r="V96" i="101"/>
  <c r="W20" i="103"/>
  <c r="V20" i="103"/>
  <c r="W69" i="103"/>
  <c r="V69" i="103"/>
  <c r="W28" i="104"/>
  <c r="V28" i="104"/>
  <c r="W57" i="104"/>
  <c r="V57" i="104"/>
  <c r="W97" i="104"/>
  <c r="V66" i="105"/>
  <c r="V68" i="105"/>
  <c r="W68" i="105"/>
  <c r="W94" i="105"/>
  <c r="V94" i="105"/>
  <c r="W38" i="106"/>
  <c r="V12" i="107"/>
  <c r="W12" i="107"/>
  <c r="W63" i="107"/>
  <c r="V66" i="107"/>
  <c r="V78" i="107"/>
  <c r="W93" i="107"/>
  <c r="V93" i="107"/>
  <c r="V11" i="108"/>
  <c r="V15" i="108"/>
  <c r="W15" i="108"/>
  <c r="V77" i="108"/>
  <c r="V79" i="108"/>
  <c r="W9" i="109"/>
  <c r="V9" i="109"/>
  <c r="W31" i="109"/>
  <c r="W71" i="109"/>
  <c r="V71" i="109"/>
  <c r="W90" i="98"/>
  <c r="V30" i="99"/>
  <c r="V61" i="99"/>
  <c r="V9" i="100"/>
  <c r="V15" i="100"/>
  <c r="W36" i="100"/>
  <c r="W58" i="100"/>
  <c r="V26" i="101"/>
  <c r="V34" i="101"/>
  <c r="W50" i="101"/>
  <c r="V65" i="101"/>
  <c r="W85" i="101"/>
  <c r="W94" i="101"/>
  <c r="V100" i="101"/>
  <c r="V35" i="102"/>
  <c r="W10" i="103"/>
  <c r="W23" i="103"/>
  <c r="V34" i="103"/>
  <c r="W58" i="103"/>
  <c r="W63" i="103"/>
  <c r="V85" i="103"/>
  <c r="V34" i="104"/>
  <c r="V55" i="104"/>
  <c r="W81" i="104"/>
  <c r="V92" i="104"/>
  <c r="V98" i="104"/>
  <c r="V10" i="105"/>
  <c r="V24" i="105"/>
  <c r="W48" i="106"/>
  <c r="W63" i="106"/>
  <c r="V26" i="109"/>
  <c r="W32" i="109"/>
  <c r="V112" i="109"/>
  <c r="V110" i="109"/>
  <c r="V79" i="109"/>
  <c r="W78" i="109"/>
  <c r="V105" i="109"/>
  <c r="V34" i="109"/>
  <c r="W101" i="109"/>
  <c r="W27" i="109"/>
  <c r="W67" i="109"/>
  <c r="V66" i="109"/>
  <c r="V18" i="109"/>
  <c r="V96" i="109"/>
  <c r="V16" i="109"/>
  <c r="V94" i="109"/>
  <c r="J82" i="109"/>
  <c r="V62" i="109"/>
  <c r="W10" i="109"/>
  <c r="W90" i="109"/>
  <c r="V92" i="109"/>
  <c r="V108" i="109"/>
  <c r="J113" i="109"/>
  <c r="W93" i="109"/>
  <c r="W98" i="109"/>
  <c r="W109" i="109"/>
  <c r="V100" i="109"/>
  <c r="V59" i="109"/>
  <c r="V61" i="109"/>
  <c r="V70" i="109"/>
  <c r="V75" i="109"/>
  <c r="V77" i="109"/>
  <c r="V73" i="109"/>
  <c r="W59" i="109"/>
  <c r="V65" i="109"/>
  <c r="V8" i="109"/>
  <c r="V11" i="109"/>
  <c r="W15" i="109"/>
  <c r="W20" i="109"/>
  <c r="W36" i="109"/>
  <c r="V22" i="109"/>
  <c r="V38" i="109"/>
  <c r="W23" i="109"/>
  <c r="W28" i="109"/>
  <c r="W39" i="109"/>
  <c r="V7" i="109"/>
  <c r="V14" i="109"/>
  <c r="V30" i="109"/>
  <c r="W12" i="109"/>
  <c r="W6" i="109"/>
  <c r="N10" i="109"/>
  <c r="W13" i="109"/>
  <c r="W17" i="109"/>
  <c r="W21" i="109"/>
  <c r="W25" i="109"/>
  <c r="W29" i="109"/>
  <c r="W33" i="109"/>
  <c r="W37" i="109"/>
  <c r="W41" i="109"/>
  <c r="W49" i="109"/>
  <c r="J51" i="109"/>
  <c r="W60" i="109"/>
  <c r="W64" i="109"/>
  <c r="W68" i="109"/>
  <c r="W72" i="109"/>
  <c r="W76" i="109"/>
  <c r="W80" i="109"/>
  <c r="W91" i="109"/>
  <c r="W95" i="109"/>
  <c r="W99" i="109"/>
  <c r="W103" i="109"/>
  <c r="W107" i="109"/>
  <c r="W111" i="109"/>
  <c r="W109" i="108"/>
  <c r="V75" i="108"/>
  <c r="V105" i="108"/>
  <c r="W36" i="108"/>
  <c r="V34" i="108"/>
  <c r="W32" i="108"/>
  <c r="V102" i="108"/>
  <c r="W101" i="108"/>
  <c r="V70" i="108"/>
  <c r="W27" i="108"/>
  <c r="V67" i="108"/>
  <c r="W20" i="108"/>
  <c r="W66" i="108"/>
  <c r="V97" i="108"/>
  <c r="V96" i="108"/>
  <c r="V19" i="108"/>
  <c r="V16" i="108"/>
  <c r="V94" i="108"/>
  <c r="W62" i="108"/>
  <c r="W90" i="108"/>
  <c r="V59" i="108"/>
  <c r="V9" i="108"/>
  <c r="V8" i="108"/>
  <c r="V92" i="108"/>
  <c r="W93" i="108"/>
  <c r="W98" i="108"/>
  <c r="V100" i="108"/>
  <c r="V73" i="108"/>
  <c r="W63" i="108"/>
  <c r="W74" i="108"/>
  <c r="V65" i="108"/>
  <c r="V22" i="108"/>
  <c r="V38" i="108"/>
  <c r="W10" i="108"/>
  <c r="W23" i="108"/>
  <c r="W28" i="108"/>
  <c r="W39" i="108"/>
  <c r="V7" i="108"/>
  <c r="V14" i="108"/>
  <c r="V30" i="108"/>
  <c r="W12" i="108"/>
  <c r="W6" i="108"/>
  <c r="N10" i="108"/>
  <c r="W13" i="108"/>
  <c r="W17" i="108"/>
  <c r="W21" i="108"/>
  <c r="W25" i="108"/>
  <c r="W29" i="108"/>
  <c r="W33" i="108"/>
  <c r="W37" i="108"/>
  <c r="W41" i="108"/>
  <c r="W49" i="108"/>
  <c r="J51" i="108"/>
  <c r="W60" i="108"/>
  <c r="W64" i="108"/>
  <c r="W68" i="108"/>
  <c r="W72" i="108"/>
  <c r="W76" i="108"/>
  <c r="W80" i="108"/>
  <c r="J82" i="108"/>
  <c r="W91" i="108"/>
  <c r="W95" i="108"/>
  <c r="W99" i="108"/>
  <c r="W103" i="108"/>
  <c r="W107" i="108"/>
  <c r="W111" i="108"/>
  <c r="J113" i="108"/>
  <c r="W40" i="107"/>
  <c r="W75" i="107"/>
  <c r="W105" i="107"/>
  <c r="V35" i="107"/>
  <c r="W32" i="107"/>
  <c r="W71" i="107"/>
  <c r="W97" i="107"/>
  <c r="V19" i="107"/>
  <c r="V10" i="107"/>
  <c r="W9" i="107"/>
  <c r="J82" i="107"/>
  <c r="J113" i="107"/>
  <c r="W11" i="107"/>
  <c r="V8" i="107"/>
  <c r="V59" i="107"/>
  <c r="W90" i="107"/>
  <c r="W94" i="107"/>
  <c r="W98" i="107"/>
  <c r="W102" i="107"/>
  <c r="W106" i="107"/>
  <c r="V90" i="107"/>
  <c r="W110" i="107"/>
  <c r="V7" i="107"/>
  <c r="V14" i="107"/>
  <c r="V18" i="107"/>
  <c r="V22" i="107"/>
  <c r="V26" i="107"/>
  <c r="V30" i="107"/>
  <c r="V34" i="107"/>
  <c r="V38" i="107"/>
  <c r="V50" i="107"/>
  <c r="V61" i="107"/>
  <c r="V65" i="107"/>
  <c r="V69" i="107"/>
  <c r="V73" i="107"/>
  <c r="V77" i="107"/>
  <c r="V81" i="107"/>
  <c r="V92" i="107"/>
  <c r="V96" i="107"/>
  <c r="V100" i="107"/>
  <c r="V104" i="107"/>
  <c r="V108" i="107"/>
  <c r="W6" i="107"/>
  <c r="N10" i="107"/>
  <c r="W13" i="107"/>
  <c r="W17" i="107"/>
  <c r="W21" i="107"/>
  <c r="W25" i="107"/>
  <c r="W29" i="107"/>
  <c r="W33" i="107"/>
  <c r="W37" i="107"/>
  <c r="W41" i="107"/>
  <c r="W49" i="107"/>
  <c r="J51" i="107"/>
  <c r="W60" i="107"/>
  <c r="W64" i="107"/>
  <c r="W68" i="107"/>
  <c r="W72" i="107"/>
  <c r="W76" i="107"/>
  <c r="W80" i="107"/>
  <c r="W91" i="107"/>
  <c r="W95" i="107"/>
  <c r="W99" i="107"/>
  <c r="W103" i="107"/>
  <c r="W107" i="107"/>
  <c r="W111" i="107"/>
  <c r="W79" i="106"/>
  <c r="W110" i="106"/>
  <c r="W78" i="106"/>
  <c r="W40" i="106"/>
  <c r="W39" i="106"/>
  <c r="V37" i="106"/>
  <c r="W36" i="106"/>
  <c r="W35" i="106"/>
  <c r="V105" i="106"/>
  <c r="W109" i="106"/>
  <c r="W28" i="106"/>
  <c r="W93" i="106"/>
  <c r="W106" i="106"/>
  <c r="W31" i="106"/>
  <c r="W102" i="106"/>
  <c r="W27" i="106"/>
  <c r="W24" i="106"/>
  <c r="W66" i="106"/>
  <c r="W94" i="106"/>
  <c r="V15" i="106"/>
  <c r="V62" i="106"/>
  <c r="W11" i="106"/>
  <c r="J82" i="106"/>
  <c r="W59" i="106"/>
  <c r="V9" i="106"/>
  <c r="W8" i="106"/>
  <c r="V93" i="105"/>
  <c r="V35" i="105"/>
  <c r="J113" i="106"/>
  <c r="W101" i="106"/>
  <c r="W98" i="106"/>
  <c r="W70" i="106"/>
  <c r="W67" i="106"/>
  <c r="N10" i="106"/>
  <c r="W74" i="106"/>
  <c r="W71" i="106"/>
  <c r="W10" i="106"/>
  <c r="W19" i="106"/>
  <c r="W41" i="106"/>
  <c r="W16" i="106"/>
  <c r="W32" i="106"/>
  <c r="V7" i="106"/>
  <c r="V14" i="106"/>
  <c r="V18" i="106"/>
  <c r="V22" i="106"/>
  <c r="V26" i="106"/>
  <c r="V30" i="106"/>
  <c r="V34" i="106"/>
  <c r="V50" i="106"/>
  <c r="V61" i="106"/>
  <c r="V65" i="106"/>
  <c r="V69" i="106"/>
  <c r="V73" i="106"/>
  <c r="V77" i="106"/>
  <c r="V81" i="106"/>
  <c r="V92" i="106"/>
  <c r="V96" i="106"/>
  <c r="V100" i="106"/>
  <c r="V104" i="106"/>
  <c r="V108" i="106"/>
  <c r="V112" i="106"/>
  <c r="W6" i="106"/>
  <c r="W13" i="106"/>
  <c r="W17" i="106"/>
  <c r="W21" i="106"/>
  <c r="W25" i="106"/>
  <c r="W29" i="106"/>
  <c r="W33" i="106"/>
  <c r="W49" i="106"/>
  <c r="J51" i="106"/>
  <c r="V59" i="106"/>
  <c r="W60" i="106"/>
  <c r="W64" i="106"/>
  <c r="W68" i="106"/>
  <c r="W72" i="106"/>
  <c r="W76" i="106"/>
  <c r="W80" i="106"/>
  <c r="V90" i="106"/>
  <c r="W91" i="106"/>
  <c r="W95" i="106"/>
  <c r="W99" i="106"/>
  <c r="W103" i="106"/>
  <c r="W107" i="106"/>
  <c r="W111" i="106"/>
  <c r="W32" i="105"/>
  <c r="V90" i="105"/>
  <c r="V28" i="105"/>
  <c r="V27" i="105"/>
  <c r="W25" i="105"/>
  <c r="W87" i="105"/>
  <c r="V23" i="105"/>
  <c r="W21" i="105"/>
  <c r="V19" i="105"/>
  <c r="V85" i="105"/>
  <c r="W17" i="105"/>
  <c r="V15" i="105"/>
  <c r="W83" i="105"/>
  <c r="W51" i="105"/>
  <c r="V12" i="105"/>
  <c r="V81" i="105"/>
  <c r="V9" i="105"/>
  <c r="V47" i="105"/>
  <c r="J101" i="105"/>
  <c r="W78" i="105"/>
  <c r="N10" i="105"/>
  <c r="W48" i="105"/>
  <c r="W52" i="105"/>
  <c r="W56" i="105"/>
  <c r="W60" i="105"/>
  <c r="W64" i="105"/>
  <c r="J39" i="105"/>
  <c r="W6" i="105"/>
  <c r="V6" i="105"/>
  <c r="W7" i="105"/>
  <c r="W8" i="105"/>
  <c r="V14" i="105"/>
  <c r="V18" i="105"/>
  <c r="V22" i="105"/>
  <c r="V26" i="105"/>
  <c r="V30" i="105"/>
  <c r="V34" i="105"/>
  <c r="V38" i="105"/>
  <c r="V49" i="105"/>
  <c r="V53" i="105"/>
  <c r="V57" i="105"/>
  <c r="V61" i="105"/>
  <c r="V65" i="105"/>
  <c r="V69" i="105"/>
  <c r="V80" i="105"/>
  <c r="V84" i="105"/>
  <c r="V88" i="105"/>
  <c r="V92" i="105"/>
  <c r="V96" i="105"/>
  <c r="V100" i="105"/>
  <c r="J70" i="105"/>
  <c r="V96" i="104"/>
  <c r="V94" i="104"/>
  <c r="V20" i="104"/>
  <c r="V18" i="104"/>
  <c r="W89" i="104"/>
  <c r="W58" i="104"/>
  <c r="V15" i="104"/>
  <c r="V86" i="104"/>
  <c r="V84" i="104"/>
  <c r="V10" i="104"/>
  <c r="V50" i="104"/>
  <c r="V9" i="104"/>
  <c r="V80" i="104"/>
  <c r="J101" i="104"/>
  <c r="W11" i="104"/>
  <c r="W19" i="104"/>
  <c r="W24" i="104"/>
  <c r="V8" i="104"/>
  <c r="V26" i="104"/>
  <c r="W54" i="104"/>
  <c r="W59" i="104"/>
  <c r="W63" i="104"/>
  <c r="W67" i="104"/>
  <c r="V61" i="104"/>
  <c r="V65" i="104"/>
  <c r="W93" i="104"/>
  <c r="W78" i="104"/>
  <c r="V7" i="104"/>
  <c r="W12" i="104"/>
  <c r="W6" i="104"/>
  <c r="N10" i="104"/>
  <c r="W13" i="104"/>
  <c r="W17" i="104"/>
  <c r="W21" i="104"/>
  <c r="W25" i="104"/>
  <c r="W29" i="104"/>
  <c r="W33" i="104"/>
  <c r="W37" i="104"/>
  <c r="J39" i="104"/>
  <c r="W48" i="104"/>
  <c r="W52" i="104"/>
  <c r="W56" i="104"/>
  <c r="W60" i="104"/>
  <c r="W64" i="104"/>
  <c r="W68" i="104"/>
  <c r="J70" i="104"/>
  <c r="W79" i="104"/>
  <c r="W83" i="104"/>
  <c r="W87" i="104"/>
  <c r="W91" i="104"/>
  <c r="W95" i="104"/>
  <c r="W99" i="104"/>
  <c r="V67" i="103"/>
  <c r="V66" i="103"/>
  <c r="V96" i="103"/>
  <c r="V93" i="103"/>
  <c r="V92" i="103"/>
  <c r="V18" i="103"/>
  <c r="W16" i="103"/>
  <c r="W86" i="103"/>
  <c r="V84" i="103"/>
  <c r="V55" i="103"/>
  <c r="V51" i="103"/>
  <c r="V50" i="103"/>
  <c r="W9" i="103"/>
  <c r="J101" i="103"/>
  <c r="W47" i="103"/>
  <c r="V88" i="103"/>
  <c r="W78" i="103"/>
  <c r="W89" i="103"/>
  <c r="V78" i="103"/>
  <c r="V80" i="103"/>
  <c r="W94" i="103"/>
  <c r="W98" i="103"/>
  <c r="V49" i="103"/>
  <c r="W54" i="103"/>
  <c r="W59" i="103"/>
  <c r="V65" i="103"/>
  <c r="J70" i="103"/>
  <c r="V61" i="103"/>
  <c r="V15" i="103"/>
  <c r="V31" i="103"/>
  <c r="V7" i="103"/>
  <c r="W11" i="103"/>
  <c r="V14" i="103"/>
  <c r="W19" i="103"/>
  <c r="W24" i="103"/>
  <c r="V30" i="103"/>
  <c r="V8" i="103"/>
  <c r="V26" i="103"/>
  <c r="W12" i="103"/>
  <c r="W6" i="103"/>
  <c r="N10" i="103"/>
  <c r="W13" i="103"/>
  <c r="W17" i="103"/>
  <c r="W21" i="103"/>
  <c r="W25" i="103"/>
  <c r="W29" i="103"/>
  <c r="W33" i="103"/>
  <c r="W37" i="103"/>
  <c r="J39" i="103"/>
  <c r="W48" i="103"/>
  <c r="W52" i="103"/>
  <c r="W56" i="103"/>
  <c r="W60" i="103"/>
  <c r="W64" i="103"/>
  <c r="W68" i="103"/>
  <c r="W79" i="103"/>
  <c r="W83" i="103"/>
  <c r="W87" i="103"/>
  <c r="W91" i="103"/>
  <c r="W95" i="103"/>
  <c r="W99" i="103"/>
  <c r="W12" i="102"/>
  <c r="V19" i="102"/>
  <c r="V83" i="102"/>
  <c r="W63" i="102"/>
  <c r="W17" i="102"/>
  <c r="W24" i="102"/>
  <c r="V62" i="102"/>
  <c r="V58" i="102"/>
  <c r="V16" i="102"/>
  <c r="V56" i="102"/>
  <c r="W13" i="102"/>
  <c r="V52" i="102"/>
  <c r="W51" i="102"/>
  <c r="V9" i="102"/>
  <c r="V20" i="102"/>
  <c r="W21" i="102"/>
  <c r="V25" i="102"/>
  <c r="V27" i="102"/>
  <c r="V23" i="102"/>
  <c r="J39" i="102"/>
  <c r="V10" i="102"/>
  <c r="V15" i="102"/>
  <c r="V60" i="102"/>
  <c r="W48" i="102"/>
  <c r="W59" i="102"/>
  <c r="W64" i="102"/>
  <c r="V50" i="102"/>
  <c r="V66" i="102"/>
  <c r="V90" i="102"/>
  <c r="W79" i="102"/>
  <c r="V81" i="102"/>
  <c r="W86" i="102"/>
  <c r="W91" i="102"/>
  <c r="V94" i="102"/>
  <c r="W99" i="102"/>
  <c r="V85" i="102"/>
  <c r="W95" i="102"/>
  <c r="V98" i="102"/>
  <c r="J101" i="102"/>
  <c r="W82" i="102"/>
  <c r="W87" i="102"/>
  <c r="V93" i="102"/>
  <c r="V97" i="102"/>
  <c r="W78" i="102"/>
  <c r="V89" i="102"/>
  <c r="V6" i="102"/>
  <c r="W7" i="102"/>
  <c r="W8" i="102"/>
  <c r="W18" i="102"/>
  <c r="W22" i="102"/>
  <c r="W26" i="102"/>
  <c r="W30" i="102"/>
  <c r="W38" i="102"/>
  <c r="W61" i="102"/>
  <c r="W92" i="102"/>
  <c r="V14" i="102"/>
  <c r="V34" i="102"/>
  <c r="V49" i="102"/>
  <c r="V53" i="102"/>
  <c r="V57" i="102"/>
  <c r="V65" i="102"/>
  <c r="V69" i="102"/>
  <c r="V80" i="102"/>
  <c r="V84" i="102"/>
  <c r="V88" i="102"/>
  <c r="V96" i="102"/>
  <c r="V100" i="102"/>
  <c r="W6" i="102"/>
  <c r="N10" i="102"/>
  <c r="J70" i="102"/>
  <c r="V69" i="101"/>
  <c r="V98" i="101"/>
  <c r="V22" i="101"/>
  <c r="W20" i="101"/>
  <c r="V92" i="101"/>
  <c r="W19" i="101"/>
  <c r="V89" i="101"/>
  <c r="V57" i="101"/>
  <c r="V15" i="101"/>
  <c r="W86" i="101"/>
  <c r="V55" i="101"/>
  <c r="W54" i="101"/>
  <c r="V10" i="101"/>
  <c r="J70" i="101"/>
  <c r="W81" i="101"/>
  <c r="V7" i="101"/>
  <c r="W82" i="101"/>
  <c r="V88" i="101"/>
  <c r="V84" i="101"/>
  <c r="J101" i="101"/>
  <c r="W97" i="101"/>
  <c r="W51" i="101"/>
  <c r="W62" i="101"/>
  <c r="W67" i="101"/>
  <c r="W47" i="101"/>
  <c r="V53" i="101"/>
  <c r="W9" i="101"/>
  <c r="W16" i="101"/>
  <c r="W27" i="101"/>
  <c r="V18" i="101"/>
  <c r="W12" i="101"/>
  <c r="W6" i="101"/>
  <c r="N10" i="101"/>
  <c r="W13" i="101"/>
  <c r="W17" i="101"/>
  <c r="W21" i="101"/>
  <c r="W25" i="101"/>
  <c r="W29" i="101"/>
  <c r="W33" i="101"/>
  <c r="W37" i="101"/>
  <c r="J39" i="101"/>
  <c r="W48" i="101"/>
  <c r="W52" i="101"/>
  <c r="W56" i="101"/>
  <c r="W60" i="101"/>
  <c r="W64" i="101"/>
  <c r="W68" i="101"/>
  <c r="W79" i="101"/>
  <c r="W83" i="101"/>
  <c r="W87" i="101"/>
  <c r="W91" i="101"/>
  <c r="W95" i="101"/>
  <c r="W99" i="101"/>
  <c r="W67" i="100"/>
  <c r="W24" i="100"/>
  <c r="V93" i="100"/>
  <c r="W90" i="100"/>
  <c r="W12" i="100"/>
  <c r="W51" i="100"/>
  <c r="W81" i="100"/>
  <c r="J70" i="100"/>
  <c r="J101" i="100"/>
  <c r="W10" i="100"/>
  <c r="W19" i="100"/>
  <c r="W16" i="100"/>
  <c r="W50" i="100"/>
  <c r="W59" i="100"/>
  <c r="V62" i="100"/>
  <c r="W47" i="100"/>
  <c r="W63" i="100"/>
  <c r="W55" i="100"/>
  <c r="W78" i="100"/>
  <c r="W94" i="100"/>
  <c r="W89" i="100"/>
  <c r="N10" i="100"/>
  <c r="W86" i="100"/>
  <c r="V7" i="100"/>
  <c r="V14" i="100"/>
  <c r="V18" i="100"/>
  <c r="V22" i="100"/>
  <c r="V26" i="100"/>
  <c r="V30" i="100"/>
  <c r="V34" i="100"/>
  <c r="V38" i="100"/>
  <c r="V49" i="100"/>
  <c r="V53" i="100"/>
  <c r="V57" i="100"/>
  <c r="V61" i="100"/>
  <c r="V65" i="100"/>
  <c r="V69" i="100"/>
  <c r="V80" i="100"/>
  <c r="V84" i="100"/>
  <c r="V88" i="100"/>
  <c r="V92" i="100"/>
  <c r="V96" i="100"/>
  <c r="V100" i="100"/>
  <c r="W6" i="100"/>
  <c r="W13" i="100"/>
  <c r="W17" i="100"/>
  <c r="W21" i="100"/>
  <c r="W25" i="100"/>
  <c r="W29" i="100"/>
  <c r="W33" i="100"/>
  <c r="W37" i="100"/>
  <c r="J39" i="100"/>
  <c r="V47" i="100"/>
  <c r="W48" i="100"/>
  <c r="W52" i="100"/>
  <c r="W56" i="100"/>
  <c r="W60" i="100"/>
  <c r="W64" i="100"/>
  <c r="W68" i="100"/>
  <c r="V78" i="100"/>
  <c r="W79" i="100"/>
  <c r="W83" i="100"/>
  <c r="W87" i="100"/>
  <c r="W91" i="100"/>
  <c r="W95" i="100"/>
  <c r="W99" i="100"/>
  <c r="V63" i="99"/>
  <c r="V93" i="99"/>
  <c r="V58" i="99"/>
  <c r="W16" i="99"/>
  <c r="V89" i="99"/>
  <c r="W15" i="99"/>
  <c r="V54" i="99"/>
  <c r="V53" i="99"/>
  <c r="V51" i="99"/>
  <c r="W9" i="99"/>
  <c r="V82" i="99"/>
  <c r="V80" i="99"/>
  <c r="V49" i="99"/>
  <c r="W47" i="99"/>
  <c r="V11" i="99"/>
  <c r="V19" i="99"/>
  <c r="W10" i="99"/>
  <c r="V18" i="99"/>
  <c r="V7" i="99"/>
  <c r="V14" i="99"/>
  <c r="W50" i="99"/>
  <c r="W55" i="99"/>
  <c r="W66" i="99"/>
  <c r="V57" i="99"/>
  <c r="J101" i="99"/>
  <c r="W81" i="99"/>
  <c r="W86" i="99"/>
  <c r="V88" i="99"/>
  <c r="W12" i="99"/>
  <c r="W6" i="99"/>
  <c r="N10" i="99"/>
  <c r="W13" i="99"/>
  <c r="W17" i="99"/>
  <c r="W21" i="99"/>
  <c r="W25" i="99"/>
  <c r="W29" i="99"/>
  <c r="W33" i="99"/>
  <c r="W37" i="99"/>
  <c r="J39" i="99"/>
  <c r="W48" i="99"/>
  <c r="W52" i="99"/>
  <c r="W56" i="99"/>
  <c r="W60" i="99"/>
  <c r="W64" i="99"/>
  <c r="W68" i="99"/>
  <c r="J70" i="99"/>
  <c r="W79" i="99"/>
  <c r="W83" i="99"/>
  <c r="W87" i="99"/>
  <c r="W91" i="99"/>
  <c r="W95" i="99"/>
  <c r="W99" i="99"/>
  <c r="V94" i="98"/>
  <c r="V93" i="98"/>
  <c r="W19" i="98"/>
  <c r="V18" i="98"/>
  <c r="V58" i="98"/>
  <c r="W89" i="98"/>
  <c r="V57" i="98"/>
  <c r="W55" i="98"/>
  <c r="V84" i="98"/>
  <c r="W11" i="98"/>
  <c r="V8" i="98"/>
  <c r="V49" i="98"/>
  <c r="J70" i="98"/>
  <c r="V78" i="98"/>
  <c r="J101" i="98"/>
  <c r="W81" i="98"/>
  <c r="W86" i="98"/>
  <c r="V92" i="98"/>
  <c r="W97" i="98"/>
  <c r="V88" i="98"/>
  <c r="V63" i="98"/>
  <c r="V65" i="98"/>
  <c r="W51" i="98"/>
  <c r="W62" i="98"/>
  <c r="W47" i="98"/>
  <c r="V53" i="98"/>
  <c r="V7" i="98"/>
  <c r="V10" i="98"/>
  <c r="V14" i="98"/>
  <c r="V23" i="98"/>
  <c r="V22" i="98"/>
  <c r="W12" i="98"/>
  <c r="W6" i="98"/>
  <c r="N10" i="98"/>
  <c r="W13" i="98"/>
  <c r="W17" i="98"/>
  <c r="W21" i="98"/>
  <c r="W25" i="98"/>
  <c r="W29" i="98"/>
  <c r="W33" i="98"/>
  <c r="W37" i="98"/>
  <c r="J39" i="98"/>
  <c r="W48" i="98"/>
  <c r="W52" i="98"/>
  <c r="W56" i="98"/>
  <c r="W60" i="98"/>
  <c r="W64" i="98"/>
  <c r="W68" i="98"/>
  <c r="W79" i="98"/>
  <c r="W83" i="98"/>
  <c r="W87" i="98"/>
  <c r="W91" i="98"/>
  <c r="W95" i="98"/>
  <c r="W99" i="98"/>
  <c r="W24" i="97"/>
  <c r="V19" i="97"/>
  <c r="V59" i="97"/>
  <c r="V15" i="97"/>
  <c r="V86" i="97"/>
  <c r="V55" i="97"/>
  <c r="W12" i="97"/>
  <c r="V51" i="97"/>
  <c r="J101" i="97"/>
  <c r="W81" i="97"/>
  <c r="W85" i="97"/>
  <c r="V89" i="97"/>
  <c r="W90" i="97"/>
  <c r="V94" i="97"/>
  <c r="V92" i="97"/>
  <c r="W78" i="97"/>
  <c r="W97" i="97"/>
  <c r="V78" i="97"/>
  <c r="V80" i="97"/>
  <c r="W50" i="97"/>
  <c r="W54" i="97"/>
  <c r="W58" i="97"/>
  <c r="W62" i="97"/>
  <c r="W66" i="97"/>
  <c r="W9" i="97"/>
  <c r="W11" i="97"/>
  <c r="V8" i="97"/>
  <c r="V7" i="97"/>
  <c r="V14" i="97"/>
  <c r="V18" i="97"/>
  <c r="V22" i="97"/>
  <c r="V26" i="97"/>
  <c r="V30" i="97"/>
  <c r="V34" i="97"/>
  <c r="V38" i="97"/>
  <c r="V49" i="97"/>
  <c r="V53" i="97"/>
  <c r="V57" i="97"/>
  <c r="V61" i="97"/>
  <c r="V65" i="97"/>
  <c r="V69" i="97"/>
  <c r="V84" i="97"/>
  <c r="V96" i="97"/>
  <c r="W6" i="97"/>
  <c r="N10" i="97"/>
  <c r="W17" i="97"/>
  <c r="W21" i="97"/>
  <c r="J39" i="97"/>
  <c r="W48" i="97"/>
  <c r="W52" i="97"/>
  <c r="W56" i="97"/>
  <c r="W60" i="97"/>
  <c r="W68" i="97"/>
  <c r="W83" i="97"/>
  <c r="W99" i="97"/>
  <c r="W13" i="97"/>
  <c r="W25" i="97"/>
  <c r="W29" i="97"/>
  <c r="W33" i="97"/>
  <c r="W37" i="97"/>
  <c r="W64" i="97"/>
  <c r="J70" i="97"/>
  <c r="W79" i="97"/>
  <c r="W87" i="97"/>
  <c r="W91" i="97"/>
  <c r="W95" i="97"/>
  <c r="W24" i="96"/>
  <c r="W19" i="96"/>
  <c r="V89" i="96"/>
  <c r="V57" i="96"/>
  <c r="V14" i="96"/>
  <c r="V86" i="96"/>
  <c r="V53" i="96"/>
  <c r="W51" i="96"/>
  <c r="V81" i="96"/>
  <c r="V80" i="96"/>
  <c r="V8" i="96"/>
  <c r="J101" i="96"/>
  <c r="V78" i="96"/>
  <c r="W78" i="96"/>
  <c r="V82" i="96"/>
  <c r="V84" i="96"/>
  <c r="V93" i="96"/>
  <c r="V98" i="96"/>
  <c r="W85" i="96"/>
  <c r="W90" i="96"/>
  <c r="V92" i="96"/>
  <c r="W97" i="96"/>
  <c r="V47" i="96"/>
  <c r="V49" i="96"/>
  <c r="W54" i="96"/>
  <c r="V58" i="96"/>
  <c r="W59" i="96"/>
  <c r="V63" i="96"/>
  <c r="W50" i="96"/>
  <c r="W55" i="96"/>
  <c r="W66" i="96"/>
  <c r="W62" i="96"/>
  <c r="W67" i="96"/>
  <c r="W15" i="96"/>
  <c r="W20" i="96"/>
  <c r="W9" i="96"/>
  <c r="W16" i="96"/>
  <c r="V22" i="96"/>
  <c r="V18" i="96"/>
  <c r="W12" i="96"/>
  <c r="W6" i="96"/>
  <c r="W25" i="96"/>
  <c r="W29" i="96"/>
  <c r="W33" i="96"/>
  <c r="J39" i="96"/>
  <c r="W52" i="96"/>
  <c r="W60" i="96"/>
  <c r="J70" i="96"/>
  <c r="W83" i="96"/>
  <c r="W91" i="96"/>
  <c r="W99" i="96"/>
  <c r="N10" i="96"/>
  <c r="W13" i="96"/>
  <c r="W17" i="96"/>
  <c r="W21" i="96"/>
  <c r="W37" i="96"/>
  <c r="W48" i="96"/>
  <c r="W56" i="96"/>
  <c r="W64" i="96"/>
  <c r="W68" i="96"/>
  <c r="W79" i="96"/>
  <c r="W87" i="96"/>
  <c r="W95" i="96"/>
  <c r="W67" i="95"/>
  <c r="V96" i="95"/>
  <c r="V23" i="95"/>
  <c r="W63" i="95"/>
  <c r="V93" i="95"/>
  <c r="V92" i="95"/>
  <c r="V19" i="95"/>
  <c r="V18" i="95"/>
  <c r="W89" i="95"/>
  <c r="V14" i="95"/>
  <c r="W11" i="95"/>
  <c r="W51" i="95"/>
  <c r="W10" i="95"/>
  <c r="V80" i="95"/>
  <c r="J101" i="95"/>
  <c r="N10" i="95"/>
  <c r="W78" i="95"/>
  <c r="W82" i="95"/>
  <c r="W86" i="95"/>
  <c r="W90" i="95"/>
  <c r="W94" i="95"/>
  <c r="W98" i="95"/>
  <c r="J70" i="95"/>
  <c r="V57" i="95"/>
  <c r="V61" i="95"/>
  <c r="W16" i="95"/>
  <c r="W20" i="95"/>
  <c r="W24" i="95"/>
  <c r="W8" i="95"/>
  <c r="W6" i="95"/>
  <c r="V12" i="95"/>
  <c r="W13" i="95"/>
  <c r="W17" i="95"/>
  <c r="W21" i="95"/>
  <c r="W25" i="95"/>
  <c r="W29" i="95"/>
  <c r="W33" i="95"/>
  <c r="W37" i="95"/>
  <c r="J39" i="95"/>
  <c r="V47" i="95"/>
  <c r="W48" i="95"/>
  <c r="W52" i="95"/>
  <c r="W56" i="95"/>
  <c r="W60" i="95"/>
  <c r="W64" i="95"/>
  <c r="W68" i="95"/>
  <c r="V78" i="95"/>
  <c r="W79" i="95"/>
  <c r="W83" i="95"/>
  <c r="W87" i="95"/>
  <c r="W91" i="95"/>
  <c r="W95" i="95"/>
  <c r="W99" i="95"/>
  <c r="W98" i="94"/>
  <c r="W66" i="94"/>
  <c r="V26" i="94"/>
  <c r="V92" i="94"/>
  <c r="V61" i="94"/>
  <c r="V89" i="94"/>
  <c r="V88" i="94"/>
  <c r="V57" i="94"/>
  <c r="W16" i="94"/>
  <c r="W85" i="94"/>
  <c r="V53" i="94"/>
  <c r="J70" i="94"/>
  <c r="J101" i="94"/>
  <c r="W78" i="94"/>
  <c r="W82" i="94"/>
  <c r="W86" i="94"/>
  <c r="W90" i="94"/>
  <c r="W94" i="94"/>
  <c r="W47" i="94"/>
  <c r="W51" i="94"/>
  <c r="W55" i="94"/>
  <c r="W59" i="94"/>
  <c r="W63" i="94"/>
  <c r="N10" i="94"/>
  <c r="W50" i="94"/>
  <c r="W54" i="94"/>
  <c r="W58" i="94"/>
  <c r="W62" i="94"/>
  <c r="V23" i="94"/>
  <c r="V7" i="94"/>
  <c r="W8" i="94"/>
  <c r="W11" i="94"/>
  <c r="V14" i="94"/>
  <c r="V18" i="94"/>
  <c r="V22" i="94"/>
  <c r="W12" i="94"/>
  <c r="W6" i="94"/>
  <c r="W13" i="94"/>
  <c r="W17" i="94"/>
  <c r="W21" i="94"/>
  <c r="W25" i="94"/>
  <c r="W29" i="94"/>
  <c r="W33" i="94"/>
  <c r="W37" i="94"/>
  <c r="J39" i="94"/>
  <c r="V47" i="94"/>
  <c r="W48" i="94"/>
  <c r="W52" i="94"/>
  <c r="W56" i="94"/>
  <c r="W60" i="94"/>
  <c r="W64" i="94"/>
  <c r="W68" i="94"/>
  <c r="V78" i="94"/>
  <c r="W79" i="94"/>
  <c r="W83" i="94"/>
  <c r="W87" i="94"/>
  <c r="W91" i="94"/>
  <c r="W95" i="94"/>
  <c r="W99" i="94"/>
  <c r="W65" i="93"/>
  <c r="W96" i="93"/>
  <c r="W95" i="93"/>
  <c r="V63" i="93"/>
  <c r="W60" i="93"/>
  <c r="W18" i="93"/>
  <c r="V90" i="93"/>
  <c r="W69" i="92"/>
  <c r="V64" i="92"/>
  <c r="V65" i="92"/>
  <c r="V68" i="92"/>
  <c r="W14" i="93"/>
  <c r="W56" i="93"/>
  <c r="V86" i="93"/>
  <c r="W52" i="93"/>
  <c r="W80" i="93"/>
  <c r="W84" i="93"/>
  <c r="W88" i="93"/>
  <c r="W92" i="93"/>
  <c r="J101" i="93"/>
  <c r="W79" i="93"/>
  <c r="W83" i="93"/>
  <c r="W87" i="93"/>
  <c r="W91" i="93"/>
  <c r="N10" i="93"/>
  <c r="J70" i="93"/>
  <c r="W49" i="93"/>
  <c r="W53" i="93"/>
  <c r="W57" i="93"/>
  <c r="W61" i="93"/>
  <c r="W6" i="93"/>
  <c r="W7" i="93"/>
  <c r="V12" i="93"/>
  <c r="W17" i="93"/>
  <c r="W21" i="93"/>
  <c r="J39" i="93"/>
  <c r="V16" i="93"/>
  <c r="V20" i="93"/>
  <c r="W8" i="93"/>
  <c r="V8" i="93"/>
  <c r="W9" i="93"/>
  <c r="W10" i="93"/>
  <c r="W15" i="93"/>
  <c r="W19" i="93"/>
  <c r="W23" i="93"/>
  <c r="W27" i="93"/>
  <c r="W31" i="93"/>
  <c r="W35" i="93"/>
  <c r="W50" i="93"/>
  <c r="W54" i="93"/>
  <c r="W58" i="93"/>
  <c r="W62" i="93"/>
  <c r="W66" i="93"/>
  <c r="W81" i="93"/>
  <c r="W85" i="93"/>
  <c r="W89" i="93"/>
  <c r="W93" i="93"/>
  <c r="W97" i="93"/>
  <c r="V50" i="93"/>
  <c r="W78" i="93"/>
  <c r="V92" i="92"/>
  <c r="V19" i="92"/>
  <c r="V58" i="92"/>
  <c r="V53" i="92"/>
  <c r="V83" i="92"/>
  <c r="V52" i="92"/>
  <c r="W50" i="92"/>
  <c r="V7" i="92"/>
  <c r="V79" i="92"/>
  <c r="W49" i="92"/>
  <c r="W89" i="92"/>
  <c r="W80" i="92"/>
  <c r="W85" i="92"/>
  <c r="V91" i="92"/>
  <c r="V95" i="92"/>
  <c r="J101" i="92"/>
  <c r="V87" i="92"/>
  <c r="J70" i="92"/>
  <c r="W57" i="92"/>
  <c r="W61" i="92"/>
  <c r="W66" i="92"/>
  <c r="N10" i="92"/>
  <c r="V48" i="92"/>
  <c r="W8" i="92"/>
  <c r="V13" i="92"/>
  <c r="J39" i="92"/>
  <c r="W9" i="92"/>
  <c r="W14" i="92"/>
  <c r="W18" i="92"/>
  <c r="W22" i="92"/>
  <c r="W26" i="92"/>
  <c r="W10" i="92"/>
  <c r="W11" i="92"/>
  <c r="W16" i="92"/>
  <c r="W24" i="92"/>
  <c r="W32" i="92"/>
  <c r="W55" i="92"/>
  <c r="W90" i="92"/>
  <c r="W94" i="92"/>
  <c r="W98" i="92"/>
  <c r="W12" i="92"/>
  <c r="W20" i="92"/>
  <c r="W28" i="92"/>
  <c r="W36" i="92"/>
  <c r="W47" i="92"/>
  <c r="W51" i="92"/>
  <c r="W59" i="92"/>
  <c r="W63" i="92"/>
  <c r="W67" i="92"/>
  <c r="W78" i="92"/>
  <c r="W82" i="92"/>
  <c r="W86" i="92"/>
  <c r="W6" i="92"/>
  <c r="W17" i="92"/>
  <c r="W21" i="92"/>
  <c r="W25" i="92"/>
  <c r="W29" i="92"/>
  <c r="W33" i="92"/>
  <c r="W37" i="92"/>
  <c r="V47" i="92"/>
  <c r="W60" i="92"/>
  <c r="V78" i="92"/>
  <c r="W99" i="92"/>
  <c r="V96" i="91"/>
  <c r="V65" i="91"/>
  <c r="W92" i="91"/>
  <c r="W19" i="91"/>
  <c r="W88" i="91"/>
  <c r="W89" i="91"/>
  <c r="W58" i="91"/>
  <c r="W57" i="91"/>
  <c r="W85" i="91"/>
  <c r="W15" i="91"/>
  <c r="W54" i="91"/>
  <c r="W9" i="91"/>
  <c r="W81" i="91"/>
  <c r="V7" i="91"/>
  <c r="J39" i="91"/>
  <c r="J70" i="91"/>
  <c r="J101" i="91"/>
  <c r="W23" i="91"/>
  <c r="V6" i="91"/>
  <c r="W10" i="91"/>
  <c r="N10" i="91"/>
  <c r="W11" i="91"/>
  <c r="W12" i="91"/>
  <c r="W16" i="91"/>
  <c r="W20" i="91"/>
  <c r="W24" i="91"/>
  <c r="W28" i="91"/>
  <c r="W32" i="91"/>
  <c r="W36" i="91"/>
  <c r="W47" i="91"/>
  <c r="W51" i="91"/>
  <c r="W55" i="91"/>
  <c r="W59" i="91"/>
  <c r="W63" i="91"/>
  <c r="W67" i="91"/>
  <c r="W78" i="91"/>
  <c r="W82" i="91"/>
  <c r="W86" i="91"/>
  <c r="W90" i="91"/>
  <c r="W94" i="91"/>
  <c r="W98" i="91"/>
  <c r="W6" i="91"/>
  <c r="W13" i="91"/>
  <c r="W17" i="91"/>
  <c r="W21" i="91"/>
  <c r="W25" i="91"/>
  <c r="W29" i="91"/>
  <c r="W33" i="91"/>
  <c r="W37" i="91"/>
  <c r="V47" i="91"/>
  <c r="W48" i="91"/>
  <c r="W52" i="91"/>
  <c r="W56" i="91"/>
  <c r="W60" i="91"/>
  <c r="W64" i="91"/>
  <c r="W68" i="91"/>
  <c r="V78" i="91"/>
  <c r="V101" i="91" s="1"/>
  <c r="O8" i="91" s="1"/>
  <c r="R8" i="91" s="1"/>
  <c r="W79" i="91"/>
  <c r="W83" i="91"/>
  <c r="W87" i="91"/>
  <c r="W91" i="91"/>
  <c r="W95" i="91"/>
  <c r="W99" i="91"/>
  <c r="J100" i="90"/>
  <c r="W100" i="90" s="1"/>
  <c r="J99" i="90"/>
  <c r="V99" i="90" s="1"/>
  <c r="J98" i="90"/>
  <c r="V98" i="90" s="1"/>
  <c r="J97" i="90"/>
  <c r="V97" i="90" s="1"/>
  <c r="J96" i="90"/>
  <c r="W96" i="90" s="1"/>
  <c r="J95" i="90"/>
  <c r="V95" i="90" s="1"/>
  <c r="J94" i="90"/>
  <c r="V94" i="90" s="1"/>
  <c r="J93" i="90"/>
  <c r="V93" i="90" s="1"/>
  <c r="J92" i="90"/>
  <c r="W92" i="90" s="1"/>
  <c r="J91" i="90"/>
  <c r="V91" i="90" s="1"/>
  <c r="J90" i="90"/>
  <c r="V90" i="90" s="1"/>
  <c r="J89" i="90"/>
  <c r="V89" i="90" s="1"/>
  <c r="J88" i="90"/>
  <c r="W88" i="90" s="1"/>
  <c r="J87" i="90"/>
  <c r="V87" i="90" s="1"/>
  <c r="J86" i="90"/>
  <c r="W86" i="90" s="1"/>
  <c r="J85" i="90"/>
  <c r="V85" i="90" s="1"/>
  <c r="J84" i="90"/>
  <c r="W84" i="90" s="1"/>
  <c r="J83" i="90"/>
  <c r="V83" i="90" s="1"/>
  <c r="J82" i="90"/>
  <c r="V82" i="90" s="1"/>
  <c r="J81" i="90"/>
  <c r="V81" i="90" s="1"/>
  <c r="J80" i="90"/>
  <c r="W80" i="90" s="1"/>
  <c r="J79" i="90"/>
  <c r="V79" i="90" s="1"/>
  <c r="J78" i="90"/>
  <c r="W78" i="90" s="1"/>
  <c r="J69" i="90"/>
  <c r="W69" i="90" s="1"/>
  <c r="J68" i="90"/>
  <c r="V68" i="90" s="1"/>
  <c r="J67" i="90"/>
  <c r="W67" i="90" s="1"/>
  <c r="J66" i="90"/>
  <c r="V66" i="90" s="1"/>
  <c r="J65" i="90"/>
  <c r="W65" i="90" s="1"/>
  <c r="J64" i="90"/>
  <c r="V64" i="90" s="1"/>
  <c r="J63" i="90"/>
  <c r="V63" i="90" s="1"/>
  <c r="J62" i="90"/>
  <c r="V62" i="90" s="1"/>
  <c r="J61" i="90"/>
  <c r="W61" i="90" s="1"/>
  <c r="J60" i="90"/>
  <c r="V60" i="90" s="1"/>
  <c r="J59" i="90"/>
  <c r="W59" i="90" s="1"/>
  <c r="J58" i="90"/>
  <c r="V58" i="90" s="1"/>
  <c r="J57" i="90"/>
  <c r="W57" i="90" s="1"/>
  <c r="J56" i="90"/>
  <c r="V56" i="90" s="1"/>
  <c r="J55" i="90"/>
  <c r="W55" i="90" s="1"/>
  <c r="J54" i="90"/>
  <c r="V54" i="90" s="1"/>
  <c r="J53" i="90"/>
  <c r="W53" i="90" s="1"/>
  <c r="J52" i="90"/>
  <c r="V52" i="90" s="1"/>
  <c r="J51" i="90"/>
  <c r="W51" i="90" s="1"/>
  <c r="J50" i="90"/>
  <c r="J49" i="90"/>
  <c r="W49" i="90" s="1"/>
  <c r="J48" i="90"/>
  <c r="V48" i="90" s="1"/>
  <c r="J47" i="90"/>
  <c r="V47" i="90" s="1"/>
  <c r="J38" i="90"/>
  <c r="W38" i="90" s="1"/>
  <c r="J37" i="90"/>
  <c r="V37" i="90" s="1"/>
  <c r="W36" i="90"/>
  <c r="J36" i="90"/>
  <c r="V36" i="90" s="1"/>
  <c r="J35" i="90"/>
  <c r="V35" i="90" s="1"/>
  <c r="J34" i="90"/>
  <c r="W34" i="90" s="1"/>
  <c r="J33" i="90"/>
  <c r="V33" i="90" s="1"/>
  <c r="V32" i="90"/>
  <c r="J32" i="90"/>
  <c r="W32" i="90" s="1"/>
  <c r="J31" i="90"/>
  <c r="V31" i="90" s="1"/>
  <c r="J30" i="90"/>
  <c r="W30" i="90" s="1"/>
  <c r="J29" i="90"/>
  <c r="V29" i="90" s="1"/>
  <c r="J28" i="90"/>
  <c r="V28" i="90" s="1"/>
  <c r="J27" i="90"/>
  <c r="V27" i="90" s="1"/>
  <c r="J26" i="90"/>
  <c r="W26" i="90" s="1"/>
  <c r="J25" i="90"/>
  <c r="V25" i="90" s="1"/>
  <c r="J24" i="90"/>
  <c r="W24" i="90" s="1"/>
  <c r="J23" i="90"/>
  <c r="V23" i="90" s="1"/>
  <c r="J22" i="90"/>
  <c r="W22" i="90" s="1"/>
  <c r="J21" i="90"/>
  <c r="V21" i="90" s="1"/>
  <c r="J20" i="90"/>
  <c r="W20" i="90" s="1"/>
  <c r="J19" i="90"/>
  <c r="V19" i="90" s="1"/>
  <c r="J18" i="90"/>
  <c r="W18" i="90" s="1"/>
  <c r="J17" i="90"/>
  <c r="V17" i="90" s="1"/>
  <c r="J16" i="90"/>
  <c r="W16" i="90" s="1"/>
  <c r="J15" i="90"/>
  <c r="V15" i="90" s="1"/>
  <c r="J14" i="90"/>
  <c r="W14" i="90" s="1"/>
  <c r="J13" i="90"/>
  <c r="V13" i="90" s="1"/>
  <c r="J12" i="90"/>
  <c r="V12" i="90" s="1"/>
  <c r="J11" i="90"/>
  <c r="V11" i="90" s="1"/>
  <c r="J10" i="90"/>
  <c r="V10" i="90" s="1"/>
  <c r="J9" i="90"/>
  <c r="V9" i="90" s="1"/>
  <c r="N8" i="90"/>
  <c r="J8" i="90"/>
  <c r="W8" i="90" s="1"/>
  <c r="J7" i="90"/>
  <c r="W7" i="90" s="1"/>
  <c r="N6" i="90"/>
  <c r="J6" i="90"/>
  <c r="V6" i="90" s="1"/>
  <c r="N4" i="90"/>
  <c r="J100" i="89"/>
  <c r="W100" i="89" s="1"/>
  <c r="J99" i="89"/>
  <c r="V99" i="89" s="1"/>
  <c r="J98" i="89"/>
  <c r="V98" i="89" s="1"/>
  <c r="J97" i="89"/>
  <c r="W97" i="89" s="1"/>
  <c r="J96" i="89"/>
  <c r="W96" i="89" s="1"/>
  <c r="J95" i="89"/>
  <c r="V95" i="89" s="1"/>
  <c r="J94" i="89"/>
  <c r="V94" i="89" s="1"/>
  <c r="J93" i="89"/>
  <c r="W93" i="89" s="1"/>
  <c r="J92" i="89"/>
  <c r="W92" i="89" s="1"/>
  <c r="J91" i="89"/>
  <c r="V91" i="89" s="1"/>
  <c r="J90" i="89"/>
  <c r="V90" i="89" s="1"/>
  <c r="V89" i="89"/>
  <c r="J89" i="89"/>
  <c r="W89" i="89" s="1"/>
  <c r="J88" i="89"/>
  <c r="W88" i="89" s="1"/>
  <c r="J87" i="89"/>
  <c r="V87" i="89" s="1"/>
  <c r="W86" i="89"/>
  <c r="J86" i="89"/>
  <c r="V86" i="89" s="1"/>
  <c r="J85" i="89"/>
  <c r="W85" i="89" s="1"/>
  <c r="J84" i="89"/>
  <c r="W84" i="89" s="1"/>
  <c r="J83" i="89"/>
  <c r="V83" i="89" s="1"/>
  <c r="J82" i="89"/>
  <c r="V82" i="89" s="1"/>
  <c r="J81" i="89"/>
  <c r="V81" i="89" s="1"/>
  <c r="J80" i="89"/>
  <c r="W80" i="89" s="1"/>
  <c r="J79" i="89"/>
  <c r="V79" i="89" s="1"/>
  <c r="J78" i="89"/>
  <c r="J69" i="89"/>
  <c r="W69" i="89" s="1"/>
  <c r="J68" i="89"/>
  <c r="V68" i="89" s="1"/>
  <c r="W67" i="89"/>
  <c r="J67" i="89"/>
  <c r="V67" i="89" s="1"/>
  <c r="J66" i="89"/>
  <c r="W66" i="89" s="1"/>
  <c r="J65" i="89"/>
  <c r="W65" i="89" s="1"/>
  <c r="J64" i="89"/>
  <c r="V64" i="89" s="1"/>
  <c r="J63" i="89"/>
  <c r="V63" i="89" s="1"/>
  <c r="J62" i="89"/>
  <c r="V62" i="89" s="1"/>
  <c r="J61" i="89"/>
  <c r="W61" i="89" s="1"/>
  <c r="J60" i="89"/>
  <c r="V60" i="89" s="1"/>
  <c r="J59" i="89"/>
  <c r="V59" i="89" s="1"/>
  <c r="J58" i="89"/>
  <c r="V58" i="89" s="1"/>
  <c r="J57" i="89"/>
  <c r="W57" i="89" s="1"/>
  <c r="J56" i="89"/>
  <c r="V56" i="89" s="1"/>
  <c r="J55" i="89"/>
  <c r="V55" i="89" s="1"/>
  <c r="J54" i="89"/>
  <c r="W54" i="89" s="1"/>
  <c r="J53" i="89"/>
  <c r="W53" i="89" s="1"/>
  <c r="J52" i="89"/>
  <c r="V52" i="89" s="1"/>
  <c r="J51" i="89"/>
  <c r="V51" i="89" s="1"/>
  <c r="J50" i="89"/>
  <c r="W50" i="89" s="1"/>
  <c r="J49" i="89"/>
  <c r="W49" i="89" s="1"/>
  <c r="J48" i="89"/>
  <c r="V48" i="89" s="1"/>
  <c r="J47" i="89"/>
  <c r="V47" i="89" s="1"/>
  <c r="J38" i="89"/>
  <c r="W38" i="89" s="1"/>
  <c r="J37" i="89"/>
  <c r="V37" i="89" s="1"/>
  <c r="J36" i="89"/>
  <c r="W36" i="89" s="1"/>
  <c r="J35" i="89"/>
  <c r="V35" i="89" s="1"/>
  <c r="J34" i="89"/>
  <c r="W34" i="89" s="1"/>
  <c r="J33" i="89"/>
  <c r="V33" i="89" s="1"/>
  <c r="J32" i="89"/>
  <c r="W32" i="89" s="1"/>
  <c r="J31" i="89"/>
  <c r="V31" i="89" s="1"/>
  <c r="J30" i="89"/>
  <c r="W30" i="89" s="1"/>
  <c r="J29" i="89"/>
  <c r="V29" i="89" s="1"/>
  <c r="J28" i="89"/>
  <c r="W28" i="89" s="1"/>
  <c r="J27" i="89"/>
  <c r="V27" i="89" s="1"/>
  <c r="J26" i="89"/>
  <c r="W26" i="89" s="1"/>
  <c r="J25" i="89"/>
  <c r="V25" i="89" s="1"/>
  <c r="J24" i="89"/>
  <c r="W24" i="89" s="1"/>
  <c r="J23" i="89"/>
  <c r="V23" i="89" s="1"/>
  <c r="J22" i="89"/>
  <c r="W22" i="89" s="1"/>
  <c r="J21" i="89"/>
  <c r="V21" i="89" s="1"/>
  <c r="J20" i="89"/>
  <c r="V20" i="89" s="1"/>
  <c r="J19" i="89"/>
  <c r="V19" i="89" s="1"/>
  <c r="J18" i="89"/>
  <c r="W18" i="89" s="1"/>
  <c r="J17" i="89"/>
  <c r="V17" i="89" s="1"/>
  <c r="J16" i="89"/>
  <c r="V16" i="89" s="1"/>
  <c r="J15" i="89"/>
  <c r="V15" i="89" s="1"/>
  <c r="J14" i="89"/>
  <c r="W14" i="89" s="1"/>
  <c r="J13" i="89"/>
  <c r="V13" i="89" s="1"/>
  <c r="J12" i="89"/>
  <c r="V12" i="89" s="1"/>
  <c r="J11" i="89"/>
  <c r="W11" i="89" s="1"/>
  <c r="J10" i="89"/>
  <c r="W10" i="89" s="1"/>
  <c r="J9" i="89"/>
  <c r="V9" i="89" s="1"/>
  <c r="V8" i="89"/>
  <c r="N8" i="89"/>
  <c r="J8" i="89"/>
  <c r="W8" i="89" s="1"/>
  <c r="J7" i="89"/>
  <c r="W7" i="89" s="1"/>
  <c r="N6" i="89"/>
  <c r="J6" i="89"/>
  <c r="V6" i="89" s="1"/>
  <c r="N4" i="89"/>
  <c r="J100" i="88"/>
  <c r="V100" i="88" s="1"/>
  <c r="J99" i="88"/>
  <c r="W99" i="88" s="1"/>
  <c r="J98" i="88"/>
  <c r="V98" i="88" s="1"/>
  <c r="J97" i="88"/>
  <c r="V97" i="88" s="1"/>
  <c r="J96" i="88"/>
  <c r="V96" i="88" s="1"/>
  <c r="J95" i="88"/>
  <c r="W95" i="88" s="1"/>
  <c r="J94" i="88"/>
  <c r="V94" i="88" s="1"/>
  <c r="J93" i="88"/>
  <c r="V93" i="88" s="1"/>
  <c r="J92" i="88"/>
  <c r="V92" i="88" s="1"/>
  <c r="J91" i="88"/>
  <c r="W91" i="88" s="1"/>
  <c r="J90" i="88"/>
  <c r="V90" i="88" s="1"/>
  <c r="J89" i="88"/>
  <c r="V89" i="88" s="1"/>
  <c r="J88" i="88"/>
  <c r="V88" i="88" s="1"/>
  <c r="J87" i="88"/>
  <c r="W87" i="88" s="1"/>
  <c r="J86" i="88"/>
  <c r="V86" i="88" s="1"/>
  <c r="J85" i="88"/>
  <c r="V85" i="88" s="1"/>
  <c r="W84" i="88"/>
  <c r="V84" i="88"/>
  <c r="J84" i="88"/>
  <c r="J83" i="88"/>
  <c r="W83" i="88" s="1"/>
  <c r="J82" i="88"/>
  <c r="V82" i="88" s="1"/>
  <c r="J81" i="88"/>
  <c r="V81" i="88" s="1"/>
  <c r="J80" i="88"/>
  <c r="V80" i="88" s="1"/>
  <c r="J79" i="88"/>
  <c r="W79" i="88" s="1"/>
  <c r="J78" i="88"/>
  <c r="J69" i="88"/>
  <c r="W69" i="88" s="1"/>
  <c r="J68" i="88"/>
  <c r="V68" i="88" s="1"/>
  <c r="J67" i="88"/>
  <c r="V67" i="88" s="1"/>
  <c r="J66" i="88"/>
  <c r="V66" i="88" s="1"/>
  <c r="J65" i="88"/>
  <c r="W65" i="88" s="1"/>
  <c r="J64" i="88"/>
  <c r="V64" i="88" s="1"/>
  <c r="J63" i="88"/>
  <c r="V63" i="88" s="1"/>
  <c r="J62" i="88"/>
  <c r="V62" i="88" s="1"/>
  <c r="J61" i="88"/>
  <c r="W61" i="88" s="1"/>
  <c r="J60" i="88"/>
  <c r="V60" i="88" s="1"/>
  <c r="J59" i="88"/>
  <c r="W59" i="88" s="1"/>
  <c r="J58" i="88"/>
  <c r="V58" i="88" s="1"/>
  <c r="J57" i="88"/>
  <c r="W57" i="88" s="1"/>
  <c r="J56" i="88"/>
  <c r="W56" i="88" s="1"/>
  <c r="J55" i="88"/>
  <c r="W55" i="88" s="1"/>
  <c r="J54" i="88"/>
  <c r="V54" i="88" s="1"/>
  <c r="J53" i="88"/>
  <c r="V53" i="88" s="1"/>
  <c r="J52" i="88"/>
  <c r="W52" i="88" s="1"/>
  <c r="J51" i="88"/>
  <c r="W51" i="88" s="1"/>
  <c r="J50" i="88"/>
  <c r="V50" i="88" s="1"/>
  <c r="J49" i="88"/>
  <c r="V49" i="88" s="1"/>
  <c r="J48" i="88"/>
  <c r="W48" i="88" s="1"/>
  <c r="J47" i="88"/>
  <c r="V38" i="88"/>
  <c r="J38" i="88"/>
  <c r="W38" i="88" s="1"/>
  <c r="J37" i="88"/>
  <c r="V37" i="88" s="1"/>
  <c r="J36" i="88"/>
  <c r="W36" i="88" s="1"/>
  <c r="J35" i="88"/>
  <c r="V35" i="88" s="1"/>
  <c r="W34" i="88"/>
  <c r="J34" i="88"/>
  <c r="V34" i="88" s="1"/>
  <c r="V33" i="88"/>
  <c r="J33" i="88"/>
  <c r="W33" i="88" s="1"/>
  <c r="J32" i="88"/>
  <c r="W32" i="88" s="1"/>
  <c r="J31" i="88"/>
  <c r="V31" i="88" s="1"/>
  <c r="J30" i="88"/>
  <c r="W30" i="88" s="1"/>
  <c r="V29" i="88"/>
  <c r="J29" i="88"/>
  <c r="W29" i="88" s="1"/>
  <c r="J28" i="88"/>
  <c r="W28" i="88" s="1"/>
  <c r="J27" i="88"/>
  <c r="V27" i="88" s="1"/>
  <c r="J26" i="88"/>
  <c r="V26" i="88" s="1"/>
  <c r="J25" i="88"/>
  <c r="V25" i="88" s="1"/>
  <c r="J24" i="88"/>
  <c r="W24" i="88" s="1"/>
  <c r="J23" i="88"/>
  <c r="V23" i="88" s="1"/>
  <c r="J22" i="88"/>
  <c r="V22" i="88" s="1"/>
  <c r="J21" i="88"/>
  <c r="V21" i="88" s="1"/>
  <c r="J20" i="88"/>
  <c r="W20" i="88" s="1"/>
  <c r="J19" i="88"/>
  <c r="V19" i="88" s="1"/>
  <c r="J18" i="88"/>
  <c r="W18" i="88" s="1"/>
  <c r="J17" i="88"/>
  <c r="V17" i="88" s="1"/>
  <c r="J16" i="88"/>
  <c r="W16" i="88" s="1"/>
  <c r="J15" i="88"/>
  <c r="V15" i="88" s="1"/>
  <c r="J14" i="88"/>
  <c r="V14" i="88" s="1"/>
  <c r="J13" i="88"/>
  <c r="W13" i="88" s="1"/>
  <c r="J12" i="88"/>
  <c r="W12" i="88" s="1"/>
  <c r="J11" i="88"/>
  <c r="W11" i="88" s="1"/>
  <c r="J10" i="88"/>
  <c r="V10" i="88" s="1"/>
  <c r="J9" i="88"/>
  <c r="V9" i="88" s="1"/>
  <c r="N8" i="88"/>
  <c r="J8" i="88"/>
  <c r="V8" i="88" s="1"/>
  <c r="J7" i="88"/>
  <c r="V7" i="88" s="1"/>
  <c r="N6" i="88"/>
  <c r="J6" i="88"/>
  <c r="V6" i="88" s="1"/>
  <c r="N4" i="88"/>
  <c r="J100" i="87"/>
  <c r="W100" i="87" s="1"/>
  <c r="J99" i="87"/>
  <c r="V99" i="87" s="1"/>
  <c r="J98" i="87"/>
  <c r="V98" i="87" s="1"/>
  <c r="J97" i="87"/>
  <c r="V97" i="87" s="1"/>
  <c r="J96" i="87"/>
  <c r="W96" i="87" s="1"/>
  <c r="J95" i="87"/>
  <c r="V95" i="87" s="1"/>
  <c r="J94" i="87"/>
  <c r="V94" i="87" s="1"/>
  <c r="J93" i="87"/>
  <c r="W93" i="87" s="1"/>
  <c r="J92" i="87"/>
  <c r="W92" i="87" s="1"/>
  <c r="J91" i="87"/>
  <c r="V91" i="87" s="1"/>
  <c r="J90" i="87"/>
  <c r="V90" i="87" s="1"/>
  <c r="J89" i="87"/>
  <c r="V89" i="87" s="1"/>
  <c r="J88" i="87"/>
  <c r="W88" i="87" s="1"/>
  <c r="J87" i="87"/>
  <c r="V87" i="87" s="1"/>
  <c r="J86" i="87"/>
  <c r="V86" i="87" s="1"/>
  <c r="J85" i="87"/>
  <c r="V85" i="87" s="1"/>
  <c r="J84" i="87"/>
  <c r="W84" i="87" s="1"/>
  <c r="J83" i="87"/>
  <c r="V83" i="87" s="1"/>
  <c r="J82" i="87"/>
  <c r="V82" i="87" s="1"/>
  <c r="J81" i="87"/>
  <c r="V81" i="87" s="1"/>
  <c r="J80" i="87"/>
  <c r="W80" i="87" s="1"/>
  <c r="J79" i="87"/>
  <c r="V79" i="87" s="1"/>
  <c r="J78" i="87"/>
  <c r="W78" i="87" s="1"/>
  <c r="J69" i="87"/>
  <c r="W69" i="87" s="1"/>
  <c r="J68" i="87"/>
  <c r="V68" i="87" s="1"/>
  <c r="J67" i="87"/>
  <c r="V67" i="87" s="1"/>
  <c r="J66" i="87"/>
  <c r="V66" i="87" s="1"/>
  <c r="J65" i="87"/>
  <c r="W65" i="87" s="1"/>
  <c r="J64" i="87"/>
  <c r="V64" i="87" s="1"/>
  <c r="J63" i="87"/>
  <c r="V63" i="87" s="1"/>
  <c r="J62" i="87"/>
  <c r="V62" i="87" s="1"/>
  <c r="J61" i="87"/>
  <c r="W61" i="87" s="1"/>
  <c r="J60" i="87"/>
  <c r="V60" i="87" s="1"/>
  <c r="J59" i="87"/>
  <c r="V59" i="87" s="1"/>
  <c r="J58" i="87"/>
  <c r="V58" i="87" s="1"/>
  <c r="J57" i="87"/>
  <c r="W57" i="87" s="1"/>
  <c r="J56" i="87"/>
  <c r="V56" i="87" s="1"/>
  <c r="J55" i="87"/>
  <c r="V55" i="87" s="1"/>
  <c r="J54" i="87"/>
  <c r="V54" i="87" s="1"/>
  <c r="J53" i="87"/>
  <c r="W53" i="87" s="1"/>
  <c r="J52" i="87"/>
  <c r="V52" i="87" s="1"/>
  <c r="J51" i="87"/>
  <c r="V51" i="87" s="1"/>
  <c r="J50" i="87"/>
  <c r="W50" i="87" s="1"/>
  <c r="J49" i="87"/>
  <c r="W49" i="87" s="1"/>
  <c r="J48" i="87"/>
  <c r="V48" i="87" s="1"/>
  <c r="J47" i="87"/>
  <c r="W47" i="87" s="1"/>
  <c r="J38" i="87"/>
  <c r="W38" i="87" s="1"/>
  <c r="J37" i="87"/>
  <c r="V37" i="87" s="1"/>
  <c r="J36" i="87"/>
  <c r="V36" i="87" s="1"/>
  <c r="J35" i="87"/>
  <c r="W35" i="87" s="1"/>
  <c r="J34" i="87"/>
  <c r="W34" i="87" s="1"/>
  <c r="J33" i="87"/>
  <c r="V33" i="87" s="1"/>
  <c r="J32" i="87"/>
  <c r="V32" i="87" s="1"/>
  <c r="J31" i="87"/>
  <c r="W31" i="87" s="1"/>
  <c r="J30" i="87"/>
  <c r="W30" i="87" s="1"/>
  <c r="J29" i="87"/>
  <c r="V29" i="87" s="1"/>
  <c r="J28" i="87"/>
  <c r="V28" i="87" s="1"/>
  <c r="J27" i="87"/>
  <c r="V27" i="87" s="1"/>
  <c r="J26" i="87"/>
  <c r="W26" i="87" s="1"/>
  <c r="J25" i="87"/>
  <c r="V25" i="87" s="1"/>
  <c r="J24" i="87"/>
  <c r="V24" i="87" s="1"/>
  <c r="J23" i="87"/>
  <c r="W23" i="87" s="1"/>
  <c r="J22" i="87"/>
  <c r="W22" i="87" s="1"/>
  <c r="J21" i="87"/>
  <c r="V21" i="87" s="1"/>
  <c r="J20" i="87"/>
  <c r="V20" i="87" s="1"/>
  <c r="J19" i="87"/>
  <c r="V19" i="87" s="1"/>
  <c r="J18" i="87"/>
  <c r="W18" i="87" s="1"/>
  <c r="J17" i="87"/>
  <c r="V17" i="87" s="1"/>
  <c r="J16" i="87"/>
  <c r="V16" i="87" s="1"/>
  <c r="J15" i="87"/>
  <c r="V15" i="87" s="1"/>
  <c r="J14" i="87"/>
  <c r="W14" i="87" s="1"/>
  <c r="J13" i="87"/>
  <c r="V13" i="87" s="1"/>
  <c r="J12" i="87"/>
  <c r="V12" i="87" s="1"/>
  <c r="J11" i="87"/>
  <c r="V11" i="87" s="1"/>
  <c r="J10" i="87"/>
  <c r="V10" i="87" s="1"/>
  <c r="J9" i="87"/>
  <c r="V9" i="87" s="1"/>
  <c r="N8" i="87"/>
  <c r="J8" i="87"/>
  <c r="V8" i="87" s="1"/>
  <c r="J7" i="87"/>
  <c r="W7" i="87" s="1"/>
  <c r="N6" i="87"/>
  <c r="J6" i="87"/>
  <c r="V6" i="87" s="1"/>
  <c r="N4" i="87"/>
  <c r="W32" i="87" l="1"/>
  <c r="V35" i="87"/>
  <c r="W96" i="88"/>
  <c r="V36" i="88"/>
  <c r="V57" i="88"/>
  <c r="V97" i="89"/>
  <c r="W26" i="88"/>
  <c r="W56" i="90"/>
  <c r="V67" i="90"/>
  <c r="W90" i="90"/>
  <c r="V70" i="91"/>
  <c r="O6" i="91" s="1"/>
  <c r="R6" i="91" s="1"/>
  <c r="Q4" i="110"/>
  <c r="R6" i="110"/>
  <c r="Q6" i="110"/>
  <c r="R8" i="110"/>
  <c r="Q8" i="110"/>
  <c r="O10" i="110"/>
  <c r="R10" i="110" s="1"/>
  <c r="P12" i="110" s="1"/>
  <c r="W28" i="87"/>
  <c r="V31" i="87"/>
  <c r="V18" i="88"/>
  <c r="V55" i="88"/>
  <c r="V55" i="90"/>
  <c r="V78" i="90"/>
  <c r="V70" i="95"/>
  <c r="O6" i="95" s="1"/>
  <c r="R6" i="95" s="1"/>
  <c r="V13" i="88"/>
  <c r="V16" i="88"/>
  <c r="W25" i="88"/>
  <c r="V30" i="88"/>
  <c r="V32" i="88"/>
  <c r="W37" i="88"/>
  <c r="W53" i="88"/>
  <c r="V69" i="88"/>
  <c r="W92" i="88"/>
  <c r="W100" i="88"/>
  <c r="W63" i="89"/>
  <c r="V93" i="89"/>
  <c r="W98" i="89"/>
  <c r="W37" i="90"/>
  <c r="W68" i="90"/>
  <c r="W9" i="87"/>
  <c r="W59" i="89"/>
  <c r="V39" i="99"/>
  <c r="O4" i="99" s="1"/>
  <c r="W36" i="87"/>
  <c r="V50" i="87"/>
  <c r="W97" i="87"/>
  <c r="V20" i="90"/>
  <c r="W33" i="90"/>
  <c r="W83" i="90"/>
  <c r="V86" i="90"/>
  <c r="V39" i="92"/>
  <c r="O4" i="92" s="1"/>
  <c r="R4" i="92" s="1"/>
  <c r="V113" i="109"/>
  <c r="O8" i="109" s="1"/>
  <c r="R8" i="109" s="1"/>
  <c r="V82" i="109"/>
  <c r="O6" i="109" s="1"/>
  <c r="R6" i="109" s="1"/>
  <c r="V51" i="109"/>
  <c r="O4" i="109" s="1"/>
  <c r="R4" i="109" s="1"/>
  <c r="W113" i="109"/>
  <c r="P8" i="109" s="1"/>
  <c r="W82" i="109"/>
  <c r="P6" i="109" s="1"/>
  <c r="W51" i="109"/>
  <c r="P4" i="109" s="1"/>
  <c r="V113" i="108"/>
  <c r="O8" i="108" s="1"/>
  <c r="R8" i="108" s="1"/>
  <c r="V82" i="108"/>
  <c r="O6" i="108" s="1"/>
  <c r="R6" i="108" s="1"/>
  <c r="V51" i="108"/>
  <c r="O4" i="108" s="1"/>
  <c r="W113" i="108"/>
  <c r="P8" i="108" s="1"/>
  <c r="W82" i="108"/>
  <c r="P6" i="108" s="1"/>
  <c r="W51" i="108"/>
  <c r="P4" i="108" s="1"/>
  <c r="V51" i="107"/>
  <c r="O4" i="107" s="1"/>
  <c r="R4" i="107" s="1"/>
  <c r="W82" i="107"/>
  <c r="P6" i="107" s="1"/>
  <c r="V82" i="107"/>
  <c r="O6" i="107" s="1"/>
  <c r="R6" i="107" s="1"/>
  <c r="W113" i="107"/>
  <c r="P8" i="107" s="1"/>
  <c r="V113" i="107"/>
  <c r="O8" i="107" s="1"/>
  <c r="W51" i="107"/>
  <c r="P4" i="107" s="1"/>
  <c r="V113" i="106"/>
  <c r="O8" i="106" s="1"/>
  <c r="R8" i="106" s="1"/>
  <c r="W113" i="106"/>
  <c r="P8" i="106" s="1"/>
  <c r="W82" i="106"/>
  <c r="P6" i="106" s="1"/>
  <c r="V51" i="106"/>
  <c r="O4" i="106" s="1"/>
  <c r="R4" i="106" s="1"/>
  <c r="W51" i="106"/>
  <c r="P4" i="106" s="1"/>
  <c r="V82" i="106"/>
  <c r="O6" i="106" s="1"/>
  <c r="W101" i="105"/>
  <c r="P8" i="105" s="1"/>
  <c r="W70" i="105"/>
  <c r="P6" i="105" s="1"/>
  <c r="V101" i="105"/>
  <c r="O8" i="105" s="1"/>
  <c r="V70" i="105"/>
  <c r="O6" i="105" s="1"/>
  <c r="W39" i="105"/>
  <c r="P4" i="105" s="1"/>
  <c r="V39" i="105"/>
  <c r="O4" i="105" s="1"/>
  <c r="V70" i="104"/>
  <c r="O6" i="104" s="1"/>
  <c r="R6" i="104" s="1"/>
  <c r="V101" i="104"/>
  <c r="O8" i="104" s="1"/>
  <c r="R8" i="104" s="1"/>
  <c r="V39" i="104"/>
  <c r="O4" i="104" s="1"/>
  <c r="R4" i="104" s="1"/>
  <c r="W70" i="104"/>
  <c r="P6" i="104" s="1"/>
  <c r="W101" i="104"/>
  <c r="P8" i="104" s="1"/>
  <c r="W39" i="104"/>
  <c r="P4" i="104" s="1"/>
  <c r="V70" i="103"/>
  <c r="O6" i="103" s="1"/>
  <c r="R6" i="103" s="1"/>
  <c r="V39" i="103"/>
  <c r="O4" i="103" s="1"/>
  <c r="R4" i="103" s="1"/>
  <c r="V101" i="103"/>
  <c r="O8" i="103" s="1"/>
  <c r="R8" i="103" s="1"/>
  <c r="W70" i="103"/>
  <c r="P6" i="103" s="1"/>
  <c r="W101" i="103"/>
  <c r="P8" i="103" s="1"/>
  <c r="W39" i="103"/>
  <c r="P4" i="103" s="1"/>
  <c r="W70" i="102"/>
  <c r="P6" i="102" s="1"/>
  <c r="W101" i="102"/>
  <c r="P8" i="102" s="1"/>
  <c r="V101" i="102"/>
  <c r="O8" i="102" s="1"/>
  <c r="V70" i="102"/>
  <c r="O6" i="102" s="1"/>
  <c r="V39" i="102"/>
  <c r="O4" i="102" s="1"/>
  <c r="W39" i="102"/>
  <c r="P4" i="102" s="1"/>
  <c r="V101" i="101"/>
  <c r="O8" i="101" s="1"/>
  <c r="R8" i="101" s="1"/>
  <c r="V70" i="101"/>
  <c r="O6" i="101" s="1"/>
  <c r="R6" i="101" s="1"/>
  <c r="V39" i="101"/>
  <c r="O4" i="101" s="1"/>
  <c r="W101" i="101"/>
  <c r="P8" i="101" s="1"/>
  <c r="W70" i="101"/>
  <c r="P6" i="101" s="1"/>
  <c r="W39" i="101"/>
  <c r="P4" i="101" s="1"/>
  <c r="V39" i="100"/>
  <c r="O4" i="100" s="1"/>
  <c r="R4" i="100" s="1"/>
  <c r="W70" i="100"/>
  <c r="P6" i="100" s="1"/>
  <c r="V101" i="100"/>
  <c r="O8" i="100" s="1"/>
  <c r="R8" i="100" s="1"/>
  <c r="W101" i="100"/>
  <c r="P8" i="100" s="1"/>
  <c r="W39" i="100"/>
  <c r="P4" i="100" s="1"/>
  <c r="V70" i="100"/>
  <c r="O6" i="100" s="1"/>
  <c r="V70" i="99"/>
  <c r="O6" i="99" s="1"/>
  <c r="R6" i="99" s="1"/>
  <c r="V101" i="99"/>
  <c r="O8" i="99" s="1"/>
  <c r="R8" i="99" s="1"/>
  <c r="R4" i="99"/>
  <c r="W101" i="99"/>
  <c r="P8" i="99" s="1"/>
  <c r="W70" i="99"/>
  <c r="P6" i="99" s="1"/>
  <c r="W39" i="99"/>
  <c r="P4" i="99" s="1"/>
  <c r="V39" i="98"/>
  <c r="O4" i="98" s="1"/>
  <c r="R4" i="98" s="1"/>
  <c r="W101" i="98"/>
  <c r="P8" i="98" s="1"/>
  <c r="V70" i="98"/>
  <c r="O6" i="98" s="1"/>
  <c r="R6" i="98" s="1"/>
  <c r="V101" i="98"/>
  <c r="O8" i="98" s="1"/>
  <c r="R8" i="98" s="1"/>
  <c r="W70" i="98"/>
  <c r="P6" i="98" s="1"/>
  <c r="W39" i="98"/>
  <c r="P4" i="98" s="1"/>
  <c r="V39" i="97"/>
  <c r="O4" i="97" s="1"/>
  <c r="R4" i="97" s="1"/>
  <c r="V101" i="97"/>
  <c r="O8" i="97" s="1"/>
  <c r="R8" i="97" s="1"/>
  <c r="W101" i="97"/>
  <c r="P8" i="97" s="1"/>
  <c r="V70" i="97"/>
  <c r="O6" i="97" s="1"/>
  <c r="R6" i="97" s="1"/>
  <c r="W70" i="97"/>
  <c r="P6" i="97" s="1"/>
  <c r="W39" i="97"/>
  <c r="P4" i="97" s="1"/>
  <c r="V70" i="96"/>
  <c r="O6" i="96" s="1"/>
  <c r="R6" i="96" s="1"/>
  <c r="V39" i="96"/>
  <c r="O4" i="96" s="1"/>
  <c r="V101" i="96"/>
  <c r="O8" i="96" s="1"/>
  <c r="R8" i="96" s="1"/>
  <c r="W101" i="96"/>
  <c r="P8" i="96" s="1"/>
  <c r="W70" i="96"/>
  <c r="P6" i="96" s="1"/>
  <c r="W39" i="96"/>
  <c r="P4" i="96" s="1"/>
  <c r="V39" i="95"/>
  <c r="O4" i="95" s="1"/>
  <c r="R4" i="95" s="1"/>
  <c r="V101" i="95"/>
  <c r="O8" i="95" s="1"/>
  <c r="R8" i="95" s="1"/>
  <c r="W101" i="95"/>
  <c r="P8" i="95" s="1"/>
  <c r="W70" i="95"/>
  <c r="P6" i="95" s="1"/>
  <c r="W39" i="95"/>
  <c r="P4" i="95" s="1"/>
  <c r="V39" i="94"/>
  <c r="O4" i="94" s="1"/>
  <c r="R4" i="94" s="1"/>
  <c r="V101" i="94"/>
  <c r="O8" i="94" s="1"/>
  <c r="R8" i="94" s="1"/>
  <c r="V70" i="94"/>
  <c r="O6" i="94" s="1"/>
  <c r="R6" i="94" s="1"/>
  <c r="W70" i="94"/>
  <c r="P6" i="94" s="1"/>
  <c r="W39" i="94"/>
  <c r="P4" i="94" s="1"/>
  <c r="W101" i="94"/>
  <c r="P8" i="94" s="1"/>
  <c r="V70" i="93"/>
  <c r="O6" i="93" s="1"/>
  <c r="R6" i="93" s="1"/>
  <c r="V39" i="93"/>
  <c r="O4" i="93" s="1"/>
  <c r="R4" i="93" s="1"/>
  <c r="V101" i="93"/>
  <c r="O8" i="93" s="1"/>
  <c r="R8" i="93" s="1"/>
  <c r="W70" i="93"/>
  <c r="P6" i="93" s="1"/>
  <c r="W39" i="93"/>
  <c r="P4" i="93" s="1"/>
  <c r="W101" i="93"/>
  <c r="P8" i="93" s="1"/>
  <c r="V101" i="92"/>
  <c r="O8" i="92" s="1"/>
  <c r="R8" i="92" s="1"/>
  <c r="V70" i="92"/>
  <c r="O6" i="92" s="1"/>
  <c r="R6" i="92" s="1"/>
  <c r="W39" i="92"/>
  <c r="P4" i="92" s="1"/>
  <c r="W70" i="92"/>
  <c r="P6" i="92" s="1"/>
  <c r="W101" i="92"/>
  <c r="P8" i="92" s="1"/>
  <c r="V39" i="91"/>
  <c r="O4" i="91" s="1"/>
  <c r="R4" i="91" s="1"/>
  <c r="W39" i="91"/>
  <c r="P4" i="91" s="1"/>
  <c r="W70" i="91"/>
  <c r="P6" i="91" s="1"/>
  <c r="Q6" i="91" s="1"/>
  <c r="W101" i="91"/>
  <c r="P8" i="91" s="1"/>
  <c r="Q8" i="91" s="1"/>
  <c r="V24" i="90"/>
  <c r="W64" i="90"/>
  <c r="W94" i="90"/>
  <c r="W21" i="90"/>
  <c r="W91" i="90"/>
  <c r="V59" i="90"/>
  <c r="W87" i="90"/>
  <c r="W12" i="90"/>
  <c r="W52" i="90"/>
  <c r="W11" i="90"/>
  <c r="V51" i="90"/>
  <c r="W48" i="90"/>
  <c r="W82" i="90"/>
  <c r="W98" i="90"/>
  <c r="J101" i="90"/>
  <c r="W79" i="90"/>
  <c r="W95" i="90"/>
  <c r="W47" i="90"/>
  <c r="J70" i="90"/>
  <c r="W63" i="90"/>
  <c r="W60" i="90"/>
  <c r="W10" i="90"/>
  <c r="W13" i="90"/>
  <c r="V16" i="90"/>
  <c r="W29" i="90"/>
  <c r="W17" i="90"/>
  <c r="W28" i="90"/>
  <c r="W6" i="90"/>
  <c r="W25" i="90"/>
  <c r="V7" i="90"/>
  <c r="V8" i="90"/>
  <c r="W9" i="90"/>
  <c r="V14" i="90"/>
  <c r="W15" i="90"/>
  <c r="V18" i="90"/>
  <c r="W19" i="90"/>
  <c r="V22" i="90"/>
  <c r="W23" i="90"/>
  <c r="V26" i="90"/>
  <c r="W27" i="90"/>
  <c r="V30" i="90"/>
  <c r="W31" i="90"/>
  <c r="V34" i="90"/>
  <c r="W35" i="90"/>
  <c r="V38" i="90"/>
  <c r="V49" i="90"/>
  <c r="W50" i="90"/>
  <c r="V53" i="90"/>
  <c r="W54" i="90"/>
  <c r="V57" i="90"/>
  <c r="W58" i="90"/>
  <c r="V61" i="90"/>
  <c r="W62" i="90"/>
  <c r="V65" i="90"/>
  <c r="W66" i="90"/>
  <c r="V69" i="90"/>
  <c r="V80" i="90"/>
  <c r="W81" i="90"/>
  <c r="V84" i="90"/>
  <c r="W85" i="90"/>
  <c r="V88" i="90"/>
  <c r="W89" i="90"/>
  <c r="V92" i="90"/>
  <c r="W93" i="90"/>
  <c r="V96" i="90"/>
  <c r="W97" i="90"/>
  <c r="V100" i="90"/>
  <c r="V50" i="90"/>
  <c r="N10" i="90"/>
  <c r="J39" i="90"/>
  <c r="W99" i="90"/>
  <c r="V66" i="89"/>
  <c r="W62" i="89"/>
  <c r="W27" i="89"/>
  <c r="W19" i="89"/>
  <c r="W35" i="89"/>
  <c r="W31" i="89"/>
  <c r="W23" i="89"/>
  <c r="V24" i="89"/>
  <c r="V28" i="89"/>
  <c r="V32" i="89"/>
  <c r="V36" i="89"/>
  <c r="W90" i="89"/>
  <c r="W58" i="89"/>
  <c r="W15" i="89"/>
  <c r="W55" i="89"/>
  <c r="V85" i="89"/>
  <c r="V54" i="89"/>
  <c r="W82" i="89"/>
  <c r="W51" i="89"/>
  <c r="V11" i="89"/>
  <c r="V50" i="89"/>
  <c r="W81" i="89"/>
  <c r="J101" i="89"/>
  <c r="W47" i="89"/>
  <c r="W78" i="89"/>
  <c r="V78" i="89"/>
  <c r="W94" i="89"/>
  <c r="J70" i="89"/>
  <c r="V10" i="89"/>
  <c r="W9" i="89"/>
  <c r="W12" i="89"/>
  <c r="W16" i="89"/>
  <c r="W20" i="89"/>
  <c r="V7" i="89"/>
  <c r="V14" i="89"/>
  <c r="V18" i="89"/>
  <c r="V22" i="89"/>
  <c r="V26" i="89"/>
  <c r="V30" i="89"/>
  <c r="V34" i="89"/>
  <c r="V38" i="89"/>
  <c r="V49" i="89"/>
  <c r="V53" i="89"/>
  <c r="V57" i="89"/>
  <c r="V61" i="89"/>
  <c r="V65" i="89"/>
  <c r="V69" i="89"/>
  <c r="V80" i="89"/>
  <c r="V84" i="89"/>
  <c r="V88" i="89"/>
  <c r="V92" i="89"/>
  <c r="V96" i="89"/>
  <c r="V100" i="89"/>
  <c r="W6" i="89"/>
  <c r="N10" i="89"/>
  <c r="W13" i="89"/>
  <c r="W17" i="89"/>
  <c r="W21" i="89"/>
  <c r="W25" i="89"/>
  <c r="W29" i="89"/>
  <c r="W33" i="89"/>
  <c r="W37" i="89"/>
  <c r="J39" i="89"/>
  <c r="W48" i="89"/>
  <c r="W52" i="89"/>
  <c r="W56" i="89"/>
  <c r="W60" i="89"/>
  <c r="W64" i="89"/>
  <c r="W68" i="89"/>
  <c r="W79" i="89"/>
  <c r="W83" i="89"/>
  <c r="W87" i="89"/>
  <c r="W91" i="89"/>
  <c r="W95" i="89"/>
  <c r="W99" i="89"/>
  <c r="W21" i="88"/>
  <c r="V20" i="88"/>
  <c r="V59" i="88"/>
  <c r="W88" i="88"/>
  <c r="V56" i="88"/>
  <c r="W14" i="88"/>
  <c r="V11" i="88"/>
  <c r="V52" i="88"/>
  <c r="W80" i="88"/>
  <c r="J70" i="88"/>
  <c r="V48" i="88"/>
  <c r="J101" i="88"/>
  <c r="V47" i="88"/>
  <c r="V79" i="88"/>
  <c r="V83" i="88"/>
  <c r="V87" i="88"/>
  <c r="V91" i="88"/>
  <c r="V95" i="88"/>
  <c r="V99" i="88"/>
  <c r="V61" i="88"/>
  <c r="V65" i="88"/>
  <c r="W49" i="88"/>
  <c r="W60" i="88"/>
  <c r="W64" i="88"/>
  <c r="W68" i="88"/>
  <c r="V51" i="88"/>
  <c r="W6" i="88"/>
  <c r="W7" i="88"/>
  <c r="V12" i="88"/>
  <c r="W17" i="88"/>
  <c r="W22" i="88"/>
  <c r="V28" i="88"/>
  <c r="V24" i="88"/>
  <c r="N10" i="88"/>
  <c r="J39" i="88"/>
  <c r="W8" i="88"/>
  <c r="W9" i="88"/>
  <c r="W10" i="88"/>
  <c r="W15" i="88"/>
  <c r="W19" i="88"/>
  <c r="W23" i="88"/>
  <c r="W27" i="88"/>
  <c r="W31" i="88"/>
  <c r="W35" i="88"/>
  <c r="W50" i="88"/>
  <c r="W54" i="88"/>
  <c r="W58" i="88"/>
  <c r="W62" i="88"/>
  <c r="W66" i="88"/>
  <c r="W81" i="88"/>
  <c r="W85" i="88"/>
  <c r="W89" i="88"/>
  <c r="W93" i="88"/>
  <c r="W97" i="88"/>
  <c r="W47" i="88"/>
  <c r="W63" i="88"/>
  <c r="W67" i="88"/>
  <c r="W78" i="88"/>
  <c r="W82" i="88"/>
  <c r="W86" i="88"/>
  <c r="W90" i="88"/>
  <c r="W94" i="88"/>
  <c r="W98" i="88"/>
  <c r="V78" i="88"/>
  <c r="W67" i="87"/>
  <c r="W98" i="87"/>
  <c r="W27" i="87"/>
  <c r="W66" i="87"/>
  <c r="W24" i="87"/>
  <c r="V23" i="87"/>
  <c r="W63" i="87"/>
  <c r="W94" i="87"/>
  <c r="V93" i="87"/>
  <c r="W20" i="87"/>
  <c r="W90" i="87"/>
  <c r="W58" i="87"/>
  <c r="W16" i="87"/>
  <c r="W85" i="87"/>
  <c r="W54" i="87"/>
  <c r="W51" i="87"/>
  <c r="J70" i="87"/>
  <c r="W81" i="87"/>
  <c r="W8" i="87"/>
  <c r="J101" i="87"/>
  <c r="W82" i="87"/>
  <c r="W89" i="87"/>
  <c r="N10" i="87"/>
  <c r="W86" i="87"/>
  <c r="W55" i="87"/>
  <c r="W62" i="87"/>
  <c r="W59" i="87"/>
  <c r="V7" i="87"/>
  <c r="W11" i="87"/>
  <c r="V14" i="87"/>
  <c r="W15" i="87"/>
  <c r="W10" i="87"/>
  <c r="W19" i="87"/>
  <c r="V18" i="87"/>
  <c r="V22" i="87"/>
  <c r="V26" i="87"/>
  <c r="V30" i="87"/>
  <c r="V34" i="87"/>
  <c r="V38" i="87"/>
  <c r="V49" i="87"/>
  <c r="V53" i="87"/>
  <c r="V57" i="87"/>
  <c r="V61" i="87"/>
  <c r="V65" i="87"/>
  <c r="V69" i="87"/>
  <c r="V80" i="87"/>
  <c r="V84" i="87"/>
  <c r="V88" i="87"/>
  <c r="V92" i="87"/>
  <c r="V96" i="87"/>
  <c r="V100" i="87"/>
  <c r="W12" i="87"/>
  <c r="W6" i="87"/>
  <c r="W13" i="87"/>
  <c r="W17" i="87"/>
  <c r="W21" i="87"/>
  <c r="W25" i="87"/>
  <c r="W29" i="87"/>
  <c r="W33" i="87"/>
  <c r="W37" i="87"/>
  <c r="J39" i="87"/>
  <c r="V47" i="87"/>
  <c r="W48" i="87"/>
  <c r="W52" i="87"/>
  <c r="W56" i="87"/>
  <c r="W60" i="87"/>
  <c r="W64" i="87"/>
  <c r="W68" i="87"/>
  <c r="V78" i="87"/>
  <c r="W79" i="87"/>
  <c r="W83" i="87"/>
  <c r="W87" i="87"/>
  <c r="W91" i="87"/>
  <c r="W95" i="87"/>
  <c r="W99" i="87"/>
  <c r="Q10" i="110" l="1"/>
  <c r="Q6" i="107"/>
  <c r="Q6" i="95"/>
  <c r="Q8" i="109"/>
  <c r="Q6" i="109"/>
  <c r="O10" i="109"/>
  <c r="R10" i="109" s="1"/>
  <c r="P12" i="109" s="1"/>
  <c r="P10" i="109"/>
  <c r="Q4" i="109"/>
  <c r="Q8" i="108"/>
  <c r="O10" i="108"/>
  <c r="R10" i="108" s="1"/>
  <c r="P12" i="108" s="1"/>
  <c r="Q6" i="108"/>
  <c r="Q4" i="108"/>
  <c r="R4" i="108"/>
  <c r="P10" i="108"/>
  <c r="Q4" i="107"/>
  <c r="Q8" i="107"/>
  <c r="P10" i="107"/>
  <c r="R8" i="107"/>
  <c r="O10" i="107"/>
  <c r="R10" i="107" s="1"/>
  <c r="P12" i="107" s="1"/>
  <c r="Q8" i="106"/>
  <c r="P10" i="106"/>
  <c r="Q4" i="106"/>
  <c r="Q6" i="106"/>
  <c r="R6" i="106"/>
  <c r="O10" i="106"/>
  <c r="R10" i="106" s="1"/>
  <c r="P12" i="106" s="1"/>
  <c r="Q8" i="105"/>
  <c r="Q6" i="105"/>
  <c r="P10" i="105"/>
  <c r="R6" i="105"/>
  <c r="R8" i="105"/>
  <c r="O10" i="105"/>
  <c r="R10" i="105" s="1"/>
  <c r="P12" i="105" s="1"/>
  <c r="R4" i="105"/>
  <c r="Q4" i="105"/>
  <c r="Q6" i="104"/>
  <c r="Q8" i="104"/>
  <c r="O10" i="104"/>
  <c r="R10" i="104" s="1"/>
  <c r="P12" i="104" s="1"/>
  <c r="Q4" i="104"/>
  <c r="P10" i="104"/>
  <c r="Q6" i="103"/>
  <c r="Q8" i="103"/>
  <c r="O10" i="103"/>
  <c r="R10" i="103" s="1"/>
  <c r="P12" i="103" s="1"/>
  <c r="P10" i="103"/>
  <c r="Q4" i="103"/>
  <c r="P10" i="102"/>
  <c r="Q8" i="102"/>
  <c r="R8" i="102"/>
  <c r="R6" i="102"/>
  <c r="Q6" i="102"/>
  <c r="R4" i="102"/>
  <c r="O10" i="102"/>
  <c r="R10" i="102" s="1"/>
  <c r="P12" i="102" s="1"/>
  <c r="Q4" i="102"/>
  <c r="Q8" i="101"/>
  <c r="O10" i="101"/>
  <c r="R10" i="101" s="1"/>
  <c r="P12" i="101" s="1"/>
  <c r="Q6" i="101"/>
  <c r="R4" i="101"/>
  <c r="P10" i="101"/>
  <c r="Q4" i="101"/>
  <c r="Q4" i="100"/>
  <c r="P10" i="100"/>
  <c r="Q8" i="100"/>
  <c r="R6" i="100"/>
  <c r="Q6" i="100"/>
  <c r="O10" i="100"/>
  <c r="R10" i="100" s="1"/>
  <c r="P12" i="100" s="1"/>
  <c r="Q6" i="99"/>
  <c r="O10" i="99"/>
  <c r="R10" i="99" s="1"/>
  <c r="P12" i="99" s="1"/>
  <c r="Q8" i="99"/>
  <c r="P10" i="99"/>
  <c r="Q4" i="99"/>
  <c r="Q6" i="98"/>
  <c r="P10" i="98"/>
  <c r="Q8" i="98"/>
  <c r="O10" i="98"/>
  <c r="R10" i="98" s="1"/>
  <c r="P12" i="98" s="1"/>
  <c r="Q4" i="98"/>
  <c r="Q4" i="97"/>
  <c r="Q8" i="97"/>
  <c r="P10" i="97"/>
  <c r="O10" i="97"/>
  <c r="R10" i="97" s="1"/>
  <c r="P12" i="97" s="1"/>
  <c r="Q6" i="97"/>
  <c r="Q6" i="96"/>
  <c r="Q4" i="96"/>
  <c r="R4" i="96"/>
  <c r="O10" i="96"/>
  <c r="R10" i="96" s="1"/>
  <c r="P12" i="96" s="1"/>
  <c r="Q8" i="96"/>
  <c r="P10" i="96"/>
  <c r="Q4" i="95"/>
  <c r="O10" i="95"/>
  <c r="R10" i="95" s="1"/>
  <c r="P12" i="95" s="1"/>
  <c r="Q8" i="95"/>
  <c r="P10" i="95"/>
  <c r="Q8" i="94"/>
  <c r="Q6" i="94"/>
  <c r="O10" i="94"/>
  <c r="R10" i="94" s="1"/>
  <c r="P12" i="94" s="1"/>
  <c r="P10" i="94"/>
  <c r="Q4" i="94"/>
  <c r="Q6" i="93"/>
  <c r="Q4" i="93"/>
  <c r="O10" i="93"/>
  <c r="R10" i="93" s="1"/>
  <c r="P12" i="93" s="1"/>
  <c r="Q8" i="93"/>
  <c r="P10" i="93"/>
  <c r="Q8" i="92"/>
  <c r="Q6" i="92"/>
  <c r="O10" i="92"/>
  <c r="R10" i="92" s="1"/>
  <c r="P12" i="92" s="1"/>
  <c r="P10" i="92"/>
  <c r="Q4" i="92"/>
  <c r="O10" i="91"/>
  <c r="R10" i="91" s="1"/>
  <c r="P12" i="91" s="1"/>
  <c r="P10" i="91"/>
  <c r="Q4" i="91"/>
  <c r="Q10" i="91" s="1"/>
  <c r="V101" i="90"/>
  <c r="O8" i="90" s="1"/>
  <c r="R8" i="90" s="1"/>
  <c r="W101" i="90"/>
  <c r="P8" i="90" s="1"/>
  <c r="V70" i="90"/>
  <c r="O6" i="90" s="1"/>
  <c r="W70" i="90"/>
  <c r="P6" i="90" s="1"/>
  <c r="V39" i="90"/>
  <c r="O4" i="90" s="1"/>
  <c r="W39" i="90"/>
  <c r="P4" i="90" s="1"/>
  <c r="W70" i="89"/>
  <c r="P6" i="89" s="1"/>
  <c r="W101" i="89"/>
  <c r="P8" i="89" s="1"/>
  <c r="V101" i="89"/>
  <c r="O8" i="89" s="1"/>
  <c r="V70" i="89"/>
  <c r="O6" i="89" s="1"/>
  <c r="R6" i="89" s="1"/>
  <c r="V39" i="89"/>
  <c r="O4" i="89" s="1"/>
  <c r="W39" i="89"/>
  <c r="P4" i="89" s="1"/>
  <c r="V39" i="88"/>
  <c r="O4" i="88" s="1"/>
  <c r="R4" i="88" s="1"/>
  <c r="V70" i="88"/>
  <c r="O6" i="88" s="1"/>
  <c r="R6" i="88" s="1"/>
  <c r="W101" i="88"/>
  <c r="P8" i="88" s="1"/>
  <c r="V101" i="88"/>
  <c r="O8" i="88" s="1"/>
  <c r="R8" i="88" s="1"/>
  <c r="W39" i="88"/>
  <c r="P4" i="88" s="1"/>
  <c r="W70" i="88"/>
  <c r="P6" i="88" s="1"/>
  <c r="W70" i="87"/>
  <c r="P6" i="87" s="1"/>
  <c r="W101" i="87"/>
  <c r="P8" i="87" s="1"/>
  <c r="V101" i="87"/>
  <c r="O8" i="87" s="1"/>
  <c r="R8" i="87" s="1"/>
  <c r="V39" i="87"/>
  <c r="O4" i="87" s="1"/>
  <c r="R4" i="87" s="1"/>
  <c r="W39" i="87"/>
  <c r="P4" i="87" s="1"/>
  <c r="V70" i="87"/>
  <c r="O6" i="87" s="1"/>
  <c r="Q10" i="109" l="1"/>
  <c r="Q10" i="108"/>
  <c r="Q10" i="107"/>
  <c r="Q10" i="106"/>
  <c r="Q10" i="105"/>
  <c r="Q10" i="104"/>
  <c r="Q10" i="103"/>
  <c r="Q10" i="102"/>
  <c r="Q10" i="101"/>
  <c r="Q10" i="100"/>
  <c r="Q10" i="99"/>
  <c r="Q10" i="98"/>
  <c r="Q10" i="97"/>
  <c r="Q10" i="96"/>
  <c r="Q10" i="95"/>
  <c r="Q10" i="94"/>
  <c r="Q10" i="93"/>
  <c r="Q10" i="92"/>
  <c r="Q6" i="90"/>
  <c r="Q4" i="90"/>
  <c r="Q8" i="90"/>
  <c r="R6" i="90"/>
  <c r="P10" i="90"/>
  <c r="R4" i="90"/>
  <c r="O10" i="90"/>
  <c r="R10" i="90" s="1"/>
  <c r="P12" i="90" s="1"/>
  <c r="Q4" i="89"/>
  <c r="Q6" i="89"/>
  <c r="Q8" i="89"/>
  <c r="P10" i="89"/>
  <c r="R8" i="89"/>
  <c r="O10" i="89"/>
  <c r="R10" i="89" s="1"/>
  <c r="P12" i="89" s="1"/>
  <c r="R4" i="89"/>
  <c r="Q8" i="88"/>
  <c r="Q4" i="88"/>
  <c r="Q6" i="88"/>
  <c r="O10" i="88"/>
  <c r="R10" i="88" s="1"/>
  <c r="P12" i="88" s="1"/>
  <c r="P10" i="88"/>
  <c r="P10" i="87"/>
  <c r="Q8" i="87"/>
  <c r="Q4" i="87"/>
  <c r="R6" i="87"/>
  <c r="Q6" i="87"/>
  <c r="O10" i="87"/>
  <c r="R10" i="87" s="1"/>
  <c r="P12" i="87" s="1"/>
  <c r="Q10" i="90" l="1"/>
  <c r="Q10" i="89"/>
  <c r="Q10" i="88"/>
  <c r="Q10" i="87"/>
  <c r="J100" i="86" l="1"/>
  <c r="W100" i="86" s="1"/>
  <c r="J99" i="86"/>
  <c r="V99" i="86" s="1"/>
  <c r="W98" i="86"/>
  <c r="V98" i="86"/>
  <c r="J98" i="86"/>
  <c r="J97" i="86"/>
  <c r="W97" i="86" s="1"/>
  <c r="J96" i="86"/>
  <c r="W96" i="86" s="1"/>
  <c r="J95" i="86"/>
  <c r="V95" i="86" s="1"/>
  <c r="J94" i="86"/>
  <c r="V94" i="86" s="1"/>
  <c r="J93" i="86"/>
  <c r="W93" i="86" s="1"/>
  <c r="J92" i="86"/>
  <c r="W92" i="86" s="1"/>
  <c r="J91" i="86"/>
  <c r="V91" i="86" s="1"/>
  <c r="J90" i="86"/>
  <c r="V90" i="86" s="1"/>
  <c r="J89" i="86"/>
  <c r="W89" i="86" s="1"/>
  <c r="J88" i="86"/>
  <c r="W88" i="86" s="1"/>
  <c r="J87" i="86"/>
  <c r="V87" i="86" s="1"/>
  <c r="J86" i="86"/>
  <c r="V86" i="86" s="1"/>
  <c r="J85" i="86"/>
  <c r="W85" i="86" s="1"/>
  <c r="J84" i="86"/>
  <c r="W84" i="86" s="1"/>
  <c r="J83" i="86"/>
  <c r="V83" i="86" s="1"/>
  <c r="J82" i="86"/>
  <c r="V82" i="86" s="1"/>
  <c r="J81" i="86"/>
  <c r="W81" i="86" s="1"/>
  <c r="J80" i="86"/>
  <c r="W80" i="86" s="1"/>
  <c r="J79" i="86"/>
  <c r="V79" i="86" s="1"/>
  <c r="J78" i="86"/>
  <c r="J69" i="86"/>
  <c r="W69" i="86" s="1"/>
  <c r="J68" i="86"/>
  <c r="V68" i="86" s="1"/>
  <c r="W67" i="86"/>
  <c r="J67" i="86"/>
  <c r="V67" i="86" s="1"/>
  <c r="J66" i="86"/>
  <c r="W66" i="86" s="1"/>
  <c r="J65" i="86"/>
  <c r="W65" i="86" s="1"/>
  <c r="J64" i="86"/>
  <c r="V64" i="86" s="1"/>
  <c r="J63" i="86"/>
  <c r="V63" i="86" s="1"/>
  <c r="J62" i="86"/>
  <c r="W62" i="86" s="1"/>
  <c r="J61" i="86"/>
  <c r="W61" i="86" s="1"/>
  <c r="J60" i="86"/>
  <c r="V60" i="86" s="1"/>
  <c r="J59" i="86"/>
  <c r="V59" i="86" s="1"/>
  <c r="J58" i="86"/>
  <c r="W58" i="86" s="1"/>
  <c r="J57" i="86"/>
  <c r="W57" i="86" s="1"/>
  <c r="J56" i="86"/>
  <c r="V56" i="86" s="1"/>
  <c r="J55" i="86"/>
  <c r="W55" i="86" s="1"/>
  <c r="J54" i="86"/>
  <c r="W54" i="86" s="1"/>
  <c r="J53" i="86"/>
  <c r="W53" i="86" s="1"/>
  <c r="J52" i="86"/>
  <c r="V52" i="86" s="1"/>
  <c r="J51" i="86"/>
  <c r="V51" i="86" s="1"/>
  <c r="J50" i="86"/>
  <c r="W50" i="86" s="1"/>
  <c r="J49" i="86"/>
  <c r="W49" i="86" s="1"/>
  <c r="J48" i="86"/>
  <c r="V48" i="86" s="1"/>
  <c r="J47" i="86"/>
  <c r="V47" i="86" s="1"/>
  <c r="J38" i="86"/>
  <c r="W38" i="86" s="1"/>
  <c r="J37" i="86"/>
  <c r="V37" i="86" s="1"/>
  <c r="J36" i="86"/>
  <c r="W36" i="86" s="1"/>
  <c r="J35" i="86"/>
  <c r="W35" i="86" s="1"/>
  <c r="J34" i="86"/>
  <c r="W34" i="86" s="1"/>
  <c r="J33" i="86"/>
  <c r="V33" i="86" s="1"/>
  <c r="J32" i="86"/>
  <c r="V32" i="86" s="1"/>
  <c r="J31" i="86"/>
  <c r="W31" i="86" s="1"/>
  <c r="J30" i="86"/>
  <c r="W30" i="86" s="1"/>
  <c r="J29" i="86"/>
  <c r="V29" i="86" s="1"/>
  <c r="J28" i="86"/>
  <c r="V28" i="86" s="1"/>
  <c r="J27" i="86"/>
  <c r="W27" i="86" s="1"/>
  <c r="J26" i="86"/>
  <c r="W26" i="86" s="1"/>
  <c r="J25" i="86"/>
  <c r="V25" i="86" s="1"/>
  <c r="J24" i="86"/>
  <c r="V24" i="86" s="1"/>
  <c r="V23" i="86"/>
  <c r="J23" i="86"/>
  <c r="W23" i="86" s="1"/>
  <c r="J22" i="86"/>
  <c r="W22" i="86" s="1"/>
  <c r="J21" i="86"/>
  <c r="V21" i="86" s="1"/>
  <c r="J20" i="86"/>
  <c r="V20" i="86" s="1"/>
  <c r="J19" i="86"/>
  <c r="W19" i="86" s="1"/>
  <c r="J18" i="86"/>
  <c r="W18" i="86" s="1"/>
  <c r="J17" i="86"/>
  <c r="V17" i="86" s="1"/>
  <c r="J16" i="86"/>
  <c r="V16" i="86" s="1"/>
  <c r="J15" i="86"/>
  <c r="W15" i="86" s="1"/>
  <c r="J14" i="86"/>
  <c r="W14" i="86" s="1"/>
  <c r="J13" i="86"/>
  <c r="V13" i="86" s="1"/>
  <c r="J12" i="86"/>
  <c r="V12" i="86" s="1"/>
  <c r="J11" i="86"/>
  <c r="V11" i="86" s="1"/>
  <c r="J10" i="86"/>
  <c r="W10" i="86" s="1"/>
  <c r="J9" i="86"/>
  <c r="W9" i="86" s="1"/>
  <c r="N8" i="86"/>
  <c r="J8" i="86"/>
  <c r="W8" i="86" s="1"/>
  <c r="J7" i="86"/>
  <c r="W7" i="86" s="1"/>
  <c r="N6" i="86"/>
  <c r="J6" i="86"/>
  <c r="V6" i="86" s="1"/>
  <c r="N4" i="86"/>
  <c r="J100" i="85"/>
  <c r="V100" i="85" s="1"/>
  <c r="J99" i="85"/>
  <c r="V99" i="85" s="1"/>
  <c r="J98" i="85"/>
  <c r="W98" i="85" s="1"/>
  <c r="J97" i="85"/>
  <c r="V97" i="85" s="1"/>
  <c r="J96" i="85"/>
  <c r="V96" i="85" s="1"/>
  <c r="J95" i="85"/>
  <c r="V95" i="85" s="1"/>
  <c r="J94" i="85"/>
  <c r="W94" i="85" s="1"/>
  <c r="J93" i="85"/>
  <c r="V93" i="85" s="1"/>
  <c r="J92" i="85"/>
  <c r="V92" i="85" s="1"/>
  <c r="J91" i="85"/>
  <c r="V91" i="85" s="1"/>
  <c r="J90" i="85"/>
  <c r="W90" i="85" s="1"/>
  <c r="J89" i="85"/>
  <c r="V89" i="85" s="1"/>
  <c r="J88" i="85"/>
  <c r="V88" i="85" s="1"/>
  <c r="J87" i="85"/>
  <c r="V87" i="85" s="1"/>
  <c r="J86" i="85"/>
  <c r="W86" i="85" s="1"/>
  <c r="J85" i="85"/>
  <c r="V85" i="85" s="1"/>
  <c r="J84" i="85"/>
  <c r="V84" i="85" s="1"/>
  <c r="J83" i="85"/>
  <c r="V83" i="85" s="1"/>
  <c r="J82" i="85"/>
  <c r="W82" i="85" s="1"/>
  <c r="J81" i="85"/>
  <c r="V81" i="85" s="1"/>
  <c r="J80" i="85"/>
  <c r="V80" i="85" s="1"/>
  <c r="J79" i="85"/>
  <c r="V79" i="85" s="1"/>
  <c r="J78" i="85"/>
  <c r="V78" i="85" s="1"/>
  <c r="J69" i="85"/>
  <c r="V69" i="85" s="1"/>
  <c r="J68" i="85"/>
  <c r="W68" i="85" s="1"/>
  <c r="J67" i="85"/>
  <c r="W67" i="85" s="1"/>
  <c r="J66" i="85"/>
  <c r="V66" i="85" s="1"/>
  <c r="J65" i="85"/>
  <c r="V65" i="85" s="1"/>
  <c r="J64" i="85"/>
  <c r="W64" i="85" s="1"/>
  <c r="J63" i="85"/>
  <c r="W63" i="85" s="1"/>
  <c r="J62" i="85"/>
  <c r="V62" i="85" s="1"/>
  <c r="J61" i="85"/>
  <c r="V61" i="85" s="1"/>
  <c r="J60" i="85"/>
  <c r="W60" i="85" s="1"/>
  <c r="J59" i="85"/>
  <c r="W59" i="85" s="1"/>
  <c r="J58" i="85"/>
  <c r="V58" i="85" s="1"/>
  <c r="J57" i="85"/>
  <c r="V57" i="85" s="1"/>
  <c r="J56" i="85"/>
  <c r="W56" i="85" s="1"/>
  <c r="J55" i="85"/>
  <c r="W55" i="85" s="1"/>
  <c r="J54" i="85"/>
  <c r="V54" i="85" s="1"/>
  <c r="J53" i="85"/>
  <c r="V53" i="85" s="1"/>
  <c r="J52" i="85"/>
  <c r="W52" i="85" s="1"/>
  <c r="J51" i="85"/>
  <c r="W51" i="85" s="1"/>
  <c r="J50" i="85"/>
  <c r="V50" i="85" s="1"/>
  <c r="J49" i="85"/>
  <c r="V49" i="85" s="1"/>
  <c r="J48" i="85"/>
  <c r="V48" i="85" s="1"/>
  <c r="J47" i="85"/>
  <c r="J38" i="85"/>
  <c r="V38" i="85" s="1"/>
  <c r="J37" i="85"/>
  <c r="W37" i="85" s="1"/>
  <c r="J36" i="85"/>
  <c r="W36" i="85" s="1"/>
  <c r="J35" i="85"/>
  <c r="V35" i="85" s="1"/>
  <c r="J34" i="85"/>
  <c r="V34" i="85" s="1"/>
  <c r="J33" i="85"/>
  <c r="W33" i="85" s="1"/>
  <c r="J32" i="85"/>
  <c r="W32" i="85" s="1"/>
  <c r="J31" i="85"/>
  <c r="V31" i="85" s="1"/>
  <c r="J30" i="85"/>
  <c r="V30" i="85" s="1"/>
  <c r="J29" i="85"/>
  <c r="W29" i="85" s="1"/>
  <c r="J28" i="85"/>
  <c r="W28" i="85" s="1"/>
  <c r="J27" i="85"/>
  <c r="V27" i="85" s="1"/>
  <c r="J26" i="85"/>
  <c r="V26" i="85" s="1"/>
  <c r="J25" i="85"/>
  <c r="W25" i="85" s="1"/>
  <c r="J24" i="85"/>
  <c r="W24" i="85" s="1"/>
  <c r="J23" i="85"/>
  <c r="V23" i="85" s="1"/>
  <c r="J22" i="85"/>
  <c r="V22" i="85" s="1"/>
  <c r="J21" i="85"/>
  <c r="V21" i="85" s="1"/>
  <c r="J20" i="85"/>
  <c r="W20" i="85" s="1"/>
  <c r="J19" i="85"/>
  <c r="V19" i="85" s="1"/>
  <c r="J18" i="85"/>
  <c r="V18" i="85" s="1"/>
  <c r="J17" i="85"/>
  <c r="W17" i="85" s="1"/>
  <c r="J16" i="85"/>
  <c r="W16" i="85" s="1"/>
  <c r="J15" i="85"/>
  <c r="V15" i="85" s="1"/>
  <c r="J14" i="85"/>
  <c r="V14" i="85" s="1"/>
  <c r="J13" i="85"/>
  <c r="V13" i="85" s="1"/>
  <c r="V12" i="85"/>
  <c r="J12" i="85"/>
  <c r="W12" i="85" s="1"/>
  <c r="J11" i="85"/>
  <c r="W11" i="85" s="1"/>
  <c r="J10" i="85"/>
  <c r="V10" i="85" s="1"/>
  <c r="J9" i="85"/>
  <c r="V9" i="85" s="1"/>
  <c r="N8" i="85"/>
  <c r="J8" i="85"/>
  <c r="W8" i="85" s="1"/>
  <c r="J7" i="85"/>
  <c r="V7" i="85" s="1"/>
  <c r="N6" i="85"/>
  <c r="J6" i="85"/>
  <c r="N4" i="85"/>
  <c r="J100" i="84"/>
  <c r="W100" i="84" s="1"/>
  <c r="J99" i="84"/>
  <c r="V99" i="84" s="1"/>
  <c r="J98" i="84"/>
  <c r="W98" i="84" s="1"/>
  <c r="J97" i="84"/>
  <c r="V97" i="84" s="1"/>
  <c r="J96" i="84"/>
  <c r="W96" i="84" s="1"/>
  <c r="J95" i="84"/>
  <c r="V95" i="84" s="1"/>
  <c r="J94" i="84"/>
  <c r="V94" i="84" s="1"/>
  <c r="J93" i="84"/>
  <c r="W93" i="84" s="1"/>
  <c r="J92" i="84"/>
  <c r="W92" i="84" s="1"/>
  <c r="J91" i="84"/>
  <c r="V91" i="84" s="1"/>
  <c r="J90" i="84"/>
  <c r="V90" i="84" s="1"/>
  <c r="J89" i="84"/>
  <c r="V89" i="84" s="1"/>
  <c r="J88" i="84"/>
  <c r="W88" i="84" s="1"/>
  <c r="J87" i="84"/>
  <c r="V87" i="84" s="1"/>
  <c r="J86" i="84"/>
  <c r="V86" i="84" s="1"/>
  <c r="J85" i="84"/>
  <c r="W85" i="84" s="1"/>
  <c r="J84" i="84"/>
  <c r="W84" i="84" s="1"/>
  <c r="J83" i="84"/>
  <c r="V83" i="84" s="1"/>
  <c r="J82" i="84"/>
  <c r="W82" i="84" s="1"/>
  <c r="J81" i="84"/>
  <c r="V81" i="84" s="1"/>
  <c r="J80" i="84"/>
  <c r="W80" i="84" s="1"/>
  <c r="J79" i="84"/>
  <c r="V79" i="84" s="1"/>
  <c r="J78" i="84"/>
  <c r="J69" i="84"/>
  <c r="W69" i="84" s="1"/>
  <c r="J68" i="84"/>
  <c r="V68" i="84" s="1"/>
  <c r="J67" i="84"/>
  <c r="V67" i="84" s="1"/>
  <c r="J66" i="84"/>
  <c r="W66" i="84" s="1"/>
  <c r="J65" i="84"/>
  <c r="W65" i="84" s="1"/>
  <c r="J64" i="84"/>
  <c r="V64" i="84" s="1"/>
  <c r="J63" i="84"/>
  <c r="W63" i="84" s="1"/>
  <c r="J62" i="84"/>
  <c r="V62" i="84" s="1"/>
  <c r="J61" i="84"/>
  <c r="W61" i="84" s="1"/>
  <c r="J60" i="84"/>
  <c r="V60" i="84" s="1"/>
  <c r="J59" i="84"/>
  <c r="W59" i="84" s="1"/>
  <c r="J58" i="84"/>
  <c r="W58" i="84" s="1"/>
  <c r="J57" i="84"/>
  <c r="W57" i="84" s="1"/>
  <c r="J56" i="84"/>
  <c r="V56" i="84" s="1"/>
  <c r="J55" i="84"/>
  <c r="W55" i="84" s="1"/>
  <c r="J54" i="84"/>
  <c r="V54" i="84" s="1"/>
  <c r="J53" i="84"/>
  <c r="W53" i="84" s="1"/>
  <c r="J52" i="84"/>
  <c r="V52" i="84" s="1"/>
  <c r="J51" i="84"/>
  <c r="V51" i="84" s="1"/>
  <c r="J50" i="84"/>
  <c r="W50" i="84" s="1"/>
  <c r="J49" i="84"/>
  <c r="W49" i="84" s="1"/>
  <c r="J48" i="84"/>
  <c r="V48" i="84" s="1"/>
  <c r="J47" i="84"/>
  <c r="W47" i="84" s="1"/>
  <c r="J38" i="84"/>
  <c r="W38" i="84" s="1"/>
  <c r="J37" i="84"/>
  <c r="V37" i="84" s="1"/>
  <c r="J36" i="84"/>
  <c r="V36" i="84" s="1"/>
  <c r="J35" i="84"/>
  <c r="V35" i="84" s="1"/>
  <c r="J34" i="84"/>
  <c r="W34" i="84" s="1"/>
  <c r="J33" i="84"/>
  <c r="V33" i="84" s="1"/>
  <c r="J32" i="84"/>
  <c r="V32" i="84" s="1"/>
  <c r="J31" i="84"/>
  <c r="V31" i="84" s="1"/>
  <c r="J30" i="84"/>
  <c r="W30" i="84" s="1"/>
  <c r="J29" i="84"/>
  <c r="V29" i="84" s="1"/>
  <c r="J28" i="84"/>
  <c r="W28" i="84" s="1"/>
  <c r="J27" i="84"/>
  <c r="V27" i="84" s="1"/>
  <c r="J26" i="84"/>
  <c r="W26" i="84" s="1"/>
  <c r="J25" i="84"/>
  <c r="V25" i="84" s="1"/>
  <c r="J24" i="84"/>
  <c r="V24" i="84" s="1"/>
  <c r="J23" i="84"/>
  <c r="W23" i="84" s="1"/>
  <c r="J22" i="84"/>
  <c r="W22" i="84" s="1"/>
  <c r="J21" i="84"/>
  <c r="V21" i="84" s="1"/>
  <c r="J20" i="84"/>
  <c r="W20" i="84" s="1"/>
  <c r="J19" i="84"/>
  <c r="V19" i="84" s="1"/>
  <c r="J18" i="84"/>
  <c r="W18" i="84" s="1"/>
  <c r="J17" i="84"/>
  <c r="V17" i="84" s="1"/>
  <c r="J16" i="84"/>
  <c r="V16" i="84" s="1"/>
  <c r="J15" i="84"/>
  <c r="W15" i="84" s="1"/>
  <c r="J14" i="84"/>
  <c r="W14" i="84" s="1"/>
  <c r="J13" i="84"/>
  <c r="V13" i="84" s="1"/>
  <c r="J12" i="84"/>
  <c r="V12" i="84" s="1"/>
  <c r="J11" i="84"/>
  <c r="V11" i="84" s="1"/>
  <c r="J10" i="84"/>
  <c r="W10" i="84" s="1"/>
  <c r="J9" i="84"/>
  <c r="V9" i="84" s="1"/>
  <c r="N8" i="84"/>
  <c r="J8" i="84"/>
  <c r="W8" i="84" s="1"/>
  <c r="J7" i="84"/>
  <c r="W7" i="84" s="1"/>
  <c r="N6" i="84"/>
  <c r="J6" i="84"/>
  <c r="V6" i="84" s="1"/>
  <c r="N4" i="84"/>
  <c r="J38" i="83"/>
  <c r="V38" i="83" s="1"/>
  <c r="J37" i="83"/>
  <c r="W37" i="83" s="1"/>
  <c r="J36" i="83"/>
  <c r="V36" i="83" s="1"/>
  <c r="J35" i="83"/>
  <c r="W35" i="83" s="1"/>
  <c r="J34" i="83"/>
  <c r="V34" i="83" s="1"/>
  <c r="J32" i="83"/>
  <c r="W32" i="83" s="1"/>
  <c r="J31" i="83"/>
  <c r="V31" i="83" s="1"/>
  <c r="J30" i="83"/>
  <c r="W30" i="83" s="1"/>
  <c r="J29" i="83"/>
  <c r="V29" i="83" s="1"/>
  <c r="J28" i="83"/>
  <c r="W28" i="83" s="1"/>
  <c r="J27" i="83"/>
  <c r="V27" i="83" s="1"/>
  <c r="J26" i="83"/>
  <c r="V26" i="83" s="1"/>
  <c r="J25" i="83"/>
  <c r="V25" i="83" s="1"/>
  <c r="J24" i="83"/>
  <c r="W24" i="83" s="1"/>
  <c r="J23" i="83"/>
  <c r="V23" i="83" s="1"/>
  <c r="J22" i="83"/>
  <c r="V22" i="83" s="1"/>
  <c r="J100" i="83"/>
  <c r="W100" i="83" s="1"/>
  <c r="J99" i="83"/>
  <c r="V99" i="83" s="1"/>
  <c r="J98" i="83"/>
  <c r="V98" i="83" s="1"/>
  <c r="J97" i="83"/>
  <c r="V97" i="83" s="1"/>
  <c r="J96" i="83"/>
  <c r="W96" i="83" s="1"/>
  <c r="J95" i="83"/>
  <c r="V95" i="83" s="1"/>
  <c r="J94" i="83"/>
  <c r="V94" i="83" s="1"/>
  <c r="J93" i="83"/>
  <c r="W93" i="83" s="1"/>
  <c r="J92" i="83"/>
  <c r="W92" i="83" s="1"/>
  <c r="J91" i="83"/>
  <c r="V91" i="83" s="1"/>
  <c r="J90" i="83"/>
  <c r="V90" i="83" s="1"/>
  <c r="J89" i="83"/>
  <c r="W89" i="83" s="1"/>
  <c r="J88" i="83"/>
  <c r="W88" i="83" s="1"/>
  <c r="J87" i="83"/>
  <c r="V87" i="83" s="1"/>
  <c r="J86" i="83"/>
  <c r="W86" i="83" s="1"/>
  <c r="J85" i="83"/>
  <c r="W85" i="83" s="1"/>
  <c r="J84" i="83"/>
  <c r="W84" i="83" s="1"/>
  <c r="J83" i="83"/>
  <c r="V83" i="83" s="1"/>
  <c r="J82" i="83"/>
  <c r="W82" i="83" s="1"/>
  <c r="J81" i="83"/>
  <c r="W81" i="83" s="1"/>
  <c r="J80" i="83"/>
  <c r="W80" i="83" s="1"/>
  <c r="J79" i="83"/>
  <c r="V79" i="83" s="1"/>
  <c r="J78" i="83"/>
  <c r="V78" i="83" s="1"/>
  <c r="J69" i="83"/>
  <c r="W69" i="83" s="1"/>
  <c r="J68" i="83"/>
  <c r="V68" i="83" s="1"/>
  <c r="J67" i="83"/>
  <c r="W67" i="83" s="1"/>
  <c r="J66" i="83"/>
  <c r="W66" i="83" s="1"/>
  <c r="J65" i="83"/>
  <c r="W65" i="83" s="1"/>
  <c r="J64" i="83"/>
  <c r="V64" i="83" s="1"/>
  <c r="J63" i="83"/>
  <c r="W63" i="83" s="1"/>
  <c r="J62" i="83"/>
  <c r="W62" i="83" s="1"/>
  <c r="J61" i="83"/>
  <c r="W61" i="83" s="1"/>
  <c r="J60" i="83"/>
  <c r="V60" i="83" s="1"/>
  <c r="J59" i="83"/>
  <c r="W59" i="83" s="1"/>
  <c r="J58" i="83"/>
  <c r="W58" i="83" s="1"/>
  <c r="J57" i="83"/>
  <c r="W57" i="83" s="1"/>
  <c r="J56" i="83"/>
  <c r="V56" i="83" s="1"/>
  <c r="J55" i="83"/>
  <c r="W55" i="83" s="1"/>
  <c r="J54" i="83"/>
  <c r="W54" i="83" s="1"/>
  <c r="J53" i="83"/>
  <c r="W53" i="83" s="1"/>
  <c r="J52" i="83"/>
  <c r="V52" i="83" s="1"/>
  <c r="J51" i="83"/>
  <c r="W51" i="83" s="1"/>
  <c r="J50" i="83"/>
  <c r="W50" i="83" s="1"/>
  <c r="J49" i="83"/>
  <c r="W49" i="83" s="1"/>
  <c r="J48" i="83"/>
  <c r="V48" i="83" s="1"/>
  <c r="J47" i="83"/>
  <c r="W47" i="83" s="1"/>
  <c r="J33" i="83"/>
  <c r="V33" i="83" s="1"/>
  <c r="J21" i="83"/>
  <c r="W21" i="83" s="1"/>
  <c r="J20" i="83"/>
  <c r="W20" i="83" s="1"/>
  <c r="J19" i="83"/>
  <c r="V19" i="83" s="1"/>
  <c r="J18" i="83"/>
  <c r="V18" i="83" s="1"/>
  <c r="J17" i="83"/>
  <c r="W17" i="83" s="1"/>
  <c r="J16" i="83"/>
  <c r="W16" i="83" s="1"/>
  <c r="J15" i="83"/>
  <c r="V15" i="83" s="1"/>
  <c r="J14" i="83"/>
  <c r="V14" i="83" s="1"/>
  <c r="J13" i="83"/>
  <c r="W13" i="83" s="1"/>
  <c r="J12" i="83"/>
  <c r="W12" i="83" s="1"/>
  <c r="J11" i="83"/>
  <c r="W11" i="83" s="1"/>
  <c r="J10" i="83"/>
  <c r="V10" i="83" s="1"/>
  <c r="J9" i="83"/>
  <c r="V9" i="83" s="1"/>
  <c r="N8" i="83"/>
  <c r="J8" i="83"/>
  <c r="V8" i="83" s="1"/>
  <c r="J7" i="83"/>
  <c r="V7" i="83" s="1"/>
  <c r="N6" i="83"/>
  <c r="J6" i="83"/>
  <c r="V6" i="83" s="1"/>
  <c r="N4" i="83"/>
  <c r="J32" i="81"/>
  <c r="J33" i="81"/>
  <c r="J28" i="81"/>
  <c r="J29" i="81"/>
  <c r="J30" i="81"/>
  <c r="J31" i="81"/>
  <c r="J34" i="81"/>
  <c r="J24" i="81"/>
  <c r="V54" i="83" l="1"/>
  <c r="V63" i="84"/>
  <c r="V66" i="84"/>
  <c r="V33" i="85"/>
  <c r="V96" i="84"/>
  <c r="V35" i="86"/>
  <c r="V38" i="84"/>
  <c r="V57" i="84"/>
  <c r="V25" i="85"/>
  <c r="V37" i="85"/>
  <c r="W96" i="85"/>
  <c r="W33" i="86"/>
  <c r="V67" i="83"/>
  <c r="W36" i="84"/>
  <c r="V60" i="85"/>
  <c r="V67" i="85"/>
  <c r="V31" i="86"/>
  <c r="V55" i="86"/>
  <c r="W90" i="83"/>
  <c r="W97" i="83"/>
  <c r="V100" i="83"/>
  <c r="V19" i="86"/>
  <c r="W29" i="86"/>
  <c r="W37" i="86"/>
  <c r="V59" i="83"/>
  <c r="V66" i="83"/>
  <c r="V86" i="83"/>
  <c r="W36" i="83"/>
  <c r="W19" i="84"/>
  <c r="V22" i="84"/>
  <c r="V69" i="84"/>
  <c r="V100" i="84"/>
  <c r="W69" i="85"/>
  <c r="W100" i="85"/>
  <c r="V27" i="86"/>
  <c r="V36" i="86"/>
  <c r="V85" i="86"/>
  <c r="W18" i="83"/>
  <c r="W68" i="83"/>
  <c r="V35" i="83"/>
  <c r="V59" i="84"/>
  <c r="V84" i="84"/>
  <c r="V98" i="84"/>
  <c r="V17" i="85"/>
  <c r="V29" i="85"/>
  <c r="W38" i="85"/>
  <c r="W48" i="85"/>
  <c r="V59" i="85"/>
  <c r="V68" i="85"/>
  <c r="W84" i="85"/>
  <c r="V98" i="85"/>
  <c r="W32" i="86"/>
  <c r="W59" i="86"/>
  <c r="W68" i="86"/>
  <c r="W83" i="86"/>
  <c r="V97" i="86"/>
  <c r="W35" i="84"/>
  <c r="V80" i="84"/>
  <c r="V36" i="85"/>
  <c r="V23" i="84"/>
  <c r="V30" i="84"/>
  <c r="V93" i="86"/>
  <c r="W63" i="86"/>
  <c r="V89" i="86"/>
  <c r="W87" i="86"/>
  <c r="V15" i="86"/>
  <c r="W11" i="86"/>
  <c r="W51" i="86"/>
  <c r="V10" i="86"/>
  <c r="V81" i="86"/>
  <c r="J101" i="86"/>
  <c r="W79" i="86"/>
  <c r="W47" i="86"/>
  <c r="W91" i="86"/>
  <c r="W95" i="86"/>
  <c r="W78" i="86"/>
  <c r="W82" i="86"/>
  <c r="W86" i="86"/>
  <c r="W90" i="86"/>
  <c r="W94" i="86"/>
  <c r="V78" i="86"/>
  <c r="J70" i="86"/>
  <c r="W48" i="86"/>
  <c r="W52" i="86"/>
  <c r="W56" i="86"/>
  <c r="W60" i="86"/>
  <c r="W64" i="86"/>
  <c r="V50" i="86"/>
  <c r="V54" i="86"/>
  <c r="V58" i="86"/>
  <c r="V62" i="86"/>
  <c r="V66" i="86"/>
  <c r="W13" i="86"/>
  <c r="W17" i="86"/>
  <c r="W21" i="86"/>
  <c r="W25" i="86"/>
  <c r="W12" i="86"/>
  <c r="W16" i="86"/>
  <c r="W20" i="86"/>
  <c r="W24" i="86"/>
  <c r="W28" i="86"/>
  <c r="V9" i="86"/>
  <c r="V7" i="86"/>
  <c r="V8" i="86"/>
  <c r="V14" i="86"/>
  <c r="V18" i="86"/>
  <c r="V22" i="86"/>
  <c r="V26" i="86"/>
  <c r="V30" i="86"/>
  <c r="V34" i="86"/>
  <c r="V38" i="86"/>
  <c r="V49" i="86"/>
  <c r="V53" i="86"/>
  <c r="V57" i="86"/>
  <c r="V61" i="86"/>
  <c r="V65" i="86"/>
  <c r="V69" i="86"/>
  <c r="V80" i="86"/>
  <c r="V84" i="86"/>
  <c r="V88" i="86"/>
  <c r="V92" i="86"/>
  <c r="V96" i="86"/>
  <c r="V100" i="86"/>
  <c r="W6" i="86"/>
  <c r="N10" i="86"/>
  <c r="J39" i="86"/>
  <c r="W99" i="86"/>
  <c r="V64" i="85"/>
  <c r="V63" i="85"/>
  <c r="V94" i="85"/>
  <c r="W92" i="85"/>
  <c r="W21" i="85"/>
  <c r="V90" i="85"/>
  <c r="W88" i="85"/>
  <c r="V56" i="85"/>
  <c r="V86" i="85"/>
  <c r="V55" i="85"/>
  <c r="W13" i="85"/>
  <c r="V52" i="85"/>
  <c r="V51" i="85"/>
  <c r="V82" i="85"/>
  <c r="W80" i="85"/>
  <c r="J70" i="85"/>
  <c r="V47" i="85"/>
  <c r="J39" i="85"/>
  <c r="W7" i="85"/>
  <c r="J101" i="85"/>
  <c r="W79" i="85"/>
  <c r="W83" i="85"/>
  <c r="W87" i="85"/>
  <c r="W91" i="85"/>
  <c r="W95" i="85"/>
  <c r="W99" i="85"/>
  <c r="N10" i="85"/>
  <c r="W49" i="85"/>
  <c r="W53" i="85"/>
  <c r="W57" i="85"/>
  <c r="W61" i="85"/>
  <c r="W65" i="85"/>
  <c r="W6" i="85"/>
  <c r="V11" i="85"/>
  <c r="W14" i="85"/>
  <c r="W18" i="85"/>
  <c r="W22" i="85"/>
  <c r="W26" i="85"/>
  <c r="W30" i="85"/>
  <c r="W34" i="85"/>
  <c r="V6" i="85"/>
  <c r="V16" i="85"/>
  <c r="V20" i="85"/>
  <c r="V24" i="85"/>
  <c r="V28" i="85"/>
  <c r="V32" i="85"/>
  <c r="V8" i="85"/>
  <c r="W9" i="85"/>
  <c r="W10" i="85"/>
  <c r="W15" i="85"/>
  <c r="W19" i="85"/>
  <c r="W23" i="85"/>
  <c r="W27" i="85"/>
  <c r="W31" i="85"/>
  <c r="W35" i="85"/>
  <c r="W50" i="85"/>
  <c r="W54" i="85"/>
  <c r="W58" i="85"/>
  <c r="W62" i="85"/>
  <c r="W66" i="85"/>
  <c r="W81" i="85"/>
  <c r="W85" i="85"/>
  <c r="W89" i="85"/>
  <c r="W93" i="85"/>
  <c r="W97" i="85"/>
  <c r="W47" i="85"/>
  <c r="W78" i="85"/>
  <c r="W31" i="84"/>
  <c r="V92" i="84"/>
  <c r="V28" i="84"/>
  <c r="V58" i="84"/>
  <c r="W89" i="84"/>
  <c r="W90" i="84"/>
  <c r="W24" i="84"/>
  <c r="V55" i="84"/>
  <c r="V20" i="84"/>
  <c r="W54" i="84"/>
  <c r="V85" i="84"/>
  <c r="V15" i="84"/>
  <c r="V14" i="84"/>
  <c r="V82" i="84"/>
  <c r="W11" i="84"/>
  <c r="V10" i="84"/>
  <c r="V50" i="84"/>
  <c r="V8" i="84"/>
  <c r="V49" i="84"/>
  <c r="J101" i="84"/>
  <c r="V7" i="84"/>
  <c r="V47" i="84"/>
  <c r="W78" i="84"/>
  <c r="V93" i="84"/>
  <c r="W94" i="84"/>
  <c r="V78" i="84"/>
  <c r="W81" i="84"/>
  <c r="W86" i="84"/>
  <c r="W97" i="84"/>
  <c r="V88" i="84"/>
  <c r="V65" i="84"/>
  <c r="V61" i="84"/>
  <c r="W51" i="84"/>
  <c r="W62" i="84"/>
  <c r="W67" i="84"/>
  <c r="V53" i="84"/>
  <c r="V26" i="84"/>
  <c r="W9" i="84"/>
  <c r="W16" i="84"/>
  <c r="W27" i="84"/>
  <c r="W32" i="84"/>
  <c r="V18" i="84"/>
  <c r="V34" i="84"/>
  <c r="W12" i="84"/>
  <c r="W6" i="84"/>
  <c r="N10" i="84"/>
  <c r="W13" i="84"/>
  <c r="W17" i="84"/>
  <c r="W21" i="84"/>
  <c r="W25" i="84"/>
  <c r="W29" i="84"/>
  <c r="W33" i="84"/>
  <c r="W37" i="84"/>
  <c r="J39" i="84"/>
  <c r="W48" i="84"/>
  <c r="W52" i="84"/>
  <c r="W56" i="84"/>
  <c r="W60" i="84"/>
  <c r="W64" i="84"/>
  <c r="W68" i="84"/>
  <c r="J70" i="84"/>
  <c r="W79" i="84"/>
  <c r="W83" i="84"/>
  <c r="W87" i="84"/>
  <c r="W91" i="84"/>
  <c r="W95" i="84"/>
  <c r="W99" i="84"/>
  <c r="W98" i="83"/>
  <c r="V93" i="83"/>
  <c r="V63" i="83"/>
  <c r="V62" i="83"/>
  <c r="W31" i="83"/>
  <c r="V30" i="83"/>
  <c r="W27" i="83"/>
  <c r="W26" i="83"/>
  <c r="V58" i="83"/>
  <c r="W23" i="83"/>
  <c r="V89" i="83"/>
  <c r="V85" i="83"/>
  <c r="V55" i="83"/>
  <c r="W14" i="83"/>
  <c r="V82" i="83"/>
  <c r="V51" i="83"/>
  <c r="V50" i="83"/>
  <c r="V81" i="83"/>
  <c r="W78" i="83"/>
  <c r="V47" i="83"/>
  <c r="W6" i="83"/>
  <c r="W94" i="83"/>
  <c r="J101" i="83"/>
  <c r="W79" i="83"/>
  <c r="W83" i="83"/>
  <c r="W87" i="83"/>
  <c r="W91" i="83"/>
  <c r="N10" i="83"/>
  <c r="W48" i="83"/>
  <c r="W52" i="83"/>
  <c r="W56" i="83"/>
  <c r="W70" i="83" s="1"/>
  <c r="P6" i="83" s="1"/>
  <c r="W60" i="83"/>
  <c r="W64" i="83"/>
  <c r="W7" i="83"/>
  <c r="W8" i="83"/>
  <c r="W15" i="83"/>
  <c r="W19" i="83"/>
  <c r="V13" i="83"/>
  <c r="V17" i="83"/>
  <c r="V21" i="83"/>
  <c r="W22" i="83"/>
  <c r="W9" i="83"/>
  <c r="W33" i="83"/>
  <c r="V24" i="83"/>
  <c r="W25" i="83"/>
  <c r="V28" i="83"/>
  <c r="W29" i="83"/>
  <c r="V32" i="83"/>
  <c r="W34" i="83"/>
  <c r="V37" i="83"/>
  <c r="W38" i="83"/>
  <c r="W10" i="83"/>
  <c r="V11" i="83"/>
  <c r="V12" i="83"/>
  <c r="V16" i="83"/>
  <c r="V20" i="83"/>
  <c r="V49" i="83"/>
  <c r="V53" i="83"/>
  <c r="V57" i="83"/>
  <c r="V61" i="83"/>
  <c r="V65" i="83"/>
  <c r="V69" i="83"/>
  <c r="V80" i="83"/>
  <c r="V84" i="83"/>
  <c r="V88" i="83"/>
  <c r="V92" i="83"/>
  <c r="V96" i="83"/>
  <c r="J39" i="83"/>
  <c r="J70" i="83"/>
  <c r="W99" i="83"/>
  <c r="W95" i="83"/>
  <c r="J97" i="81"/>
  <c r="V97" i="81" s="1"/>
  <c r="J96" i="81"/>
  <c r="W96" i="81" s="1"/>
  <c r="J95" i="81"/>
  <c r="W95" i="81" s="1"/>
  <c r="J94" i="81"/>
  <c r="V94" i="81" s="1"/>
  <c r="J93" i="81"/>
  <c r="V93" i="81" s="1"/>
  <c r="J92" i="81"/>
  <c r="J91" i="81"/>
  <c r="J90" i="81"/>
  <c r="J89" i="81"/>
  <c r="J88" i="81"/>
  <c r="J87" i="81"/>
  <c r="J86" i="81"/>
  <c r="J85" i="81"/>
  <c r="V85" i="81" s="1"/>
  <c r="J84" i="81"/>
  <c r="W84" i="81" s="1"/>
  <c r="J83" i="81"/>
  <c r="V83" i="81" s="1"/>
  <c r="J82" i="81"/>
  <c r="V82" i="81" s="1"/>
  <c r="J81" i="81"/>
  <c r="V81" i="81" s="1"/>
  <c r="J80" i="81"/>
  <c r="V80" i="81" s="1"/>
  <c r="J79" i="81"/>
  <c r="V79" i="81" s="1"/>
  <c r="J78" i="81"/>
  <c r="V78" i="81" s="1"/>
  <c r="J77" i="81"/>
  <c r="V77" i="81" s="1"/>
  <c r="J76" i="81"/>
  <c r="V76" i="81" s="1"/>
  <c r="J75" i="81"/>
  <c r="J66" i="81"/>
  <c r="V66" i="81" s="1"/>
  <c r="J65" i="81"/>
  <c r="W65" i="81" s="1"/>
  <c r="J64" i="81"/>
  <c r="V64" i="81" s="1"/>
  <c r="J63" i="81"/>
  <c r="V63" i="81" s="1"/>
  <c r="J62" i="81"/>
  <c r="V62" i="81" s="1"/>
  <c r="J61" i="81"/>
  <c r="V61" i="81" s="1"/>
  <c r="J60" i="81"/>
  <c r="V60" i="81" s="1"/>
  <c r="J59" i="81"/>
  <c r="V59" i="81" s="1"/>
  <c r="J58" i="81"/>
  <c r="V58" i="81" s="1"/>
  <c r="J57" i="81"/>
  <c r="V57" i="81" s="1"/>
  <c r="J56" i="81"/>
  <c r="V56" i="81" s="1"/>
  <c r="J55" i="81"/>
  <c r="V55" i="81" s="1"/>
  <c r="J54" i="81"/>
  <c r="V54" i="81" s="1"/>
  <c r="J53" i="81"/>
  <c r="V53" i="81" s="1"/>
  <c r="J52" i="81"/>
  <c r="V52" i="81" s="1"/>
  <c r="J51" i="81"/>
  <c r="V51" i="81" s="1"/>
  <c r="J50" i="81"/>
  <c r="V50" i="81" s="1"/>
  <c r="J49" i="81"/>
  <c r="W49" i="81" s="1"/>
  <c r="J48" i="81"/>
  <c r="V48" i="81" s="1"/>
  <c r="J47" i="81"/>
  <c r="V47" i="81" s="1"/>
  <c r="J46" i="81"/>
  <c r="V46" i="81" s="1"/>
  <c r="J45" i="81"/>
  <c r="V45" i="81" s="1"/>
  <c r="J44" i="81"/>
  <c r="J35" i="81"/>
  <c r="V35" i="81" s="1"/>
  <c r="J27" i="81"/>
  <c r="V27" i="81" s="1"/>
  <c r="J26" i="81"/>
  <c r="V26" i="81" s="1"/>
  <c r="J25" i="81"/>
  <c r="V25" i="81" s="1"/>
  <c r="V24" i="81"/>
  <c r="J23" i="81"/>
  <c r="W23" i="81" s="1"/>
  <c r="J22" i="81"/>
  <c r="V22" i="81" s="1"/>
  <c r="J21" i="81"/>
  <c r="V21" i="81" s="1"/>
  <c r="J20" i="81"/>
  <c r="V20" i="81" s="1"/>
  <c r="J19" i="81"/>
  <c r="V19" i="81" s="1"/>
  <c r="J18" i="81"/>
  <c r="V18" i="81" s="1"/>
  <c r="J17" i="81"/>
  <c r="V17" i="81" s="1"/>
  <c r="J16" i="81"/>
  <c r="V16" i="81" s="1"/>
  <c r="J15" i="81"/>
  <c r="V15" i="81" s="1"/>
  <c r="J14" i="81"/>
  <c r="V14" i="81" s="1"/>
  <c r="J13" i="81"/>
  <c r="V13" i="81" s="1"/>
  <c r="J12" i="81"/>
  <c r="V12" i="81" s="1"/>
  <c r="J11" i="81"/>
  <c r="V11" i="81" s="1"/>
  <c r="J10" i="81"/>
  <c r="V10" i="81" s="1"/>
  <c r="J9" i="81"/>
  <c r="V9" i="81" s="1"/>
  <c r="N8" i="81"/>
  <c r="J8" i="81"/>
  <c r="V8" i="81" s="1"/>
  <c r="J7" i="81"/>
  <c r="V7" i="81" s="1"/>
  <c r="N6" i="81"/>
  <c r="J6" i="81"/>
  <c r="N4" i="81"/>
  <c r="J90" i="80"/>
  <c r="W90" i="80" s="1"/>
  <c r="J89" i="80"/>
  <c r="V89" i="80" s="1"/>
  <c r="J88" i="80"/>
  <c r="W88" i="80" s="1"/>
  <c r="J87" i="80"/>
  <c r="V87" i="80" s="1"/>
  <c r="J86" i="80"/>
  <c r="W86" i="80" s="1"/>
  <c r="J85" i="80"/>
  <c r="V85" i="80" s="1"/>
  <c r="J84" i="80"/>
  <c r="V84" i="80" s="1"/>
  <c r="J83" i="80"/>
  <c r="V83" i="80" s="1"/>
  <c r="J82" i="80"/>
  <c r="W82" i="80" s="1"/>
  <c r="J81" i="80"/>
  <c r="V81" i="80" s="1"/>
  <c r="J80" i="80"/>
  <c r="W80" i="80" s="1"/>
  <c r="J79" i="80"/>
  <c r="V79" i="80" s="1"/>
  <c r="J78" i="80"/>
  <c r="W78" i="80" s="1"/>
  <c r="J77" i="80"/>
  <c r="V77" i="80" s="1"/>
  <c r="J76" i="80"/>
  <c r="V76" i="80" s="1"/>
  <c r="J75" i="80"/>
  <c r="V75" i="80" s="1"/>
  <c r="J74" i="80"/>
  <c r="W74" i="80" s="1"/>
  <c r="J73" i="80"/>
  <c r="V73" i="80" s="1"/>
  <c r="J72" i="80"/>
  <c r="W72" i="80" s="1"/>
  <c r="J71" i="80"/>
  <c r="V71" i="80" s="1"/>
  <c r="J70" i="80"/>
  <c r="W70" i="80" s="1"/>
  <c r="J69" i="80"/>
  <c r="V69" i="80" s="1"/>
  <c r="J68" i="80"/>
  <c r="V68" i="80" s="1"/>
  <c r="J59" i="80"/>
  <c r="W59" i="80" s="1"/>
  <c r="J58" i="80"/>
  <c r="V58" i="80" s="1"/>
  <c r="J57" i="80"/>
  <c r="V57" i="80" s="1"/>
  <c r="J56" i="80"/>
  <c r="V56" i="80" s="1"/>
  <c r="J55" i="80"/>
  <c r="W55" i="80" s="1"/>
  <c r="J54" i="80"/>
  <c r="V54" i="80" s="1"/>
  <c r="J53" i="80"/>
  <c r="V53" i="80" s="1"/>
  <c r="J52" i="80"/>
  <c r="V52" i="80" s="1"/>
  <c r="J51" i="80"/>
  <c r="W51" i="80" s="1"/>
  <c r="J50" i="80"/>
  <c r="V50" i="80" s="1"/>
  <c r="J49" i="80"/>
  <c r="V49" i="80" s="1"/>
  <c r="J48" i="80"/>
  <c r="V48" i="80" s="1"/>
  <c r="J47" i="80"/>
  <c r="W47" i="80" s="1"/>
  <c r="J46" i="80"/>
  <c r="V46" i="80" s="1"/>
  <c r="J45" i="80"/>
  <c r="V45" i="80" s="1"/>
  <c r="J44" i="80"/>
  <c r="V44" i="80" s="1"/>
  <c r="J43" i="80"/>
  <c r="W43" i="80" s="1"/>
  <c r="J42" i="80"/>
  <c r="V42" i="80" s="1"/>
  <c r="J41" i="80"/>
  <c r="W41" i="80" s="1"/>
  <c r="J40" i="80"/>
  <c r="V40" i="80" s="1"/>
  <c r="J39" i="80"/>
  <c r="W39" i="80" s="1"/>
  <c r="J38" i="80"/>
  <c r="V38" i="80" s="1"/>
  <c r="J37" i="80"/>
  <c r="V37" i="80" s="1"/>
  <c r="J28" i="80"/>
  <c r="W28" i="80" s="1"/>
  <c r="J27" i="80"/>
  <c r="V27" i="80" s="1"/>
  <c r="J26" i="80"/>
  <c r="V26" i="80" s="1"/>
  <c r="J25" i="80"/>
  <c r="V25" i="80" s="1"/>
  <c r="J24" i="80"/>
  <c r="W24" i="80" s="1"/>
  <c r="J23" i="80"/>
  <c r="V23" i="80" s="1"/>
  <c r="J22" i="80"/>
  <c r="V22" i="80" s="1"/>
  <c r="J21" i="80"/>
  <c r="V21" i="80" s="1"/>
  <c r="J20" i="80"/>
  <c r="W20" i="80" s="1"/>
  <c r="J19" i="80"/>
  <c r="V19" i="80" s="1"/>
  <c r="J18" i="80"/>
  <c r="V18" i="80" s="1"/>
  <c r="J17" i="80"/>
  <c r="V17" i="80" s="1"/>
  <c r="J16" i="80"/>
  <c r="W16" i="80" s="1"/>
  <c r="J15" i="80"/>
  <c r="V15" i="80" s="1"/>
  <c r="J14" i="80"/>
  <c r="W14" i="80" s="1"/>
  <c r="J13" i="80"/>
  <c r="V13" i="80" s="1"/>
  <c r="J12" i="80"/>
  <c r="W12" i="80" s="1"/>
  <c r="J11" i="80"/>
  <c r="W11" i="80" s="1"/>
  <c r="J10" i="80"/>
  <c r="V10" i="80" s="1"/>
  <c r="J9" i="80"/>
  <c r="V9" i="80" s="1"/>
  <c r="N8" i="80"/>
  <c r="J8" i="80"/>
  <c r="J7" i="80"/>
  <c r="V7" i="80" s="1"/>
  <c r="N6" i="80"/>
  <c r="J6" i="80"/>
  <c r="V6" i="80" s="1"/>
  <c r="N4" i="80"/>
  <c r="J90" i="79"/>
  <c r="W90" i="79" s="1"/>
  <c r="J89" i="79"/>
  <c r="V89" i="79" s="1"/>
  <c r="J88" i="79"/>
  <c r="V88" i="79" s="1"/>
  <c r="J87" i="79"/>
  <c r="W87" i="79" s="1"/>
  <c r="J86" i="79"/>
  <c r="W86" i="79" s="1"/>
  <c r="J85" i="79"/>
  <c r="V85" i="79" s="1"/>
  <c r="J84" i="79"/>
  <c r="V84" i="79" s="1"/>
  <c r="J83" i="79"/>
  <c r="V83" i="79" s="1"/>
  <c r="J82" i="79"/>
  <c r="W82" i="79" s="1"/>
  <c r="J81" i="79"/>
  <c r="V81" i="79" s="1"/>
  <c r="J80" i="79"/>
  <c r="V80" i="79" s="1"/>
  <c r="J79" i="79"/>
  <c r="W79" i="79" s="1"/>
  <c r="J78" i="79"/>
  <c r="W78" i="79" s="1"/>
  <c r="J77" i="79"/>
  <c r="V77" i="79" s="1"/>
  <c r="J76" i="79"/>
  <c r="V76" i="79" s="1"/>
  <c r="J75" i="79"/>
  <c r="W75" i="79" s="1"/>
  <c r="J74" i="79"/>
  <c r="W74" i="79" s="1"/>
  <c r="J73" i="79"/>
  <c r="V73" i="79" s="1"/>
  <c r="J72" i="79"/>
  <c r="V72" i="79" s="1"/>
  <c r="J71" i="79"/>
  <c r="W71" i="79" s="1"/>
  <c r="J70" i="79"/>
  <c r="W70" i="79" s="1"/>
  <c r="J69" i="79"/>
  <c r="V69" i="79" s="1"/>
  <c r="J68" i="79"/>
  <c r="J59" i="79"/>
  <c r="W59" i="79" s="1"/>
  <c r="J58" i="79"/>
  <c r="V58" i="79" s="1"/>
  <c r="J57" i="79"/>
  <c r="V57" i="79" s="1"/>
  <c r="J56" i="79"/>
  <c r="V56" i="79" s="1"/>
  <c r="J55" i="79"/>
  <c r="W55" i="79" s="1"/>
  <c r="J54" i="79"/>
  <c r="V54" i="79" s="1"/>
  <c r="J53" i="79"/>
  <c r="V53" i="79" s="1"/>
  <c r="J52" i="79"/>
  <c r="V52" i="79" s="1"/>
  <c r="J51" i="79"/>
  <c r="W51" i="79" s="1"/>
  <c r="J50" i="79"/>
  <c r="V50" i="79" s="1"/>
  <c r="J49" i="79"/>
  <c r="V49" i="79" s="1"/>
  <c r="J48" i="79"/>
  <c r="V48" i="79" s="1"/>
  <c r="J47" i="79"/>
  <c r="W47" i="79" s="1"/>
  <c r="J46" i="79"/>
  <c r="V46" i="79" s="1"/>
  <c r="J45" i="79"/>
  <c r="V45" i="79" s="1"/>
  <c r="J44" i="79"/>
  <c r="V44" i="79" s="1"/>
  <c r="J43" i="79"/>
  <c r="W43" i="79" s="1"/>
  <c r="J42" i="79"/>
  <c r="V42" i="79" s="1"/>
  <c r="J41" i="79"/>
  <c r="V41" i="79" s="1"/>
  <c r="J40" i="79"/>
  <c r="V40" i="79" s="1"/>
  <c r="J39" i="79"/>
  <c r="W39" i="79" s="1"/>
  <c r="J38" i="79"/>
  <c r="V38" i="79" s="1"/>
  <c r="J37" i="79"/>
  <c r="J28" i="79"/>
  <c r="W28" i="79" s="1"/>
  <c r="J27" i="79"/>
  <c r="V27" i="79" s="1"/>
  <c r="J26" i="79"/>
  <c r="V26" i="79" s="1"/>
  <c r="J25" i="79"/>
  <c r="W25" i="79" s="1"/>
  <c r="J24" i="79"/>
  <c r="W24" i="79" s="1"/>
  <c r="J23" i="79"/>
  <c r="V23" i="79" s="1"/>
  <c r="J22" i="79"/>
  <c r="V22" i="79" s="1"/>
  <c r="J21" i="79"/>
  <c r="W21" i="79" s="1"/>
  <c r="J20" i="79"/>
  <c r="W20" i="79" s="1"/>
  <c r="J19" i="79"/>
  <c r="V19" i="79" s="1"/>
  <c r="J18" i="79"/>
  <c r="V18" i="79" s="1"/>
  <c r="J17" i="79"/>
  <c r="W17" i="79" s="1"/>
  <c r="J16" i="79"/>
  <c r="W16" i="79" s="1"/>
  <c r="J15" i="79"/>
  <c r="V15" i="79" s="1"/>
  <c r="J14" i="79"/>
  <c r="V14" i="79" s="1"/>
  <c r="J13" i="79"/>
  <c r="W13" i="79" s="1"/>
  <c r="J12" i="79"/>
  <c r="V12" i="79" s="1"/>
  <c r="J11" i="79"/>
  <c r="W11" i="79" s="1"/>
  <c r="J10" i="79"/>
  <c r="V10" i="79" s="1"/>
  <c r="J9" i="79"/>
  <c r="V9" i="79" s="1"/>
  <c r="N8" i="79"/>
  <c r="J8" i="79"/>
  <c r="V8" i="79" s="1"/>
  <c r="J7" i="79"/>
  <c r="V7" i="79" s="1"/>
  <c r="N6" i="79"/>
  <c r="J6" i="79"/>
  <c r="V6" i="79" s="1"/>
  <c r="N4" i="79"/>
  <c r="J90" i="78"/>
  <c r="W90" i="78" s="1"/>
  <c r="J89" i="78"/>
  <c r="W89" i="78" s="1"/>
  <c r="J88" i="78"/>
  <c r="V88" i="78" s="1"/>
  <c r="J87" i="78"/>
  <c r="V87" i="78" s="1"/>
  <c r="J86" i="78"/>
  <c r="W86" i="78" s="1"/>
  <c r="J85" i="78"/>
  <c r="V85" i="78" s="1"/>
  <c r="J84" i="78"/>
  <c r="V84" i="78" s="1"/>
  <c r="J83" i="78"/>
  <c r="V83" i="78" s="1"/>
  <c r="J82" i="78"/>
  <c r="W82" i="78" s="1"/>
  <c r="J81" i="78"/>
  <c r="V81" i="78" s="1"/>
  <c r="J80" i="78"/>
  <c r="V80" i="78" s="1"/>
  <c r="J79" i="78"/>
  <c r="V79" i="78" s="1"/>
  <c r="J78" i="78"/>
  <c r="W78" i="78" s="1"/>
  <c r="J77" i="78"/>
  <c r="V77" i="78" s="1"/>
  <c r="J76" i="78"/>
  <c r="V76" i="78" s="1"/>
  <c r="J75" i="78"/>
  <c r="V75" i="78" s="1"/>
  <c r="J74" i="78"/>
  <c r="W74" i="78" s="1"/>
  <c r="J73" i="78"/>
  <c r="V73" i="78" s="1"/>
  <c r="J72" i="78"/>
  <c r="V72" i="78" s="1"/>
  <c r="J71" i="78"/>
  <c r="V71" i="78" s="1"/>
  <c r="J70" i="78"/>
  <c r="W70" i="78" s="1"/>
  <c r="J69" i="78"/>
  <c r="V69" i="78" s="1"/>
  <c r="J68" i="78"/>
  <c r="J59" i="78"/>
  <c r="W59" i="78" s="1"/>
  <c r="J58" i="78"/>
  <c r="V58" i="78" s="1"/>
  <c r="J57" i="78"/>
  <c r="V57" i="78" s="1"/>
  <c r="J56" i="78"/>
  <c r="V56" i="78" s="1"/>
  <c r="J55" i="78"/>
  <c r="V55" i="78" s="1"/>
  <c r="J54" i="78"/>
  <c r="V54" i="78" s="1"/>
  <c r="J53" i="78"/>
  <c r="V53" i="78" s="1"/>
  <c r="J52" i="78"/>
  <c r="V52" i="78" s="1"/>
  <c r="J51" i="78"/>
  <c r="V51" i="78" s="1"/>
  <c r="J50" i="78"/>
  <c r="V50" i="78" s="1"/>
  <c r="J49" i="78"/>
  <c r="V49" i="78" s="1"/>
  <c r="J48" i="78"/>
  <c r="V48" i="78" s="1"/>
  <c r="J47" i="78"/>
  <c r="V47" i="78" s="1"/>
  <c r="J46" i="78"/>
  <c r="V46" i="78" s="1"/>
  <c r="J45" i="78"/>
  <c r="V45" i="78" s="1"/>
  <c r="J44" i="78"/>
  <c r="V44" i="78" s="1"/>
  <c r="J43" i="78"/>
  <c r="V43" i="78" s="1"/>
  <c r="J42" i="78"/>
  <c r="V42" i="78" s="1"/>
  <c r="J41" i="78"/>
  <c r="V41" i="78" s="1"/>
  <c r="J40" i="78"/>
  <c r="V40" i="78" s="1"/>
  <c r="J39" i="78"/>
  <c r="V39" i="78" s="1"/>
  <c r="J38" i="78"/>
  <c r="V38" i="78" s="1"/>
  <c r="J37" i="78"/>
  <c r="J28" i="78"/>
  <c r="V28" i="78" s="1"/>
  <c r="J27" i="78"/>
  <c r="W27" i="78" s="1"/>
  <c r="J26" i="78"/>
  <c r="V26" i="78" s="1"/>
  <c r="J25" i="78"/>
  <c r="V25" i="78" s="1"/>
  <c r="J24" i="78"/>
  <c r="V24" i="78" s="1"/>
  <c r="J23" i="78"/>
  <c r="V23" i="78" s="1"/>
  <c r="J22" i="78"/>
  <c r="V22" i="78" s="1"/>
  <c r="J21" i="78"/>
  <c r="V21" i="78" s="1"/>
  <c r="J20" i="78"/>
  <c r="V20" i="78" s="1"/>
  <c r="J19" i="78"/>
  <c r="V19" i="78" s="1"/>
  <c r="J18" i="78"/>
  <c r="V18" i="78" s="1"/>
  <c r="J17" i="78"/>
  <c r="V17" i="78" s="1"/>
  <c r="J16" i="78"/>
  <c r="V16" i="78" s="1"/>
  <c r="J15" i="78"/>
  <c r="V15" i="78" s="1"/>
  <c r="J14" i="78"/>
  <c r="V14" i="78" s="1"/>
  <c r="J13" i="78"/>
  <c r="V13" i="78" s="1"/>
  <c r="J12" i="78"/>
  <c r="V12" i="78" s="1"/>
  <c r="J11" i="78"/>
  <c r="V11" i="78" s="1"/>
  <c r="J10" i="78"/>
  <c r="V10" i="78" s="1"/>
  <c r="J9" i="78"/>
  <c r="V9" i="78" s="1"/>
  <c r="N8" i="78"/>
  <c r="J8" i="78"/>
  <c r="V8" i="78" s="1"/>
  <c r="J7" i="78"/>
  <c r="V7" i="78" s="1"/>
  <c r="N6" i="78"/>
  <c r="J6" i="78"/>
  <c r="N4" i="78"/>
  <c r="J90" i="77"/>
  <c r="V90" i="77" s="1"/>
  <c r="J89" i="77"/>
  <c r="W89" i="77" s="1"/>
  <c r="J88" i="77"/>
  <c r="V88" i="77" s="1"/>
  <c r="J87" i="77"/>
  <c r="V87" i="77" s="1"/>
  <c r="J86" i="77"/>
  <c r="V86" i="77" s="1"/>
  <c r="J85" i="77"/>
  <c r="W85" i="77" s="1"/>
  <c r="J84" i="77"/>
  <c r="V84" i="77" s="1"/>
  <c r="J83" i="77"/>
  <c r="W83" i="77" s="1"/>
  <c r="J82" i="77"/>
  <c r="V82" i="77" s="1"/>
  <c r="J81" i="77"/>
  <c r="W81" i="77" s="1"/>
  <c r="J80" i="77"/>
  <c r="V80" i="77" s="1"/>
  <c r="J79" i="77"/>
  <c r="V79" i="77" s="1"/>
  <c r="J78" i="77"/>
  <c r="W78" i="77" s="1"/>
  <c r="J77" i="77"/>
  <c r="W77" i="77" s="1"/>
  <c r="J76" i="77"/>
  <c r="V76" i="77" s="1"/>
  <c r="J75" i="77"/>
  <c r="W75" i="77" s="1"/>
  <c r="J74" i="77"/>
  <c r="W74" i="77" s="1"/>
  <c r="J73" i="77"/>
  <c r="W73" i="77" s="1"/>
  <c r="J72" i="77"/>
  <c r="V72" i="77" s="1"/>
  <c r="J71" i="77"/>
  <c r="V71" i="77" s="1"/>
  <c r="J70" i="77"/>
  <c r="W70" i="77" s="1"/>
  <c r="J69" i="77"/>
  <c r="W69" i="77" s="1"/>
  <c r="J68" i="77"/>
  <c r="J59" i="77"/>
  <c r="W59" i="77" s="1"/>
  <c r="J58" i="77"/>
  <c r="W58" i="77" s="1"/>
  <c r="J57" i="77"/>
  <c r="V57" i="77" s="1"/>
  <c r="J56" i="77"/>
  <c r="V56" i="77" s="1"/>
  <c r="J55" i="77"/>
  <c r="V55" i="77" s="1"/>
  <c r="J54" i="77"/>
  <c r="W54" i="77" s="1"/>
  <c r="J53" i="77"/>
  <c r="V53" i="77" s="1"/>
  <c r="J52" i="77"/>
  <c r="V52" i="77" s="1"/>
  <c r="J51" i="77"/>
  <c r="W51" i="77" s="1"/>
  <c r="J50" i="77"/>
  <c r="W50" i="77" s="1"/>
  <c r="J49" i="77"/>
  <c r="V49" i="77" s="1"/>
  <c r="J48" i="77"/>
  <c r="W48" i="77" s="1"/>
  <c r="J47" i="77"/>
  <c r="V47" i="77" s="1"/>
  <c r="J46" i="77"/>
  <c r="W46" i="77" s="1"/>
  <c r="J45" i="77"/>
  <c r="V45" i="77" s="1"/>
  <c r="J44" i="77"/>
  <c r="V44" i="77" s="1"/>
  <c r="J43" i="77"/>
  <c r="W43" i="77" s="1"/>
  <c r="J42" i="77"/>
  <c r="W42" i="77" s="1"/>
  <c r="J41" i="77"/>
  <c r="V41" i="77" s="1"/>
  <c r="J40" i="77"/>
  <c r="W40" i="77" s="1"/>
  <c r="J39" i="77"/>
  <c r="V39" i="77" s="1"/>
  <c r="J38" i="77"/>
  <c r="W38" i="77" s="1"/>
  <c r="J37" i="77"/>
  <c r="J28" i="77"/>
  <c r="W28" i="77" s="1"/>
  <c r="J27" i="77"/>
  <c r="W27" i="77" s="1"/>
  <c r="J26" i="77"/>
  <c r="V26" i="77" s="1"/>
  <c r="J25" i="77"/>
  <c r="V25" i="77" s="1"/>
  <c r="J24" i="77"/>
  <c r="W24" i="77" s="1"/>
  <c r="J23" i="77"/>
  <c r="W23" i="77" s="1"/>
  <c r="J22" i="77"/>
  <c r="V22" i="77" s="1"/>
  <c r="J21" i="77"/>
  <c r="W21" i="77" s="1"/>
  <c r="J20" i="77"/>
  <c r="V20" i="77" s="1"/>
  <c r="J19" i="77"/>
  <c r="W19" i="77" s="1"/>
  <c r="J18" i="77"/>
  <c r="V18" i="77" s="1"/>
  <c r="J17" i="77"/>
  <c r="V17" i="77" s="1"/>
  <c r="J16" i="77"/>
  <c r="W16" i="77" s="1"/>
  <c r="J15" i="77"/>
  <c r="W15" i="77" s="1"/>
  <c r="J14" i="77"/>
  <c r="V14" i="77" s="1"/>
  <c r="J13" i="77"/>
  <c r="W13" i="77" s="1"/>
  <c r="J12" i="77"/>
  <c r="V12" i="77" s="1"/>
  <c r="J11" i="77"/>
  <c r="W11" i="77" s="1"/>
  <c r="J10" i="77"/>
  <c r="W10" i="77" s="1"/>
  <c r="J9" i="77"/>
  <c r="W9" i="77" s="1"/>
  <c r="N8" i="77"/>
  <c r="J8" i="77"/>
  <c r="V8" i="77" s="1"/>
  <c r="J7" i="77"/>
  <c r="V7" i="77" s="1"/>
  <c r="N6" i="77"/>
  <c r="J6" i="77"/>
  <c r="N4" i="77"/>
  <c r="J90" i="76"/>
  <c r="W90" i="76" s="1"/>
  <c r="J89" i="76"/>
  <c r="V89" i="76" s="1"/>
  <c r="J88" i="76"/>
  <c r="W88" i="76" s="1"/>
  <c r="J87" i="76"/>
  <c r="V87" i="76" s="1"/>
  <c r="J86" i="76"/>
  <c r="V86" i="76" s="1"/>
  <c r="J85" i="76"/>
  <c r="V85" i="76" s="1"/>
  <c r="J84" i="76"/>
  <c r="W84" i="76" s="1"/>
  <c r="J83" i="76"/>
  <c r="V83" i="76" s="1"/>
  <c r="J82" i="76"/>
  <c r="V82" i="76" s="1"/>
  <c r="J81" i="76"/>
  <c r="W81" i="76" s="1"/>
  <c r="J80" i="76"/>
  <c r="W80" i="76" s="1"/>
  <c r="J79" i="76"/>
  <c r="V79" i="76" s="1"/>
  <c r="J78" i="76"/>
  <c r="V78" i="76" s="1"/>
  <c r="J77" i="76"/>
  <c r="V77" i="76" s="1"/>
  <c r="J76" i="76"/>
  <c r="W76" i="76" s="1"/>
  <c r="J75" i="76"/>
  <c r="V75" i="76" s="1"/>
  <c r="J74" i="76"/>
  <c r="V74" i="76" s="1"/>
  <c r="J73" i="76"/>
  <c r="V73" i="76" s="1"/>
  <c r="J72" i="76"/>
  <c r="W72" i="76" s="1"/>
  <c r="J71" i="76"/>
  <c r="V71" i="76" s="1"/>
  <c r="J70" i="76"/>
  <c r="V70" i="76" s="1"/>
  <c r="J69" i="76"/>
  <c r="W69" i="76" s="1"/>
  <c r="J68" i="76"/>
  <c r="J59" i="76"/>
  <c r="V59" i="76" s="1"/>
  <c r="J58" i="76"/>
  <c r="V58" i="76" s="1"/>
  <c r="J57" i="76"/>
  <c r="W57" i="76" s="1"/>
  <c r="J56" i="76"/>
  <c r="V56" i="76" s="1"/>
  <c r="J55" i="76"/>
  <c r="V55" i="76" s="1"/>
  <c r="J54" i="76"/>
  <c r="W54" i="76" s="1"/>
  <c r="J53" i="76"/>
  <c r="W53" i="76" s="1"/>
  <c r="J52" i="76"/>
  <c r="V52" i="76" s="1"/>
  <c r="J51" i="76"/>
  <c r="V51" i="76" s="1"/>
  <c r="J50" i="76"/>
  <c r="W50" i="76" s="1"/>
  <c r="J49" i="76"/>
  <c r="W49" i="76" s="1"/>
  <c r="J48" i="76"/>
  <c r="V48" i="76" s="1"/>
  <c r="J47" i="76"/>
  <c r="V47" i="76" s="1"/>
  <c r="J46" i="76"/>
  <c r="W46" i="76" s="1"/>
  <c r="J45" i="76"/>
  <c r="W45" i="76" s="1"/>
  <c r="J44" i="76"/>
  <c r="V44" i="76" s="1"/>
  <c r="J43" i="76"/>
  <c r="V43" i="76" s="1"/>
  <c r="J42" i="76"/>
  <c r="W42" i="76" s="1"/>
  <c r="J41" i="76"/>
  <c r="W41" i="76" s="1"/>
  <c r="J40" i="76"/>
  <c r="J39" i="76"/>
  <c r="V39" i="76" s="1"/>
  <c r="J38" i="76"/>
  <c r="W38" i="76" s="1"/>
  <c r="J37" i="76"/>
  <c r="W37" i="76" s="1"/>
  <c r="J28" i="76"/>
  <c r="V28" i="76" s="1"/>
  <c r="J27" i="76"/>
  <c r="W27" i="76" s="1"/>
  <c r="J26" i="76"/>
  <c r="W26" i="76" s="1"/>
  <c r="J25" i="76"/>
  <c r="V25" i="76" s="1"/>
  <c r="J24" i="76"/>
  <c r="V24" i="76" s="1"/>
  <c r="J23" i="76"/>
  <c r="W23" i="76" s="1"/>
  <c r="J22" i="76"/>
  <c r="W22" i="76" s="1"/>
  <c r="J21" i="76"/>
  <c r="V21" i="76" s="1"/>
  <c r="J20" i="76"/>
  <c r="V20" i="76" s="1"/>
  <c r="J19" i="76"/>
  <c r="W19" i="76" s="1"/>
  <c r="J18" i="76"/>
  <c r="W18" i="76" s="1"/>
  <c r="J17" i="76"/>
  <c r="V17" i="76" s="1"/>
  <c r="J16" i="76"/>
  <c r="V16" i="76" s="1"/>
  <c r="J15" i="76"/>
  <c r="W15" i="76" s="1"/>
  <c r="J14" i="76"/>
  <c r="W14" i="76" s="1"/>
  <c r="J13" i="76"/>
  <c r="V13" i="76" s="1"/>
  <c r="J12" i="76"/>
  <c r="V12" i="76" s="1"/>
  <c r="J11" i="76"/>
  <c r="V11" i="76" s="1"/>
  <c r="J10" i="76"/>
  <c r="V10" i="76" s="1"/>
  <c r="J9" i="76"/>
  <c r="W9" i="76" s="1"/>
  <c r="N8" i="76"/>
  <c r="J8" i="76"/>
  <c r="V8" i="76" s="1"/>
  <c r="J7" i="76"/>
  <c r="W7" i="76" s="1"/>
  <c r="N6" i="76"/>
  <c r="J6" i="76"/>
  <c r="V6" i="76" s="1"/>
  <c r="N4" i="76"/>
  <c r="V71" i="79" l="1"/>
  <c r="W11" i="78"/>
  <c r="W58" i="78"/>
  <c r="W57" i="79"/>
  <c r="V65" i="81"/>
  <c r="V28" i="79"/>
  <c r="V90" i="79"/>
  <c r="V86" i="78"/>
  <c r="V89" i="78"/>
  <c r="W73" i="76"/>
  <c r="V76" i="76"/>
  <c r="V15" i="77"/>
  <c r="V58" i="77"/>
  <c r="V24" i="79"/>
  <c r="W83" i="79"/>
  <c r="V86" i="79"/>
  <c r="V69" i="76"/>
  <c r="V11" i="77"/>
  <c r="V13" i="77"/>
  <c r="V59" i="77"/>
  <c r="W23" i="78"/>
  <c r="W77" i="80"/>
  <c r="V96" i="81"/>
  <c r="V9" i="76"/>
  <c r="W28" i="76"/>
  <c r="W59" i="76"/>
  <c r="V72" i="76"/>
  <c r="W85" i="76"/>
  <c r="V28" i="77"/>
  <c r="V42" i="77"/>
  <c r="W90" i="77"/>
  <c r="V27" i="78"/>
  <c r="W28" i="78"/>
  <c r="W50" i="78"/>
  <c r="V59" i="78"/>
  <c r="W12" i="79"/>
  <c r="V25" i="79"/>
  <c r="W52" i="79"/>
  <c r="V87" i="79"/>
  <c r="W42" i="78"/>
  <c r="W26" i="79"/>
  <c r="W48" i="79"/>
  <c r="V74" i="79"/>
  <c r="W88" i="79"/>
  <c r="W7" i="80"/>
  <c r="W54" i="78"/>
  <c r="V82" i="78"/>
  <c r="V90" i="78"/>
  <c r="V20" i="79"/>
  <c r="V59" i="79"/>
  <c r="V49" i="81"/>
  <c r="V95" i="81"/>
  <c r="V70" i="86"/>
  <c r="O6" i="86" s="1"/>
  <c r="R6" i="86" s="1"/>
  <c r="W70" i="86"/>
  <c r="P6" i="86" s="1"/>
  <c r="V101" i="86"/>
  <c r="O8" i="86" s="1"/>
  <c r="R8" i="86" s="1"/>
  <c r="W101" i="86"/>
  <c r="P8" i="86" s="1"/>
  <c r="V39" i="86"/>
  <c r="O4" i="86" s="1"/>
  <c r="W39" i="86"/>
  <c r="P4" i="86" s="1"/>
  <c r="V101" i="85"/>
  <c r="O8" i="85" s="1"/>
  <c r="R8" i="85" s="1"/>
  <c r="V39" i="85"/>
  <c r="O4" i="85" s="1"/>
  <c r="R4" i="85" s="1"/>
  <c r="V70" i="85"/>
  <c r="O6" i="85" s="1"/>
  <c r="R6" i="85" s="1"/>
  <c r="W39" i="85"/>
  <c r="P4" i="85" s="1"/>
  <c r="W70" i="85"/>
  <c r="P6" i="85" s="1"/>
  <c r="W101" i="85"/>
  <c r="P8" i="85" s="1"/>
  <c r="V101" i="84"/>
  <c r="O8" i="84" s="1"/>
  <c r="R8" i="84" s="1"/>
  <c r="V39" i="84"/>
  <c r="O4" i="84" s="1"/>
  <c r="R4" i="84" s="1"/>
  <c r="V70" i="84"/>
  <c r="O6" i="84" s="1"/>
  <c r="R6" i="84" s="1"/>
  <c r="W101" i="84"/>
  <c r="P8" i="84" s="1"/>
  <c r="W70" i="84"/>
  <c r="P6" i="84" s="1"/>
  <c r="W39" i="84"/>
  <c r="P4" i="84" s="1"/>
  <c r="V39" i="83"/>
  <c r="O4" i="83" s="1"/>
  <c r="R4" i="83" s="1"/>
  <c r="W101" i="83"/>
  <c r="P8" i="83" s="1"/>
  <c r="W39" i="83"/>
  <c r="P4" i="83" s="1"/>
  <c r="V101" i="83"/>
  <c r="O8" i="83" s="1"/>
  <c r="R8" i="83" s="1"/>
  <c r="V70" i="83"/>
  <c r="O6" i="83" s="1"/>
  <c r="Q6" i="83" s="1"/>
  <c r="W27" i="81"/>
  <c r="W35" i="81"/>
  <c r="W46" i="81"/>
  <c r="W62" i="81"/>
  <c r="W85" i="81"/>
  <c r="W61" i="81"/>
  <c r="V23" i="81"/>
  <c r="W76" i="81"/>
  <c r="W24" i="81"/>
  <c r="W66" i="81"/>
  <c r="W93" i="81"/>
  <c r="W57" i="81"/>
  <c r="V84" i="81"/>
  <c r="W53" i="81"/>
  <c r="W15" i="81"/>
  <c r="W50" i="81"/>
  <c r="W9" i="81"/>
  <c r="W8" i="81"/>
  <c r="J98" i="81"/>
  <c r="W81" i="81"/>
  <c r="W80" i="81"/>
  <c r="W77" i="81"/>
  <c r="N10" i="81"/>
  <c r="J67" i="81"/>
  <c r="W45" i="81"/>
  <c r="W54" i="81"/>
  <c r="W58" i="81"/>
  <c r="W11" i="81"/>
  <c r="W20" i="81"/>
  <c r="J36" i="81"/>
  <c r="W10" i="81"/>
  <c r="W12" i="81"/>
  <c r="W19" i="81"/>
  <c r="W16" i="81"/>
  <c r="W97" i="81"/>
  <c r="W6" i="81"/>
  <c r="W13" i="81"/>
  <c r="W17" i="81"/>
  <c r="W21" i="81"/>
  <c r="W25" i="81"/>
  <c r="W47" i="81"/>
  <c r="W51" i="81"/>
  <c r="W55" i="81"/>
  <c r="W59" i="81"/>
  <c r="W63" i="81"/>
  <c r="W78" i="81"/>
  <c r="W82" i="81"/>
  <c r="W94" i="81"/>
  <c r="V6" i="81"/>
  <c r="W7" i="81"/>
  <c r="W14" i="81"/>
  <c r="W18" i="81"/>
  <c r="W22" i="81"/>
  <c r="W26" i="81"/>
  <c r="W44" i="81"/>
  <c r="W48" i="81"/>
  <c r="W52" i="81"/>
  <c r="W56" i="81"/>
  <c r="W60" i="81"/>
  <c r="W64" i="81"/>
  <c r="W75" i="81"/>
  <c r="W79" i="81"/>
  <c r="W83" i="81"/>
  <c r="V44" i="81"/>
  <c r="V67" i="81" s="1"/>
  <c r="O6" i="81" s="1"/>
  <c r="R6" i="81" s="1"/>
  <c r="V75" i="81"/>
  <c r="W49" i="80"/>
  <c r="W18" i="80"/>
  <c r="W46" i="80"/>
  <c r="W10" i="80"/>
  <c r="W15" i="80"/>
  <c r="W26" i="80"/>
  <c r="W23" i="80"/>
  <c r="W57" i="80"/>
  <c r="V72" i="80"/>
  <c r="V14" i="80"/>
  <c r="W22" i="80"/>
  <c r="V41" i="80"/>
  <c r="W58" i="80"/>
  <c r="V88" i="80"/>
  <c r="V90" i="80"/>
  <c r="V80" i="80"/>
  <c r="W27" i="80"/>
  <c r="W54" i="80"/>
  <c r="W76" i="80"/>
  <c r="W69" i="80"/>
  <c r="W38" i="80"/>
  <c r="W6" i="80"/>
  <c r="J29" i="80"/>
  <c r="W9" i="80"/>
  <c r="W8" i="80"/>
  <c r="V8" i="80"/>
  <c r="W19" i="80"/>
  <c r="W45" i="80"/>
  <c r="W42" i="80"/>
  <c r="W37" i="80"/>
  <c r="W53" i="80"/>
  <c r="W50" i="80"/>
  <c r="W68" i="80"/>
  <c r="W84" i="80"/>
  <c r="W81" i="80"/>
  <c r="V86" i="80"/>
  <c r="W87" i="80"/>
  <c r="W73" i="80"/>
  <c r="V11" i="80"/>
  <c r="V12" i="80"/>
  <c r="W13" i="80"/>
  <c r="V16" i="80"/>
  <c r="W17" i="80"/>
  <c r="V20" i="80"/>
  <c r="W21" i="80"/>
  <c r="V24" i="80"/>
  <c r="W25" i="80"/>
  <c r="V28" i="80"/>
  <c r="V39" i="80"/>
  <c r="W40" i="80"/>
  <c r="V43" i="80"/>
  <c r="W44" i="80"/>
  <c r="V47" i="80"/>
  <c r="W48" i="80"/>
  <c r="V51" i="80"/>
  <c r="W52" i="80"/>
  <c r="V55" i="80"/>
  <c r="W56" i="80"/>
  <c r="V59" i="80"/>
  <c r="V70" i="80"/>
  <c r="W71" i="80"/>
  <c r="V74" i="80"/>
  <c r="W75" i="80"/>
  <c r="V78" i="80"/>
  <c r="W79" i="80"/>
  <c r="V82" i="80"/>
  <c r="W83" i="80"/>
  <c r="W85" i="80"/>
  <c r="J91" i="80"/>
  <c r="J60" i="80"/>
  <c r="W89" i="80"/>
  <c r="W56" i="79"/>
  <c r="V55" i="79"/>
  <c r="V51" i="79"/>
  <c r="V82" i="79"/>
  <c r="V79" i="79"/>
  <c r="W44" i="79"/>
  <c r="V16" i="79"/>
  <c r="V75" i="79"/>
  <c r="V43" i="79"/>
  <c r="W40" i="79"/>
  <c r="J60" i="79"/>
  <c r="V39" i="79"/>
  <c r="V70" i="79"/>
  <c r="J91" i="79"/>
  <c r="W6" i="79"/>
  <c r="V78" i="79"/>
  <c r="W68" i="79"/>
  <c r="W72" i="79"/>
  <c r="W76" i="79"/>
  <c r="W80" i="79"/>
  <c r="W84" i="79"/>
  <c r="W37" i="79"/>
  <c r="W41" i="79"/>
  <c r="W45" i="79"/>
  <c r="W49" i="79"/>
  <c r="W53" i="79"/>
  <c r="V47" i="79"/>
  <c r="J29" i="79"/>
  <c r="V13" i="79"/>
  <c r="V17" i="79"/>
  <c r="V21" i="79"/>
  <c r="V11" i="79"/>
  <c r="W14" i="79"/>
  <c r="W18" i="79"/>
  <c r="W22" i="79"/>
  <c r="W7" i="79"/>
  <c r="W8" i="79"/>
  <c r="W9" i="79"/>
  <c r="W10" i="79"/>
  <c r="W15" i="79"/>
  <c r="W19" i="79"/>
  <c r="W23" i="79"/>
  <c r="W27" i="79"/>
  <c r="V37" i="79"/>
  <c r="W38" i="79"/>
  <c r="W42" i="79"/>
  <c r="W46" i="79"/>
  <c r="W50" i="79"/>
  <c r="W54" i="79"/>
  <c r="W58" i="79"/>
  <c r="V68" i="79"/>
  <c r="W69" i="79"/>
  <c r="W73" i="79"/>
  <c r="W77" i="79"/>
  <c r="W81" i="79"/>
  <c r="W85" i="79"/>
  <c r="W89" i="79"/>
  <c r="N10" i="79"/>
  <c r="W19" i="78"/>
  <c r="V78" i="78"/>
  <c r="W46" i="78"/>
  <c r="W15" i="78"/>
  <c r="V74" i="78"/>
  <c r="V70" i="78"/>
  <c r="J60" i="78"/>
  <c r="W38" i="78"/>
  <c r="J29" i="78"/>
  <c r="J91" i="78"/>
  <c r="W69" i="78"/>
  <c r="W73" i="78"/>
  <c r="W77" i="78"/>
  <c r="W81" i="78"/>
  <c r="W85" i="78"/>
  <c r="W39" i="78"/>
  <c r="W43" i="78"/>
  <c r="W47" i="78"/>
  <c r="W51" i="78"/>
  <c r="W55" i="78"/>
  <c r="W9" i="78"/>
  <c r="W12" i="78"/>
  <c r="W16" i="78"/>
  <c r="W20" i="78"/>
  <c r="W24" i="78"/>
  <c r="W10" i="78"/>
  <c r="W17" i="78"/>
  <c r="W56" i="78"/>
  <c r="W75" i="78"/>
  <c r="W79" i="78"/>
  <c r="W83" i="78"/>
  <c r="W87" i="78"/>
  <c r="W6" i="78"/>
  <c r="N10" i="78"/>
  <c r="W13" i="78"/>
  <c r="W21" i="78"/>
  <c r="W25" i="78"/>
  <c r="W40" i="78"/>
  <c r="W44" i="78"/>
  <c r="W48" i="78"/>
  <c r="W52" i="78"/>
  <c r="W71" i="78"/>
  <c r="V6" i="78"/>
  <c r="V29" i="78" s="1"/>
  <c r="O4" i="78" s="1"/>
  <c r="W7" i="78"/>
  <c r="W8" i="78"/>
  <c r="W14" i="78"/>
  <c r="W18" i="78"/>
  <c r="W22" i="78"/>
  <c r="W26" i="78"/>
  <c r="W37" i="78"/>
  <c r="W41" i="78"/>
  <c r="W45" i="78"/>
  <c r="W49" i="78"/>
  <c r="W53" i="78"/>
  <c r="W57" i="78"/>
  <c r="W68" i="78"/>
  <c r="W72" i="78"/>
  <c r="W76" i="78"/>
  <c r="W80" i="78"/>
  <c r="W84" i="78"/>
  <c r="W88" i="78"/>
  <c r="V37" i="78"/>
  <c r="V60" i="78" s="1"/>
  <c r="O6" i="78" s="1"/>
  <c r="R6" i="78" s="1"/>
  <c r="V68" i="78"/>
  <c r="W56" i="77"/>
  <c r="V24" i="77"/>
  <c r="W86" i="77"/>
  <c r="V23" i="77"/>
  <c r="V21" i="77"/>
  <c r="V51" i="77"/>
  <c r="W17" i="77"/>
  <c r="V16" i="77"/>
  <c r="V77" i="77"/>
  <c r="W12" i="77"/>
  <c r="V75" i="77"/>
  <c r="V74" i="77"/>
  <c r="V10" i="77"/>
  <c r="V9" i="77"/>
  <c r="V70" i="77"/>
  <c r="J91" i="77"/>
  <c r="J60" i="77"/>
  <c r="V40" i="77"/>
  <c r="J29" i="77"/>
  <c r="V69" i="77"/>
  <c r="V78" i="77"/>
  <c r="W79" i="77"/>
  <c r="V83" i="77"/>
  <c r="V85" i="77"/>
  <c r="V81" i="77"/>
  <c r="W71" i="77"/>
  <c r="W82" i="77"/>
  <c r="W87" i="77"/>
  <c r="N10" i="77"/>
  <c r="V73" i="77"/>
  <c r="V89" i="77"/>
  <c r="W39" i="77"/>
  <c r="V43" i="77"/>
  <c r="W44" i="77"/>
  <c r="V48" i="77"/>
  <c r="V50" i="77"/>
  <c r="W55" i="77"/>
  <c r="V46" i="77"/>
  <c r="W47" i="77"/>
  <c r="W52" i="77"/>
  <c r="V38" i="77"/>
  <c r="V54" i="77"/>
  <c r="W20" i="77"/>
  <c r="W25" i="77"/>
  <c r="V27" i="77"/>
  <c r="V19" i="77"/>
  <c r="V6" i="77"/>
  <c r="W7" i="77"/>
  <c r="W8" i="77"/>
  <c r="W14" i="77"/>
  <c r="W18" i="77"/>
  <c r="W22" i="77"/>
  <c r="W26" i="77"/>
  <c r="W37" i="77"/>
  <c r="W41" i="77"/>
  <c r="W45" i="77"/>
  <c r="W49" i="77"/>
  <c r="W53" i="77"/>
  <c r="W57" i="77"/>
  <c r="W68" i="77"/>
  <c r="W72" i="77"/>
  <c r="W76" i="77"/>
  <c r="W80" i="77"/>
  <c r="W84" i="77"/>
  <c r="W88" i="77"/>
  <c r="W6" i="77"/>
  <c r="V37" i="77"/>
  <c r="V68" i="77"/>
  <c r="W89" i="76"/>
  <c r="V88" i="76"/>
  <c r="W58" i="76"/>
  <c r="V57" i="76"/>
  <c r="V27" i="76"/>
  <c r="V26" i="76"/>
  <c r="W24" i="76"/>
  <c r="W55" i="76"/>
  <c r="V54" i="76"/>
  <c r="V23" i="76"/>
  <c r="V22" i="76"/>
  <c r="V84" i="76"/>
  <c r="V81" i="76"/>
  <c r="W51" i="76"/>
  <c r="V50" i="76"/>
  <c r="W20" i="76"/>
  <c r="V19" i="76"/>
  <c r="V18" i="76"/>
  <c r="V80" i="76"/>
  <c r="W47" i="76"/>
  <c r="W16" i="76"/>
  <c r="W77" i="76"/>
  <c r="V46" i="76"/>
  <c r="V15" i="76"/>
  <c r="V14" i="76"/>
  <c r="W43" i="76"/>
  <c r="V42" i="76"/>
  <c r="W11" i="76"/>
  <c r="W10" i="76"/>
  <c r="W39" i="76"/>
  <c r="J91" i="76"/>
  <c r="V38" i="76"/>
  <c r="J60" i="76"/>
  <c r="V7" i="76"/>
  <c r="V68" i="76"/>
  <c r="W70" i="76"/>
  <c r="W74" i="76"/>
  <c r="W78" i="76"/>
  <c r="W82" i="76"/>
  <c r="W86" i="76"/>
  <c r="N10" i="76"/>
  <c r="V37" i="76"/>
  <c r="V41" i="76"/>
  <c r="V45" i="76"/>
  <c r="V49" i="76"/>
  <c r="V53" i="76"/>
  <c r="W8" i="76"/>
  <c r="J29" i="76"/>
  <c r="W12" i="76"/>
  <c r="W6" i="76"/>
  <c r="W13" i="76"/>
  <c r="W17" i="76"/>
  <c r="W21" i="76"/>
  <c r="W25" i="76"/>
  <c r="W40" i="76"/>
  <c r="W44" i="76"/>
  <c r="W48" i="76"/>
  <c r="W52" i="76"/>
  <c r="W56" i="76"/>
  <c r="W71" i="76"/>
  <c r="W75" i="76"/>
  <c r="W79" i="76"/>
  <c r="W83" i="76"/>
  <c r="W87" i="76"/>
  <c r="V90" i="76"/>
  <c r="V40" i="76"/>
  <c r="W68" i="76"/>
  <c r="Q6" i="86" l="1"/>
  <c r="Q4" i="86"/>
  <c r="P10" i="86"/>
  <c r="Q8" i="86"/>
  <c r="O10" i="86"/>
  <c r="R10" i="86" s="1"/>
  <c r="P12" i="86" s="1"/>
  <c r="R4" i="86"/>
  <c r="Q8" i="85"/>
  <c r="Q4" i="85"/>
  <c r="Q6" i="85"/>
  <c r="O10" i="85"/>
  <c r="R10" i="85" s="1"/>
  <c r="P12" i="85" s="1"/>
  <c r="P10" i="85"/>
  <c r="Q8" i="84"/>
  <c r="O10" i="84"/>
  <c r="R10" i="84" s="1"/>
  <c r="P12" i="84" s="1"/>
  <c r="Q6" i="84"/>
  <c r="P10" i="84"/>
  <c r="Q4" i="84"/>
  <c r="Q8" i="83"/>
  <c r="P10" i="83"/>
  <c r="Q4" i="83"/>
  <c r="O10" i="83"/>
  <c r="R10" i="83" s="1"/>
  <c r="P12" i="83" s="1"/>
  <c r="R6" i="83"/>
  <c r="V36" i="81"/>
  <c r="R4" i="81" s="1"/>
  <c r="V98" i="81"/>
  <c r="R8" i="81" s="1"/>
  <c r="W67" i="81"/>
  <c r="P6" i="81" s="1"/>
  <c r="Q6" i="81" s="1"/>
  <c r="W98" i="81"/>
  <c r="W36" i="81"/>
  <c r="V29" i="80"/>
  <c r="O4" i="80" s="1"/>
  <c r="R4" i="80" s="1"/>
  <c r="W91" i="80"/>
  <c r="P8" i="80" s="1"/>
  <c r="W29" i="80"/>
  <c r="P4" i="80" s="1"/>
  <c r="V60" i="80"/>
  <c r="O6" i="80" s="1"/>
  <c r="W60" i="80"/>
  <c r="P6" i="80" s="1"/>
  <c r="V91" i="80"/>
  <c r="O8" i="80" s="1"/>
  <c r="R8" i="80" s="1"/>
  <c r="V29" i="79"/>
  <c r="O4" i="79" s="1"/>
  <c r="R4" i="79" s="1"/>
  <c r="V91" i="79"/>
  <c r="O8" i="79" s="1"/>
  <c r="R8" i="79" s="1"/>
  <c r="V60" i="79"/>
  <c r="O6" i="79" s="1"/>
  <c r="R6" i="79" s="1"/>
  <c r="W29" i="79"/>
  <c r="P4" i="79" s="1"/>
  <c r="W91" i="79"/>
  <c r="P8" i="79" s="1"/>
  <c r="W60" i="79"/>
  <c r="P6" i="79" s="1"/>
  <c r="V91" i="78"/>
  <c r="O8" i="78" s="1"/>
  <c r="R8" i="78" s="1"/>
  <c r="W91" i="78"/>
  <c r="P8" i="78" s="1"/>
  <c r="W29" i="78"/>
  <c r="P4" i="78" s="1"/>
  <c r="Q4" i="78" s="1"/>
  <c r="W60" i="78"/>
  <c r="P6" i="78" s="1"/>
  <c r="Q6" i="78" s="1"/>
  <c r="R4" i="78"/>
  <c r="V29" i="77"/>
  <c r="O4" i="77" s="1"/>
  <c r="R4" i="77" s="1"/>
  <c r="V91" i="77"/>
  <c r="O8" i="77" s="1"/>
  <c r="R8" i="77" s="1"/>
  <c r="V60" i="77"/>
  <c r="O6" i="77" s="1"/>
  <c r="R6" i="77" s="1"/>
  <c r="W60" i="77"/>
  <c r="P6" i="77" s="1"/>
  <c r="W29" i="77"/>
  <c r="P4" i="77" s="1"/>
  <c r="W91" i="77"/>
  <c r="P8" i="77" s="1"/>
  <c r="V91" i="76"/>
  <c r="O8" i="76" s="1"/>
  <c r="R8" i="76" s="1"/>
  <c r="V29" i="76"/>
  <c r="O4" i="76" s="1"/>
  <c r="R4" i="76" s="1"/>
  <c r="W60" i="76"/>
  <c r="P6" i="76" s="1"/>
  <c r="V60" i="76"/>
  <c r="O6" i="76" s="1"/>
  <c r="W91" i="76"/>
  <c r="P8" i="76" s="1"/>
  <c r="Q8" i="76" s="1"/>
  <c r="W29" i="76"/>
  <c r="P4" i="76" s="1"/>
  <c r="Q10" i="86" l="1"/>
  <c r="Q10" i="85"/>
  <c r="Q10" i="84"/>
  <c r="Q10" i="83"/>
  <c r="O10" i="81"/>
  <c r="R10" i="81" s="1"/>
  <c r="P12" i="81" s="1"/>
  <c r="P10" i="81"/>
  <c r="Q4" i="81"/>
  <c r="Q4" i="80"/>
  <c r="R6" i="80"/>
  <c r="N10" i="80"/>
  <c r="Q6" i="80"/>
  <c r="P10" i="80" s="1"/>
  <c r="O10" i="80"/>
  <c r="Q8" i="80"/>
  <c r="Q4" i="79"/>
  <c r="Q8" i="79"/>
  <c r="O10" i="79"/>
  <c r="R10" i="79" s="1"/>
  <c r="P12" i="79" s="1"/>
  <c r="Q6" i="79"/>
  <c r="P10" i="79"/>
  <c r="O10" i="78"/>
  <c r="R10" i="78" s="1"/>
  <c r="P12" i="78" s="1"/>
  <c r="Q8" i="78"/>
  <c r="Q10" i="78" s="1"/>
  <c r="P10" i="78"/>
  <c r="Q8" i="77"/>
  <c r="Q6" i="77"/>
  <c r="O10" i="77"/>
  <c r="R10" i="77" s="1"/>
  <c r="P12" i="77" s="1"/>
  <c r="P10" i="77"/>
  <c r="Q4" i="77"/>
  <c r="Q4" i="76"/>
  <c r="Q6" i="76"/>
  <c r="O10" i="76"/>
  <c r="R10" i="76" s="1"/>
  <c r="P12" i="76" s="1"/>
  <c r="R6" i="76"/>
  <c r="P10" i="76"/>
  <c r="Q10" i="81" l="1"/>
  <c r="R10" i="80"/>
  <c r="P12" i="80" s="1"/>
  <c r="Q10" i="80"/>
  <c r="Q10" i="79"/>
  <c r="Q10" i="77"/>
  <c r="Q10" i="76"/>
  <c r="J90" i="75"/>
  <c r="W90" i="75" s="1"/>
  <c r="J89" i="75"/>
  <c r="W89" i="75" s="1"/>
  <c r="J88" i="75"/>
  <c r="V88" i="75" s="1"/>
  <c r="J87" i="75"/>
  <c r="V87" i="75" s="1"/>
  <c r="J86" i="75"/>
  <c r="V86" i="75" s="1"/>
  <c r="J85" i="75"/>
  <c r="W85" i="75" s="1"/>
  <c r="J84" i="75"/>
  <c r="V84" i="75" s="1"/>
  <c r="J83" i="75"/>
  <c r="V83" i="75" s="1"/>
  <c r="J82" i="75"/>
  <c r="V82" i="75" s="1"/>
  <c r="J81" i="75"/>
  <c r="W81" i="75" s="1"/>
  <c r="J80" i="75"/>
  <c r="V80" i="75" s="1"/>
  <c r="J79" i="75"/>
  <c r="V79" i="75" s="1"/>
  <c r="J78" i="75"/>
  <c r="V78" i="75" s="1"/>
  <c r="J77" i="75"/>
  <c r="W77" i="75" s="1"/>
  <c r="J76" i="75"/>
  <c r="V76" i="75" s="1"/>
  <c r="J75" i="75"/>
  <c r="V75" i="75" s="1"/>
  <c r="J74" i="75"/>
  <c r="V74" i="75" s="1"/>
  <c r="J73" i="75"/>
  <c r="W73" i="75" s="1"/>
  <c r="J72" i="75"/>
  <c r="V72" i="75" s="1"/>
  <c r="J71" i="75"/>
  <c r="V71" i="75" s="1"/>
  <c r="J70" i="75"/>
  <c r="V70" i="75" s="1"/>
  <c r="J69" i="75"/>
  <c r="W69" i="75" s="1"/>
  <c r="J68" i="75"/>
  <c r="J59" i="75"/>
  <c r="V59" i="75" s="1"/>
  <c r="J58" i="75"/>
  <c r="W58" i="75" s="1"/>
  <c r="J57" i="75"/>
  <c r="V57" i="75" s="1"/>
  <c r="J56" i="75"/>
  <c r="V56" i="75" s="1"/>
  <c r="J55" i="75"/>
  <c r="V55" i="75" s="1"/>
  <c r="J54" i="75"/>
  <c r="W54" i="75" s="1"/>
  <c r="J53" i="75"/>
  <c r="V53" i="75" s="1"/>
  <c r="J52" i="75"/>
  <c r="V52" i="75" s="1"/>
  <c r="J51" i="75"/>
  <c r="V51" i="75" s="1"/>
  <c r="J50" i="75"/>
  <c r="W50" i="75" s="1"/>
  <c r="J49" i="75"/>
  <c r="V49" i="75" s="1"/>
  <c r="J48" i="75"/>
  <c r="V48" i="75" s="1"/>
  <c r="J47" i="75"/>
  <c r="V47" i="75" s="1"/>
  <c r="J46" i="75"/>
  <c r="W46" i="75" s="1"/>
  <c r="J45" i="75"/>
  <c r="V45" i="75" s="1"/>
  <c r="J44" i="75"/>
  <c r="V44" i="75" s="1"/>
  <c r="J43" i="75"/>
  <c r="V43" i="75" s="1"/>
  <c r="J42" i="75"/>
  <c r="W42" i="75" s="1"/>
  <c r="J41" i="75"/>
  <c r="V41" i="75" s="1"/>
  <c r="J40" i="75"/>
  <c r="V40" i="75" s="1"/>
  <c r="J39" i="75"/>
  <c r="V39" i="75" s="1"/>
  <c r="J38" i="75"/>
  <c r="W38" i="75" s="1"/>
  <c r="J37" i="75"/>
  <c r="J28" i="75"/>
  <c r="W28" i="75" s="1"/>
  <c r="J27" i="75"/>
  <c r="W27" i="75" s="1"/>
  <c r="J26" i="75"/>
  <c r="V26" i="75" s="1"/>
  <c r="J25" i="75"/>
  <c r="V25" i="75" s="1"/>
  <c r="J24" i="75"/>
  <c r="V24" i="75" s="1"/>
  <c r="J23" i="75"/>
  <c r="W23" i="75" s="1"/>
  <c r="J22" i="75"/>
  <c r="V22" i="75" s="1"/>
  <c r="J21" i="75"/>
  <c r="V21" i="75" s="1"/>
  <c r="J20" i="75"/>
  <c r="V20" i="75" s="1"/>
  <c r="J19" i="75"/>
  <c r="W19" i="75" s="1"/>
  <c r="J18" i="75"/>
  <c r="V18" i="75" s="1"/>
  <c r="J17" i="75"/>
  <c r="V17" i="75" s="1"/>
  <c r="J16" i="75"/>
  <c r="W16" i="75" s="1"/>
  <c r="J15" i="75"/>
  <c r="W15" i="75" s="1"/>
  <c r="J14" i="75"/>
  <c r="V14" i="75" s="1"/>
  <c r="J13" i="75"/>
  <c r="V13" i="75" s="1"/>
  <c r="J12" i="75"/>
  <c r="W12" i="75" s="1"/>
  <c r="J11" i="75"/>
  <c r="W11" i="75" s="1"/>
  <c r="J10" i="75"/>
  <c r="V10" i="75" s="1"/>
  <c r="J9" i="75"/>
  <c r="W9" i="75" s="1"/>
  <c r="N8" i="75"/>
  <c r="J8" i="75"/>
  <c r="V8" i="75" s="1"/>
  <c r="J7" i="75"/>
  <c r="V7" i="75" s="1"/>
  <c r="N6" i="75"/>
  <c r="J6" i="75"/>
  <c r="N4" i="75"/>
  <c r="J90" i="74"/>
  <c r="W90" i="74" s="1"/>
  <c r="J89" i="74"/>
  <c r="V89" i="74" s="1"/>
  <c r="J88" i="74"/>
  <c r="W88" i="74" s="1"/>
  <c r="J87" i="74"/>
  <c r="V87" i="74" s="1"/>
  <c r="J86" i="74"/>
  <c r="W86" i="74" s="1"/>
  <c r="J85" i="74"/>
  <c r="V85" i="74" s="1"/>
  <c r="J84" i="74"/>
  <c r="W84" i="74" s="1"/>
  <c r="J83" i="74"/>
  <c r="W83" i="74" s="1"/>
  <c r="J82" i="74"/>
  <c r="W82" i="74" s="1"/>
  <c r="J81" i="74"/>
  <c r="V81" i="74" s="1"/>
  <c r="J80" i="74"/>
  <c r="V80" i="74" s="1"/>
  <c r="J79" i="74"/>
  <c r="V79" i="74" s="1"/>
  <c r="J78" i="74"/>
  <c r="W78" i="74" s="1"/>
  <c r="J77" i="74"/>
  <c r="V77" i="74" s="1"/>
  <c r="J76" i="74"/>
  <c r="V76" i="74" s="1"/>
  <c r="J75" i="74"/>
  <c r="V75" i="74" s="1"/>
  <c r="J74" i="74"/>
  <c r="W74" i="74" s="1"/>
  <c r="J73" i="74"/>
  <c r="V73" i="74" s="1"/>
  <c r="J72" i="74"/>
  <c r="W72" i="74" s="1"/>
  <c r="J71" i="74"/>
  <c r="V71" i="74" s="1"/>
  <c r="J70" i="74"/>
  <c r="W70" i="74" s="1"/>
  <c r="J69" i="74"/>
  <c r="V69" i="74" s="1"/>
  <c r="J68" i="74"/>
  <c r="W68" i="74" s="1"/>
  <c r="J59" i="74"/>
  <c r="W59" i="74" s="1"/>
  <c r="J58" i="74"/>
  <c r="V58" i="74" s="1"/>
  <c r="J57" i="74"/>
  <c r="V57" i="74" s="1"/>
  <c r="J56" i="74"/>
  <c r="V56" i="74" s="1"/>
  <c r="J55" i="74"/>
  <c r="W55" i="74" s="1"/>
  <c r="J54" i="74"/>
  <c r="V54" i="74" s="1"/>
  <c r="J53" i="74"/>
  <c r="V53" i="74" s="1"/>
  <c r="J52" i="74"/>
  <c r="V52" i="74" s="1"/>
  <c r="J51" i="74"/>
  <c r="W51" i="74" s="1"/>
  <c r="J50" i="74"/>
  <c r="V50" i="74" s="1"/>
  <c r="J49" i="74"/>
  <c r="V49" i="74" s="1"/>
  <c r="J48" i="74"/>
  <c r="V48" i="74" s="1"/>
  <c r="J47" i="74"/>
  <c r="W47" i="74" s="1"/>
  <c r="J46" i="74"/>
  <c r="V46" i="74" s="1"/>
  <c r="J45" i="74"/>
  <c r="V45" i="74" s="1"/>
  <c r="J44" i="74"/>
  <c r="V44" i="74" s="1"/>
  <c r="J43" i="74"/>
  <c r="W43" i="74" s="1"/>
  <c r="J42" i="74"/>
  <c r="V42" i="74" s="1"/>
  <c r="J41" i="74"/>
  <c r="V41" i="74" s="1"/>
  <c r="J40" i="74"/>
  <c r="V40" i="74" s="1"/>
  <c r="J39" i="74"/>
  <c r="W39" i="74" s="1"/>
  <c r="J38" i="74"/>
  <c r="V38" i="74" s="1"/>
  <c r="J37" i="74"/>
  <c r="V37" i="74" s="1"/>
  <c r="J28" i="74"/>
  <c r="W28" i="74" s="1"/>
  <c r="J27" i="74"/>
  <c r="V27" i="74" s="1"/>
  <c r="J26" i="74"/>
  <c r="V26" i="74" s="1"/>
  <c r="J25" i="74"/>
  <c r="V25" i="74" s="1"/>
  <c r="J24" i="74"/>
  <c r="W24" i="74" s="1"/>
  <c r="J23" i="74"/>
  <c r="V23" i="74" s="1"/>
  <c r="J22" i="74"/>
  <c r="V22" i="74" s="1"/>
  <c r="J21" i="74"/>
  <c r="V21" i="74" s="1"/>
  <c r="J20" i="74"/>
  <c r="W20" i="74" s="1"/>
  <c r="J19" i="74"/>
  <c r="V19" i="74" s="1"/>
  <c r="J18" i="74"/>
  <c r="V18" i="74" s="1"/>
  <c r="J17" i="74"/>
  <c r="V17" i="74" s="1"/>
  <c r="J16" i="74"/>
  <c r="W16" i="74" s="1"/>
  <c r="J15" i="74"/>
  <c r="V15" i="74" s="1"/>
  <c r="J14" i="74"/>
  <c r="V14" i="74" s="1"/>
  <c r="J13" i="74"/>
  <c r="V13" i="74" s="1"/>
  <c r="J12" i="74"/>
  <c r="W12" i="74" s="1"/>
  <c r="J11" i="74"/>
  <c r="W11" i="74" s="1"/>
  <c r="J10" i="74"/>
  <c r="V10" i="74" s="1"/>
  <c r="J9" i="74"/>
  <c r="V9" i="74" s="1"/>
  <c r="N8" i="74"/>
  <c r="J8" i="74"/>
  <c r="W8" i="74" s="1"/>
  <c r="J7" i="74"/>
  <c r="V7" i="74" s="1"/>
  <c r="N6" i="74"/>
  <c r="J6" i="74"/>
  <c r="V6" i="74" s="1"/>
  <c r="N4" i="74"/>
  <c r="J90" i="73"/>
  <c r="W90" i="73" s="1"/>
  <c r="J89" i="73"/>
  <c r="V89" i="73" s="1"/>
  <c r="J88" i="73"/>
  <c r="V88" i="73" s="1"/>
  <c r="J87" i="73"/>
  <c r="W87" i="73" s="1"/>
  <c r="J86" i="73"/>
  <c r="W86" i="73" s="1"/>
  <c r="J85" i="73"/>
  <c r="V85" i="73" s="1"/>
  <c r="J84" i="73"/>
  <c r="V84" i="73" s="1"/>
  <c r="J83" i="73"/>
  <c r="W83" i="73" s="1"/>
  <c r="J82" i="73"/>
  <c r="W82" i="73" s="1"/>
  <c r="J81" i="73"/>
  <c r="V81" i="73" s="1"/>
  <c r="J80" i="73"/>
  <c r="V80" i="73" s="1"/>
  <c r="J79" i="73"/>
  <c r="V79" i="73" s="1"/>
  <c r="J78" i="73"/>
  <c r="W78" i="73" s="1"/>
  <c r="J77" i="73"/>
  <c r="V77" i="73" s="1"/>
  <c r="J76" i="73"/>
  <c r="V76" i="73" s="1"/>
  <c r="J75" i="73"/>
  <c r="W75" i="73" s="1"/>
  <c r="J74" i="73"/>
  <c r="W74" i="73" s="1"/>
  <c r="J73" i="73"/>
  <c r="V73" i="73" s="1"/>
  <c r="J72" i="73"/>
  <c r="V72" i="73" s="1"/>
  <c r="J71" i="73"/>
  <c r="V71" i="73" s="1"/>
  <c r="J70" i="73"/>
  <c r="W70" i="73" s="1"/>
  <c r="J69" i="73"/>
  <c r="V69" i="73" s="1"/>
  <c r="J68" i="73"/>
  <c r="J59" i="73"/>
  <c r="W59" i="73" s="1"/>
  <c r="J58" i="73"/>
  <c r="V58" i="73" s="1"/>
  <c r="J57" i="73"/>
  <c r="V57" i="73" s="1"/>
  <c r="J56" i="73"/>
  <c r="V56" i="73" s="1"/>
  <c r="J55" i="73"/>
  <c r="W55" i="73" s="1"/>
  <c r="J54" i="73"/>
  <c r="V54" i="73" s="1"/>
  <c r="J53" i="73"/>
  <c r="W53" i="73" s="1"/>
  <c r="J52" i="73"/>
  <c r="V52" i="73" s="1"/>
  <c r="J51" i="73"/>
  <c r="W51" i="73" s="1"/>
  <c r="J50" i="73"/>
  <c r="V50" i="73" s="1"/>
  <c r="J49" i="73"/>
  <c r="W49" i="73" s="1"/>
  <c r="J48" i="73"/>
  <c r="V48" i="73" s="1"/>
  <c r="J47" i="73"/>
  <c r="W47" i="73" s="1"/>
  <c r="J46" i="73"/>
  <c r="V46" i="73" s="1"/>
  <c r="J45" i="73"/>
  <c r="W45" i="73" s="1"/>
  <c r="J44" i="73"/>
  <c r="V44" i="73" s="1"/>
  <c r="J43" i="73"/>
  <c r="W43" i="73" s="1"/>
  <c r="J42" i="73"/>
  <c r="V42" i="73" s="1"/>
  <c r="J41" i="73"/>
  <c r="W41" i="73" s="1"/>
  <c r="J40" i="73"/>
  <c r="V40" i="73" s="1"/>
  <c r="J39" i="73"/>
  <c r="W39" i="73" s="1"/>
  <c r="J38" i="73"/>
  <c r="V38" i="73" s="1"/>
  <c r="J37" i="73"/>
  <c r="J28" i="73"/>
  <c r="W28" i="73" s="1"/>
  <c r="J27" i="73"/>
  <c r="V27" i="73" s="1"/>
  <c r="J26" i="73"/>
  <c r="V26" i="73" s="1"/>
  <c r="J25" i="73"/>
  <c r="W25" i="73" s="1"/>
  <c r="J24" i="73"/>
  <c r="W24" i="73" s="1"/>
  <c r="J23" i="73"/>
  <c r="V23" i="73" s="1"/>
  <c r="J22" i="73"/>
  <c r="V22" i="73" s="1"/>
  <c r="J21" i="73"/>
  <c r="W21" i="73" s="1"/>
  <c r="J20" i="73"/>
  <c r="W20" i="73" s="1"/>
  <c r="J19" i="73"/>
  <c r="V19" i="73" s="1"/>
  <c r="J18" i="73"/>
  <c r="W18" i="73" s="1"/>
  <c r="J17" i="73"/>
  <c r="W17" i="73" s="1"/>
  <c r="J16" i="73"/>
  <c r="W16" i="73" s="1"/>
  <c r="J15" i="73"/>
  <c r="V15" i="73" s="1"/>
  <c r="J14" i="73"/>
  <c r="V14" i="73" s="1"/>
  <c r="J13" i="73"/>
  <c r="W13" i="73" s="1"/>
  <c r="J12" i="73"/>
  <c r="W12" i="73" s="1"/>
  <c r="J11" i="73"/>
  <c r="W11" i="73" s="1"/>
  <c r="J10" i="73"/>
  <c r="V10" i="73" s="1"/>
  <c r="J9" i="73"/>
  <c r="V9" i="73" s="1"/>
  <c r="N8" i="73"/>
  <c r="J8" i="73"/>
  <c r="V8" i="73" s="1"/>
  <c r="J7" i="73"/>
  <c r="V7" i="73" s="1"/>
  <c r="N6" i="73"/>
  <c r="J6" i="73"/>
  <c r="W6" i="73" s="1"/>
  <c r="N4" i="73"/>
  <c r="V90" i="72"/>
  <c r="J90" i="72"/>
  <c r="W90" i="72" s="1"/>
  <c r="J89" i="72"/>
  <c r="V89" i="72" s="1"/>
  <c r="J88" i="72"/>
  <c r="V88" i="72" s="1"/>
  <c r="W87" i="72"/>
  <c r="J87" i="72"/>
  <c r="V87" i="72" s="1"/>
  <c r="J86" i="72"/>
  <c r="V86" i="72" s="1"/>
  <c r="J85" i="72"/>
  <c r="V85" i="72" s="1"/>
  <c r="J84" i="72"/>
  <c r="V84" i="72" s="1"/>
  <c r="J83" i="72"/>
  <c r="W83" i="72" s="1"/>
  <c r="J82" i="72"/>
  <c r="V82" i="72" s="1"/>
  <c r="J81" i="72"/>
  <c r="V81" i="72" s="1"/>
  <c r="J80" i="72"/>
  <c r="V80" i="72" s="1"/>
  <c r="J79" i="72"/>
  <c r="W79" i="72" s="1"/>
  <c r="J78" i="72"/>
  <c r="V78" i="72" s="1"/>
  <c r="J77" i="72"/>
  <c r="V77" i="72" s="1"/>
  <c r="J76" i="72"/>
  <c r="V76" i="72" s="1"/>
  <c r="J75" i="72"/>
  <c r="V75" i="72" s="1"/>
  <c r="J74" i="72"/>
  <c r="V74" i="72" s="1"/>
  <c r="J73" i="72"/>
  <c r="V73" i="72" s="1"/>
  <c r="J72" i="72"/>
  <c r="V72" i="72" s="1"/>
  <c r="J71" i="72"/>
  <c r="V71" i="72" s="1"/>
  <c r="J70" i="72"/>
  <c r="V70" i="72" s="1"/>
  <c r="J69" i="72"/>
  <c r="V69" i="72" s="1"/>
  <c r="J68" i="72"/>
  <c r="J59" i="72"/>
  <c r="W59" i="72" s="1"/>
  <c r="J58" i="72"/>
  <c r="V58" i="72" s="1"/>
  <c r="J57" i="72"/>
  <c r="V57" i="72" s="1"/>
  <c r="J56" i="72"/>
  <c r="W56" i="72" s="1"/>
  <c r="J55" i="72"/>
  <c r="W55" i="72" s="1"/>
  <c r="J54" i="72"/>
  <c r="V54" i="72" s="1"/>
  <c r="J53" i="72"/>
  <c r="V53" i="72" s="1"/>
  <c r="J52" i="72"/>
  <c r="V52" i="72" s="1"/>
  <c r="J51" i="72"/>
  <c r="W51" i="72" s="1"/>
  <c r="J50" i="72"/>
  <c r="V50" i="72" s="1"/>
  <c r="J49" i="72"/>
  <c r="V49" i="72" s="1"/>
  <c r="J48" i="72"/>
  <c r="V48" i="72" s="1"/>
  <c r="J47" i="72"/>
  <c r="W47" i="72" s="1"/>
  <c r="J46" i="72"/>
  <c r="V46" i="72" s="1"/>
  <c r="J45" i="72"/>
  <c r="V45" i="72" s="1"/>
  <c r="J44" i="72"/>
  <c r="V44" i="72" s="1"/>
  <c r="J43" i="72"/>
  <c r="W43" i="72" s="1"/>
  <c r="J42" i="72"/>
  <c r="V42" i="72" s="1"/>
  <c r="J41" i="72"/>
  <c r="V41" i="72" s="1"/>
  <c r="J40" i="72"/>
  <c r="V40" i="72" s="1"/>
  <c r="J39" i="72"/>
  <c r="W39" i="72" s="1"/>
  <c r="J38" i="72"/>
  <c r="V38" i="72" s="1"/>
  <c r="J37" i="72"/>
  <c r="J28" i="72"/>
  <c r="W28" i="72" s="1"/>
  <c r="J27" i="72"/>
  <c r="V27" i="72" s="1"/>
  <c r="J26" i="72"/>
  <c r="V26" i="72" s="1"/>
  <c r="J25" i="72"/>
  <c r="V25" i="72" s="1"/>
  <c r="J24" i="72"/>
  <c r="W24" i="72" s="1"/>
  <c r="J23" i="72"/>
  <c r="V23" i="72" s="1"/>
  <c r="J22" i="72"/>
  <c r="V22" i="72" s="1"/>
  <c r="J21" i="72"/>
  <c r="V21" i="72" s="1"/>
  <c r="J20" i="72"/>
  <c r="W20" i="72" s="1"/>
  <c r="J19" i="72"/>
  <c r="V19" i="72" s="1"/>
  <c r="J18" i="72"/>
  <c r="V18" i="72" s="1"/>
  <c r="J17" i="72"/>
  <c r="V17" i="72" s="1"/>
  <c r="J16" i="72"/>
  <c r="W16" i="72" s="1"/>
  <c r="J15" i="72"/>
  <c r="V15" i="72" s="1"/>
  <c r="J14" i="72"/>
  <c r="V14" i="72" s="1"/>
  <c r="J13" i="72"/>
  <c r="V13" i="72" s="1"/>
  <c r="J12" i="72"/>
  <c r="W12" i="72" s="1"/>
  <c r="J11" i="72"/>
  <c r="W11" i="72" s="1"/>
  <c r="J10" i="72"/>
  <c r="V10" i="72" s="1"/>
  <c r="J9" i="72"/>
  <c r="V9" i="72" s="1"/>
  <c r="N8" i="72"/>
  <c r="J8" i="72"/>
  <c r="V8" i="72" s="1"/>
  <c r="J7" i="72"/>
  <c r="V7" i="72" s="1"/>
  <c r="N6" i="72"/>
  <c r="J6" i="72"/>
  <c r="N4" i="72"/>
  <c r="J90" i="71"/>
  <c r="W90" i="71" s="1"/>
  <c r="J89" i="71"/>
  <c r="V89" i="71" s="1"/>
  <c r="J88" i="71"/>
  <c r="V88" i="71" s="1"/>
  <c r="J87" i="71"/>
  <c r="V87" i="71" s="1"/>
  <c r="J86" i="71"/>
  <c r="W86" i="71" s="1"/>
  <c r="J85" i="71"/>
  <c r="V85" i="71" s="1"/>
  <c r="J84" i="71"/>
  <c r="V84" i="71" s="1"/>
  <c r="J83" i="71"/>
  <c r="V83" i="71" s="1"/>
  <c r="J82" i="71"/>
  <c r="W82" i="71" s="1"/>
  <c r="J81" i="71"/>
  <c r="V81" i="71" s="1"/>
  <c r="J80" i="71"/>
  <c r="V80" i="71" s="1"/>
  <c r="J79" i="71"/>
  <c r="V79" i="71" s="1"/>
  <c r="J78" i="71"/>
  <c r="W78" i="71" s="1"/>
  <c r="J77" i="71"/>
  <c r="V77" i="71" s="1"/>
  <c r="J76" i="71"/>
  <c r="V76" i="71" s="1"/>
  <c r="J75" i="71"/>
  <c r="W75" i="71" s="1"/>
  <c r="J74" i="71"/>
  <c r="W74" i="71" s="1"/>
  <c r="J73" i="71"/>
  <c r="V73" i="71" s="1"/>
  <c r="J72" i="71"/>
  <c r="V72" i="71" s="1"/>
  <c r="J71" i="71"/>
  <c r="W71" i="71" s="1"/>
  <c r="J70" i="71"/>
  <c r="W70" i="71" s="1"/>
  <c r="J69" i="71"/>
  <c r="V69" i="71" s="1"/>
  <c r="J68" i="71"/>
  <c r="J59" i="71"/>
  <c r="W59" i="71" s="1"/>
  <c r="J58" i="71"/>
  <c r="V58" i="71" s="1"/>
  <c r="J57" i="71"/>
  <c r="V57" i="71" s="1"/>
  <c r="J56" i="71"/>
  <c r="V56" i="71" s="1"/>
  <c r="J55" i="71"/>
  <c r="W55" i="71" s="1"/>
  <c r="J54" i="71"/>
  <c r="V54" i="71" s="1"/>
  <c r="J53" i="71"/>
  <c r="V53" i="71" s="1"/>
  <c r="J52" i="71"/>
  <c r="V52" i="71" s="1"/>
  <c r="J51" i="71"/>
  <c r="W51" i="71" s="1"/>
  <c r="J50" i="71"/>
  <c r="V50" i="71" s="1"/>
  <c r="J49" i="71"/>
  <c r="V49" i="71" s="1"/>
  <c r="J48" i="71"/>
  <c r="V48" i="71" s="1"/>
  <c r="J47" i="71"/>
  <c r="W47" i="71" s="1"/>
  <c r="J46" i="71"/>
  <c r="V46" i="71" s="1"/>
  <c r="J45" i="71"/>
  <c r="V45" i="71" s="1"/>
  <c r="J44" i="71"/>
  <c r="V44" i="71" s="1"/>
  <c r="J43" i="71"/>
  <c r="W43" i="71" s="1"/>
  <c r="J42" i="71"/>
  <c r="V42" i="71" s="1"/>
  <c r="J41" i="71"/>
  <c r="V41" i="71" s="1"/>
  <c r="J40" i="71"/>
  <c r="V40" i="71" s="1"/>
  <c r="J39" i="71"/>
  <c r="W39" i="71" s="1"/>
  <c r="J38" i="71"/>
  <c r="V38" i="71" s="1"/>
  <c r="J37" i="71"/>
  <c r="J28" i="71"/>
  <c r="W28" i="71" s="1"/>
  <c r="J27" i="71"/>
  <c r="V27" i="71" s="1"/>
  <c r="J26" i="71"/>
  <c r="V26" i="71" s="1"/>
  <c r="J25" i="71"/>
  <c r="W25" i="71" s="1"/>
  <c r="J24" i="71"/>
  <c r="W24" i="71" s="1"/>
  <c r="J23" i="71"/>
  <c r="V23" i="71" s="1"/>
  <c r="J22" i="71"/>
  <c r="V22" i="71" s="1"/>
  <c r="J21" i="71"/>
  <c r="W21" i="71" s="1"/>
  <c r="J20" i="71"/>
  <c r="W20" i="71" s="1"/>
  <c r="J19" i="71"/>
  <c r="V19" i="71" s="1"/>
  <c r="J18" i="71"/>
  <c r="V18" i="71" s="1"/>
  <c r="J17" i="71"/>
  <c r="W17" i="71" s="1"/>
  <c r="J16" i="71"/>
  <c r="W16" i="71" s="1"/>
  <c r="J15" i="71"/>
  <c r="V15" i="71" s="1"/>
  <c r="J14" i="71"/>
  <c r="V14" i="71" s="1"/>
  <c r="J13" i="71"/>
  <c r="W13" i="71" s="1"/>
  <c r="J12" i="71"/>
  <c r="V12" i="71" s="1"/>
  <c r="J11" i="71"/>
  <c r="W11" i="71" s="1"/>
  <c r="J10" i="71"/>
  <c r="V10" i="71" s="1"/>
  <c r="J9" i="71"/>
  <c r="V9" i="71" s="1"/>
  <c r="N8" i="71"/>
  <c r="J8" i="71"/>
  <c r="V8" i="71" s="1"/>
  <c r="J7" i="71"/>
  <c r="V7" i="71" s="1"/>
  <c r="V6" i="71"/>
  <c r="N6" i="71"/>
  <c r="J6" i="71"/>
  <c r="W6" i="71" s="1"/>
  <c r="N4" i="71"/>
  <c r="J90" i="70"/>
  <c r="W90" i="70" s="1"/>
  <c r="J89" i="70"/>
  <c r="V89" i="70" s="1"/>
  <c r="J88" i="70"/>
  <c r="W88" i="70" s="1"/>
  <c r="J87" i="70"/>
  <c r="V87" i="70" s="1"/>
  <c r="J86" i="70"/>
  <c r="W86" i="70" s="1"/>
  <c r="J85" i="70"/>
  <c r="V85" i="70" s="1"/>
  <c r="J84" i="70"/>
  <c r="V84" i="70" s="1"/>
  <c r="J83" i="70"/>
  <c r="V83" i="70" s="1"/>
  <c r="J82" i="70"/>
  <c r="W82" i="70" s="1"/>
  <c r="J81" i="70"/>
  <c r="V81" i="70" s="1"/>
  <c r="J80" i="70"/>
  <c r="W80" i="70" s="1"/>
  <c r="J79" i="70"/>
  <c r="V79" i="70" s="1"/>
  <c r="J78" i="70"/>
  <c r="W78" i="70" s="1"/>
  <c r="J77" i="70"/>
  <c r="V77" i="70" s="1"/>
  <c r="J76" i="70"/>
  <c r="V76" i="70" s="1"/>
  <c r="J75" i="70"/>
  <c r="V75" i="70" s="1"/>
  <c r="J74" i="70"/>
  <c r="W74" i="70" s="1"/>
  <c r="J73" i="70"/>
  <c r="V73" i="70" s="1"/>
  <c r="J72" i="70"/>
  <c r="W72" i="70" s="1"/>
  <c r="J71" i="70"/>
  <c r="V71" i="70" s="1"/>
  <c r="J70" i="70"/>
  <c r="W70" i="70" s="1"/>
  <c r="J69" i="70"/>
  <c r="V69" i="70" s="1"/>
  <c r="J68" i="70"/>
  <c r="J59" i="70"/>
  <c r="W59" i="70" s="1"/>
  <c r="J58" i="70"/>
  <c r="V58" i="70" s="1"/>
  <c r="W57" i="70"/>
  <c r="J57" i="70"/>
  <c r="V57" i="70" s="1"/>
  <c r="J56" i="70"/>
  <c r="V56" i="70" s="1"/>
  <c r="J55" i="70"/>
  <c r="W55" i="70" s="1"/>
  <c r="J54" i="70"/>
  <c r="V54" i="70" s="1"/>
  <c r="J53" i="70"/>
  <c r="W53" i="70" s="1"/>
  <c r="J52" i="70"/>
  <c r="V52" i="70" s="1"/>
  <c r="J51" i="70"/>
  <c r="W51" i="70" s="1"/>
  <c r="J50" i="70"/>
  <c r="V50" i="70" s="1"/>
  <c r="J49" i="70"/>
  <c r="V49" i="70" s="1"/>
  <c r="J48" i="70"/>
  <c r="V48" i="70" s="1"/>
  <c r="J47" i="70"/>
  <c r="W47" i="70" s="1"/>
  <c r="J46" i="70"/>
  <c r="V46" i="70" s="1"/>
  <c r="J45" i="70"/>
  <c r="V45" i="70" s="1"/>
  <c r="J44" i="70"/>
  <c r="V44" i="70" s="1"/>
  <c r="J43" i="70"/>
  <c r="W43" i="70" s="1"/>
  <c r="J42" i="70"/>
  <c r="V42" i="70" s="1"/>
  <c r="J41" i="70"/>
  <c r="W41" i="70" s="1"/>
  <c r="J40" i="70"/>
  <c r="V40" i="70" s="1"/>
  <c r="J39" i="70"/>
  <c r="W39" i="70" s="1"/>
  <c r="J38" i="70"/>
  <c r="V38" i="70" s="1"/>
  <c r="J37" i="70"/>
  <c r="W37" i="70" s="1"/>
  <c r="J28" i="70"/>
  <c r="W28" i="70" s="1"/>
  <c r="J27" i="70"/>
  <c r="V27" i="70" s="1"/>
  <c r="J26" i="70"/>
  <c r="W26" i="70" s="1"/>
  <c r="J25" i="70"/>
  <c r="V25" i="70" s="1"/>
  <c r="J24" i="70"/>
  <c r="W24" i="70" s="1"/>
  <c r="J23" i="70"/>
  <c r="V23" i="70" s="1"/>
  <c r="J22" i="70"/>
  <c r="V22" i="70" s="1"/>
  <c r="J21" i="70"/>
  <c r="V21" i="70" s="1"/>
  <c r="J20" i="70"/>
  <c r="W20" i="70" s="1"/>
  <c r="J19" i="70"/>
  <c r="V19" i="70" s="1"/>
  <c r="J18" i="70"/>
  <c r="W18" i="70" s="1"/>
  <c r="J17" i="70"/>
  <c r="V17" i="70" s="1"/>
  <c r="J16" i="70"/>
  <c r="W16" i="70" s="1"/>
  <c r="J15" i="70"/>
  <c r="V15" i="70" s="1"/>
  <c r="J14" i="70"/>
  <c r="V14" i="70" s="1"/>
  <c r="J13" i="70"/>
  <c r="V13" i="70" s="1"/>
  <c r="J12" i="70"/>
  <c r="W12" i="70" s="1"/>
  <c r="J11" i="70"/>
  <c r="W11" i="70" s="1"/>
  <c r="J10" i="70"/>
  <c r="V10" i="70" s="1"/>
  <c r="J9" i="70"/>
  <c r="V9" i="70" s="1"/>
  <c r="N8" i="70"/>
  <c r="J8" i="70"/>
  <c r="W8" i="70" s="1"/>
  <c r="J7" i="70"/>
  <c r="W7" i="70" s="1"/>
  <c r="N6" i="70"/>
  <c r="J6" i="70"/>
  <c r="V6" i="70" s="1"/>
  <c r="N4" i="70"/>
  <c r="J17" i="68"/>
  <c r="V17" i="68" s="1"/>
  <c r="J90" i="68"/>
  <c r="W90" i="68" s="1"/>
  <c r="J89" i="68"/>
  <c r="V89" i="68" s="1"/>
  <c r="J88" i="68"/>
  <c r="W88" i="68" s="1"/>
  <c r="J87" i="68"/>
  <c r="V87" i="68" s="1"/>
  <c r="J86" i="68"/>
  <c r="W86" i="68" s="1"/>
  <c r="J85" i="68"/>
  <c r="V85" i="68" s="1"/>
  <c r="J84" i="68"/>
  <c r="V84" i="68" s="1"/>
  <c r="J83" i="68"/>
  <c r="W83" i="68" s="1"/>
  <c r="J82" i="68"/>
  <c r="W82" i="68" s="1"/>
  <c r="J81" i="68"/>
  <c r="V81" i="68" s="1"/>
  <c r="J80" i="68"/>
  <c r="V80" i="68" s="1"/>
  <c r="J79" i="68"/>
  <c r="W79" i="68" s="1"/>
  <c r="J78" i="68"/>
  <c r="W78" i="68" s="1"/>
  <c r="J77" i="68"/>
  <c r="V77" i="68" s="1"/>
  <c r="J76" i="68"/>
  <c r="V76" i="68" s="1"/>
  <c r="J75" i="68"/>
  <c r="V75" i="68" s="1"/>
  <c r="J74" i="68"/>
  <c r="W74" i="68" s="1"/>
  <c r="J73" i="68"/>
  <c r="V73" i="68" s="1"/>
  <c r="J72" i="68"/>
  <c r="W72" i="68" s="1"/>
  <c r="J71" i="68"/>
  <c r="V71" i="68" s="1"/>
  <c r="J70" i="68"/>
  <c r="W70" i="68" s="1"/>
  <c r="J69" i="68"/>
  <c r="V69" i="68" s="1"/>
  <c r="J68" i="68"/>
  <c r="W68" i="68" s="1"/>
  <c r="J59" i="68"/>
  <c r="W59" i="68" s="1"/>
  <c r="J58" i="68"/>
  <c r="V58" i="68" s="1"/>
  <c r="J57" i="68"/>
  <c r="V57" i="68" s="1"/>
  <c r="J56" i="68"/>
  <c r="V56" i="68" s="1"/>
  <c r="J55" i="68"/>
  <c r="W55" i="68" s="1"/>
  <c r="J54" i="68"/>
  <c r="V54" i="68" s="1"/>
  <c r="J53" i="68"/>
  <c r="W53" i="68" s="1"/>
  <c r="J52" i="68"/>
  <c r="V52" i="68" s="1"/>
  <c r="J51" i="68"/>
  <c r="W51" i="68" s="1"/>
  <c r="J50" i="68"/>
  <c r="V50" i="68" s="1"/>
  <c r="J49" i="68"/>
  <c r="V49" i="68" s="1"/>
  <c r="J48" i="68"/>
  <c r="W48" i="68" s="1"/>
  <c r="J47" i="68"/>
  <c r="W47" i="68" s="1"/>
  <c r="J46" i="68"/>
  <c r="V46" i="68" s="1"/>
  <c r="J45" i="68"/>
  <c r="V45" i="68" s="1"/>
  <c r="J44" i="68"/>
  <c r="V44" i="68" s="1"/>
  <c r="J43" i="68"/>
  <c r="W43" i="68" s="1"/>
  <c r="J42" i="68"/>
  <c r="V42" i="68" s="1"/>
  <c r="J41" i="68"/>
  <c r="V41" i="68" s="1"/>
  <c r="J40" i="68"/>
  <c r="V40" i="68" s="1"/>
  <c r="J39" i="68"/>
  <c r="W39" i="68" s="1"/>
  <c r="J38" i="68"/>
  <c r="V38" i="68" s="1"/>
  <c r="J37" i="68"/>
  <c r="W37" i="68" s="1"/>
  <c r="J28" i="68"/>
  <c r="W28" i="68" s="1"/>
  <c r="J27" i="68"/>
  <c r="V27" i="68" s="1"/>
  <c r="J26" i="68"/>
  <c r="V26" i="68" s="1"/>
  <c r="J25" i="68"/>
  <c r="V25" i="68" s="1"/>
  <c r="J24" i="68"/>
  <c r="W24" i="68" s="1"/>
  <c r="J23" i="68"/>
  <c r="V23" i="68" s="1"/>
  <c r="J22" i="68"/>
  <c r="V22" i="68" s="1"/>
  <c r="J21" i="68"/>
  <c r="V21" i="68" s="1"/>
  <c r="J20" i="68"/>
  <c r="W20" i="68" s="1"/>
  <c r="J19" i="68"/>
  <c r="V19" i="68" s="1"/>
  <c r="J18" i="68"/>
  <c r="W18" i="68" s="1"/>
  <c r="J16" i="68"/>
  <c r="W16" i="68" s="1"/>
  <c r="J15" i="68"/>
  <c r="V15" i="68" s="1"/>
  <c r="J14" i="68"/>
  <c r="W14" i="68" s="1"/>
  <c r="J13" i="68"/>
  <c r="W13" i="68" s="1"/>
  <c r="J12" i="68"/>
  <c r="W12" i="68" s="1"/>
  <c r="J11" i="68"/>
  <c r="W11" i="68" s="1"/>
  <c r="J10" i="68"/>
  <c r="V10" i="68" s="1"/>
  <c r="J9" i="68"/>
  <c r="V9" i="68" s="1"/>
  <c r="N8" i="68"/>
  <c r="J8" i="68"/>
  <c r="V8" i="68" s="1"/>
  <c r="J7" i="68"/>
  <c r="V7" i="68" s="1"/>
  <c r="N6" i="68"/>
  <c r="J6" i="68"/>
  <c r="N4" i="68"/>
  <c r="J90" i="67"/>
  <c r="W90" i="67" s="1"/>
  <c r="J89" i="67"/>
  <c r="W89" i="67" s="1"/>
  <c r="J88" i="67"/>
  <c r="W88" i="67" s="1"/>
  <c r="J87" i="67"/>
  <c r="W87" i="67" s="1"/>
  <c r="J86" i="67"/>
  <c r="W86" i="67" s="1"/>
  <c r="J85" i="67"/>
  <c r="W85" i="67" s="1"/>
  <c r="J84" i="67"/>
  <c r="W84" i="67" s="1"/>
  <c r="J83" i="67"/>
  <c r="W83" i="67" s="1"/>
  <c r="J82" i="67"/>
  <c r="W82" i="67" s="1"/>
  <c r="J81" i="67"/>
  <c r="W81" i="67" s="1"/>
  <c r="J80" i="67"/>
  <c r="W80" i="67" s="1"/>
  <c r="J79" i="67"/>
  <c r="W79" i="67" s="1"/>
  <c r="J78" i="67"/>
  <c r="W78" i="67" s="1"/>
  <c r="J77" i="67"/>
  <c r="W77" i="67" s="1"/>
  <c r="J76" i="67"/>
  <c r="W76" i="67" s="1"/>
  <c r="J75" i="67"/>
  <c r="W75" i="67" s="1"/>
  <c r="J74" i="67"/>
  <c r="W74" i="67" s="1"/>
  <c r="J73" i="67"/>
  <c r="W73" i="67" s="1"/>
  <c r="J72" i="67"/>
  <c r="W72" i="67" s="1"/>
  <c r="J71" i="67"/>
  <c r="W71" i="67" s="1"/>
  <c r="J70" i="67"/>
  <c r="W70" i="67" s="1"/>
  <c r="J69" i="67"/>
  <c r="W69" i="67" s="1"/>
  <c r="J68" i="67"/>
  <c r="W68" i="67" s="1"/>
  <c r="J59" i="67"/>
  <c r="V59" i="67" s="1"/>
  <c r="J58" i="67"/>
  <c r="W58" i="67" s="1"/>
  <c r="J57" i="67"/>
  <c r="V57" i="67" s="1"/>
  <c r="J56" i="67"/>
  <c r="W56" i="67" s="1"/>
  <c r="J55" i="67"/>
  <c r="V55" i="67" s="1"/>
  <c r="J54" i="67"/>
  <c r="V54" i="67" s="1"/>
  <c r="J53" i="67"/>
  <c r="V53" i="67" s="1"/>
  <c r="J52" i="67"/>
  <c r="W52" i="67" s="1"/>
  <c r="J51" i="67"/>
  <c r="V51" i="67" s="1"/>
  <c r="J50" i="67"/>
  <c r="W50" i="67" s="1"/>
  <c r="J49" i="67"/>
  <c r="W49" i="67" s="1"/>
  <c r="J48" i="67"/>
  <c r="W48" i="67" s="1"/>
  <c r="J47" i="67"/>
  <c r="V47" i="67" s="1"/>
  <c r="J46" i="67"/>
  <c r="V46" i="67" s="1"/>
  <c r="J45" i="67"/>
  <c r="W45" i="67" s="1"/>
  <c r="J44" i="67"/>
  <c r="W44" i="67" s="1"/>
  <c r="J43" i="67"/>
  <c r="V43" i="67" s="1"/>
  <c r="J42" i="67"/>
  <c r="V42" i="67" s="1"/>
  <c r="J41" i="67"/>
  <c r="V41" i="67" s="1"/>
  <c r="J40" i="67"/>
  <c r="W40" i="67" s="1"/>
  <c r="J39" i="67"/>
  <c r="V39" i="67" s="1"/>
  <c r="J38" i="67"/>
  <c r="V38" i="67" s="1"/>
  <c r="J37" i="67"/>
  <c r="J28" i="67"/>
  <c r="W28" i="67" s="1"/>
  <c r="J27" i="67"/>
  <c r="W27" i="67" s="1"/>
  <c r="J26" i="67"/>
  <c r="W26" i="67" s="1"/>
  <c r="J25" i="67"/>
  <c r="W25" i="67" s="1"/>
  <c r="J24" i="67"/>
  <c r="W24" i="67" s="1"/>
  <c r="J23" i="67"/>
  <c r="W23" i="67" s="1"/>
  <c r="J22" i="67"/>
  <c r="W22" i="67" s="1"/>
  <c r="J21" i="67"/>
  <c r="W21" i="67" s="1"/>
  <c r="J20" i="67"/>
  <c r="W20" i="67" s="1"/>
  <c r="J19" i="67"/>
  <c r="W19" i="67" s="1"/>
  <c r="J18" i="67"/>
  <c r="W18" i="67" s="1"/>
  <c r="J17" i="67"/>
  <c r="W17" i="67" s="1"/>
  <c r="J16" i="67"/>
  <c r="W16" i="67" s="1"/>
  <c r="J15" i="67"/>
  <c r="W15" i="67" s="1"/>
  <c r="J14" i="67"/>
  <c r="W14" i="67" s="1"/>
  <c r="J13" i="67"/>
  <c r="W13" i="67" s="1"/>
  <c r="J12" i="67"/>
  <c r="W12" i="67" s="1"/>
  <c r="J11" i="67"/>
  <c r="W11" i="67" s="1"/>
  <c r="J10" i="67"/>
  <c r="V10" i="67" s="1"/>
  <c r="J9" i="67"/>
  <c r="V9" i="67" s="1"/>
  <c r="N8" i="67"/>
  <c r="J8" i="67"/>
  <c r="V8" i="67" s="1"/>
  <c r="J7" i="67"/>
  <c r="V7" i="67" s="1"/>
  <c r="N6" i="67"/>
  <c r="J6" i="67"/>
  <c r="V6" i="67" s="1"/>
  <c r="N4" i="67"/>
  <c r="W57" i="71" l="1"/>
  <c r="W25" i="72"/>
  <c r="V6" i="73"/>
  <c r="W40" i="74"/>
  <c r="W79" i="74"/>
  <c r="V90" i="75"/>
  <c r="V37" i="70"/>
  <c r="V17" i="73"/>
  <c r="W48" i="73"/>
  <c r="W79" i="71"/>
  <c r="V86" i="71"/>
  <c r="W25" i="74"/>
  <c r="V56" i="72"/>
  <c r="W22" i="73"/>
  <c r="W42" i="67"/>
  <c r="V81" i="67"/>
  <c r="V75" i="71"/>
  <c r="V83" i="72"/>
  <c r="W6" i="74"/>
  <c r="V28" i="68"/>
  <c r="W27" i="70"/>
  <c r="W12" i="71"/>
  <c r="V28" i="72"/>
  <c r="V87" i="73"/>
  <c r="W49" i="74"/>
  <c r="V26" i="70"/>
  <c r="W77" i="70"/>
  <c r="V20" i="71"/>
  <c r="W26" i="71"/>
  <c r="W48" i="71"/>
  <c r="W87" i="71"/>
  <c r="V90" i="71"/>
  <c r="W21" i="72"/>
  <c r="V51" i="72"/>
  <c r="V18" i="73"/>
  <c r="W44" i="74"/>
  <c r="W56" i="74"/>
  <c r="V84" i="74"/>
  <c r="V90" i="74"/>
  <c r="V9" i="75"/>
  <c r="V28" i="75"/>
  <c r="V42" i="75"/>
  <c r="W59" i="75"/>
  <c r="W74" i="75"/>
  <c r="W59" i="67"/>
  <c r="V18" i="68"/>
  <c r="V18" i="70"/>
  <c r="V28" i="71"/>
  <c r="V78" i="71"/>
  <c r="V59" i="72"/>
  <c r="W70" i="72"/>
  <c r="W86" i="72"/>
  <c r="W56" i="73"/>
  <c r="W52" i="74"/>
  <c r="V70" i="74"/>
  <c r="W47" i="67"/>
  <c r="V50" i="67"/>
  <c r="V82" i="67"/>
  <c r="W26" i="68"/>
  <c r="W40" i="68"/>
  <c r="V47" i="68"/>
  <c r="W38" i="70"/>
  <c r="W45" i="70"/>
  <c r="W58" i="70"/>
  <c r="V24" i="72"/>
  <c r="V90" i="67"/>
  <c r="V13" i="68"/>
  <c r="V16" i="68"/>
  <c r="V59" i="68"/>
  <c r="V90" i="68"/>
  <c r="W89" i="70"/>
  <c r="V24" i="71"/>
  <c r="V59" i="71"/>
  <c r="W71" i="72"/>
  <c r="V13" i="73"/>
  <c r="W40" i="73"/>
  <c r="W7" i="74"/>
  <c r="W21" i="74"/>
  <c r="W48" i="74"/>
  <c r="V58" i="75"/>
  <c r="W82" i="75"/>
  <c r="W86" i="75"/>
  <c r="W24" i="75"/>
  <c r="V54" i="75"/>
  <c r="V50" i="75"/>
  <c r="W20" i="75"/>
  <c r="W78" i="75"/>
  <c r="V16" i="75"/>
  <c r="V46" i="75"/>
  <c r="V12" i="75"/>
  <c r="V11" i="75"/>
  <c r="W70" i="75"/>
  <c r="J91" i="75"/>
  <c r="V38" i="75"/>
  <c r="W71" i="75"/>
  <c r="W75" i="75"/>
  <c r="W79" i="75"/>
  <c r="W83" i="75"/>
  <c r="W87" i="75"/>
  <c r="V69" i="75"/>
  <c r="V73" i="75"/>
  <c r="V77" i="75"/>
  <c r="V81" i="75"/>
  <c r="V85" i="75"/>
  <c r="V89" i="75"/>
  <c r="W40" i="75"/>
  <c r="W44" i="75"/>
  <c r="W48" i="75"/>
  <c r="W52" i="75"/>
  <c r="W56" i="75"/>
  <c r="W39" i="75"/>
  <c r="W43" i="75"/>
  <c r="W47" i="75"/>
  <c r="W51" i="75"/>
  <c r="W55" i="75"/>
  <c r="J60" i="75"/>
  <c r="W10" i="75"/>
  <c r="W13" i="75"/>
  <c r="W17" i="75"/>
  <c r="W21" i="75"/>
  <c r="W25" i="75"/>
  <c r="J29" i="75"/>
  <c r="V15" i="75"/>
  <c r="V19" i="75"/>
  <c r="V23" i="75"/>
  <c r="V27" i="75"/>
  <c r="W6" i="75"/>
  <c r="N10" i="75"/>
  <c r="V6" i="75"/>
  <c r="W7" i="75"/>
  <c r="W8" i="75"/>
  <c r="W14" i="75"/>
  <c r="W18" i="75"/>
  <c r="W22" i="75"/>
  <c r="W26" i="75"/>
  <c r="W37" i="75"/>
  <c r="W41" i="75"/>
  <c r="W45" i="75"/>
  <c r="W49" i="75"/>
  <c r="W53" i="75"/>
  <c r="W57" i="75"/>
  <c r="W68" i="75"/>
  <c r="W72" i="75"/>
  <c r="W76" i="75"/>
  <c r="W80" i="75"/>
  <c r="W84" i="75"/>
  <c r="W88" i="75"/>
  <c r="V37" i="75"/>
  <c r="V68" i="75"/>
  <c r="W57" i="74"/>
  <c r="V86" i="74"/>
  <c r="W53" i="74"/>
  <c r="W80" i="74"/>
  <c r="W17" i="74"/>
  <c r="W45" i="74"/>
  <c r="W75" i="74"/>
  <c r="W13" i="74"/>
  <c r="W41" i="74"/>
  <c r="V12" i="74"/>
  <c r="V68" i="74"/>
  <c r="W37" i="74"/>
  <c r="V72" i="74"/>
  <c r="V74" i="74"/>
  <c r="V83" i="74"/>
  <c r="V88" i="74"/>
  <c r="J91" i="74"/>
  <c r="W71" i="74"/>
  <c r="W76" i="74"/>
  <c r="V82" i="74"/>
  <c r="W87" i="74"/>
  <c r="V78" i="74"/>
  <c r="W14" i="74"/>
  <c r="W18" i="74"/>
  <c r="W22" i="74"/>
  <c r="W26" i="74"/>
  <c r="J29" i="74"/>
  <c r="N10" i="74"/>
  <c r="V11" i="74"/>
  <c r="V16" i="74"/>
  <c r="V20" i="74"/>
  <c r="V24" i="74"/>
  <c r="V28" i="74"/>
  <c r="V39" i="74"/>
  <c r="V43" i="74"/>
  <c r="V47" i="74"/>
  <c r="V51" i="74"/>
  <c r="V55" i="74"/>
  <c r="V59" i="74"/>
  <c r="V8" i="74"/>
  <c r="W9" i="74"/>
  <c r="W10" i="74"/>
  <c r="W19" i="74"/>
  <c r="W38" i="74"/>
  <c r="J60" i="74"/>
  <c r="W69" i="74"/>
  <c r="W73" i="74"/>
  <c r="W77" i="74"/>
  <c r="W81" i="74"/>
  <c r="W89" i="74"/>
  <c r="W15" i="74"/>
  <c r="W23" i="74"/>
  <c r="W27" i="74"/>
  <c r="W42" i="74"/>
  <c r="W46" i="74"/>
  <c r="W50" i="74"/>
  <c r="W54" i="74"/>
  <c r="W58" i="74"/>
  <c r="W85" i="74"/>
  <c r="W88" i="73"/>
  <c r="W57" i="73"/>
  <c r="W26" i="73"/>
  <c r="V83" i="73"/>
  <c r="W79" i="73"/>
  <c r="V75" i="73"/>
  <c r="W44" i="73"/>
  <c r="J60" i="73"/>
  <c r="W71" i="73"/>
  <c r="J91" i="73"/>
  <c r="W7" i="73"/>
  <c r="W68" i="73"/>
  <c r="W72" i="73"/>
  <c r="W76" i="73"/>
  <c r="W80" i="73"/>
  <c r="W84" i="73"/>
  <c r="V68" i="73"/>
  <c r="V37" i="73"/>
  <c r="V41" i="73"/>
  <c r="V45" i="73"/>
  <c r="V49" i="73"/>
  <c r="V53" i="73"/>
  <c r="W52" i="73"/>
  <c r="W37" i="73"/>
  <c r="V25" i="73"/>
  <c r="W14" i="73"/>
  <c r="V21" i="73"/>
  <c r="V12" i="73"/>
  <c r="J29" i="73"/>
  <c r="W8" i="73"/>
  <c r="N10" i="73"/>
  <c r="V11" i="73"/>
  <c r="V16" i="73"/>
  <c r="V20" i="73"/>
  <c r="V24" i="73"/>
  <c r="V28" i="73"/>
  <c r="V39" i="73"/>
  <c r="V43" i="73"/>
  <c r="V47" i="73"/>
  <c r="V51" i="73"/>
  <c r="V55" i="73"/>
  <c r="V59" i="73"/>
  <c r="V70" i="73"/>
  <c r="V74" i="73"/>
  <c r="V78" i="73"/>
  <c r="V82" i="73"/>
  <c r="V86" i="73"/>
  <c r="V90" i="73"/>
  <c r="W9" i="73"/>
  <c r="W10" i="73"/>
  <c r="W15" i="73"/>
  <c r="W19" i="73"/>
  <c r="W23" i="73"/>
  <c r="W27" i="73"/>
  <c r="W38" i="73"/>
  <c r="W42" i="73"/>
  <c r="W46" i="73"/>
  <c r="W50" i="73"/>
  <c r="W54" i="73"/>
  <c r="W58" i="73"/>
  <c r="W69" i="73"/>
  <c r="W73" i="73"/>
  <c r="W77" i="73"/>
  <c r="W81" i="73"/>
  <c r="W85" i="73"/>
  <c r="W89" i="73"/>
  <c r="V55" i="72"/>
  <c r="W82" i="72"/>
  <c r="V20" i="72"/>
  <c r="V79" i="72"/>
  <c r="W17" i="72"/>
  <c r="W78" i="72"/>
  <c r="W75" i="72"/>
  <c r="V47" i="72"/>
  <c r="V16" i="72"/>
  <c r="W13" i="72"/>
  <c r="W74" i="72"/>
  <c r="V43" i="72"/>
  <c r="V12" i="72"/>
  <c r="V39" i="72"/>
  <c r="J91" i="72"/>
  <c r="J29" i="72"/>
  <c r="W40" i="72"/>
  <c r="W44" i="72"/>
  <c r="W48" i="72"/>
  <c r="W52" i="72"/>
  <c r="J60" i="72"/>
  <c r="W6" i="72"/>
  <c r="V11" i="72"/>
  <c r="W14" i="72"/>
  <c r="W18" i="72"/>
  <c r="W88" i="72"/>
  <c r="N10" i="72"/>
  <c r="V6" i="72"/>
  <c r="W7" i="72"/>
  <c r="W8" i="72"/>
  <c r="W22" i="72"/>
  <c r="W26" i="72"/>
  <c r="W37" i="72"/>
  <c r="W41" i="72"/>
  <c r="W45" i="72"/>
  <c r="W49" i="72"/>
  <c r="W53" i="72"/>
  <c r="W57" i="72"/>
  <c r="W68" i="72"/>
  <c r="W72" i="72"/>
  <c r="W76" i="72"/>
  <c r="W80" i="72"/>
  <c r="W84" i="72"/>
  <c r="W9" i="72"/>
  <c r="W10" i="72"/>
  <c r="W15" i="72"/>
  <c r="W19" i="72"/>
  <c r="W23" i="72"/>
  <c r="W27" i="72"/>
  <c r="V37" i="72"/>
  <c r="W38" i="72"/>
  <c r="W42" i="72"/>
  <c r="W46" i="72"/>
  <c r="W50" i="72"/>
  <c r="W54" i="72"/>
  <c r="W58" i="72"/>
  <c r="V68" i="72"/>
  <c r="W69" i="72"/>
  <c r="W73" i="72"/>
  <c r="W77" i="72"/>
  <c r="W81" i="72"/>
  <c r="W85" i="72"/>
  <c r="W89" i="72"/>
  <c r="W83" i="71"/>
  <c r="V82" i="71"/>
  <c r="W52" i="71"/>
  <c r="V16" i="71"/>
  <c r="V74" i="71"/>
  <c r="W44" i="71"/>
  <c r="W40" i="71"/>
  <c r="J91" i="71"/>
  <c r="V71" i="71"/>
  <c r="J60" i="71"/>
  <c r="W7" i="71"/>
  <c r="V70" i="71"/>
  <c r="W68" i="71"/>
  <c r="W72" i="71"/>
  <c r="W76" i="71"/>
  <c r="W80" i="71"/>
  <c r="W84" i="71"/>
  <c r="W88" i="71"/>
  <c r="N10" i="71"/>
  <c r="W37" i="71"/>
  <c r="W41" i="71"/>
  <c r="W45" i="71"/>
  <c r="W49" i="71"/>
  <c r="W53" i="71"/>
  <c r="V39" i="71"/>
  <c r="V43" i="71"/>
  <c r="V47" i="71"/>
  <c r="V51" i="71"/>
  <c r="V55" i="71"/>
  <c r="W56" i="71"/>
  <c r="J29" i="71"/>
  <c r="V13" i="71"/>
  <c r="V17" i="71"/>
  <c r="V21" i="71"/>
  <c r="V25" i="71"/>
  <c r="V11" i="71"/>
  <c r="W14" i="71"/>
  <c r="W18" i="71"/>
  <c r="W22" i="71"/>
  <c r="W8" i="71"/>
  <c r="W9" i="71"/>
  <c r="W10" i="71"/>
  <c r="W15" i="71"/>
  <c r="W19" i="71"/>
  <c r="W23" i="71"/>
  <c r="W27" i="71"/>
  <c r="V37" i="71"/>
  <c r="W38" i="71"/>
  <c r="W42" i="71"/>
  <c r="W46" i="71"/>
  <c r="W50" i="71"/>
  <c r="W54" i="71"/>
  <c r="W58" i="71"/>
  <c r="V68" i="71"/>
  <c r="W69" i="71"/>
  <c r="W73" i="71"/>
  <c r="W77" i="71"/>
  <c r="W81" i="71"/>
  <c r="W85" i="71"/>
  <c r="W89" i="71"/>
  <c r="W54" i="70"/>
  <c r="V53" i="70"/>
  <c r="W50" i="70"/>
  <c r="W22" i="70"/>
  <c r="W19" i="70"/>
  <c r="V80" i="70"/>
  <c r="W76" i="70"/>
  <c r="W73" i="70"/>
  <c r="V41" i="70"/>
  <c r="V8" i="70"/>
  <c r="J91" i="70"/>
  <c r="V7" i="70"/>
  <c r="W6" i="70"/>
  <c r="J29" i="70"/>
  <c r="W69" i="70"/>
  <c r="V72" i="70"/>
  <c r="W85" i="70"/>
  <c r="V88" i="70"/>
  <c r="W68" i="70"/>
  <c r="W84" i="70"/>
  <c r="V68" i="70"/>
  <c r="W81" i="70"/>
  <c r="N10" i="70"/>
  <c r="W42" i="70"/>
  <c r="W49" i="70"/>
  <c r="W46" i="70"/>
  <c r="W10" i="70"/>
  <c r="W15" i="70"/>
  <c r="W9" i="70"/>
  <c r="W14" i="70"/>
  <c r="W23" i="70"/>
  <c r="V11" i="70"/>
  <c r="V12" i="70"/>
  <c r="W13" i="70"/>
  <c r="V16" i="70"/>
  <c r="W17" i="70"/>
  <c r="V20" i="70"/>
  <c r="W21" i="70"/>
  <c r="V24" i="70"/>
  <c r="W25" i="70"/>
  <c r="V28" i="70"/>
  <c r="V39" i="70"/>
  <c r="W40" i="70"/>
  <c r="V43" i="70"/>
  <c r="W44" i="70"/>
  <c r="V47" i="70"/>
  <c r="W48" i="70"/>
  <c r="V51" i="70"/>
  <c r="W52" i="70"/>
  <c r="V55" i="70"/>
  <c r="W56" i="70"/>
  <c r="V59" i="70"/>
  <c r="V70" i="70"/>
  <c r="W71" i="70"/>
  <c r="V74" i="70"/>
  <c r="W75" i="70"/>
  <c r="V78" i="70"/>
  <c r="W79" i="70"/>
  <c r="V82" i="70"/>
  <c r="W83" i="70"/>
  <c r="V86" i="70"/>
  <c r="W87" i="70"/>
  <c r="V90" i="70"/>
  <c r="J60" i="70"/>
  <c r="V88" i="68"/>
  <c r="W56" i="68"/>
  <c r="W25" i="68"/>
  <c r="V86" i="68"/>
  <c r="V55" i="68"/>
  <c r="V53" i="68"/>
  <c r="W84" i="68"/>
  <c r="V83" i="68"/>
  <c r="W21" i="68"/>
  <c r="W80" i="68"/>
  <c r="V51" i="68"/>
  <c r="W49" i="68"/>
  <c r="V79" i="68"/>
  <c r="V48" i="68"/>
  <c r="W45" i="68"/>
  <c r="V14" i="68"/>
  <c r="W75" i="68"/>
  <c r="W44" i="68"/>
  <c r="V74" i="68"/>
  <c r="V89" i="67"/>
  <c r="V58" i="67"/>
  <c r="V72" i="68"/>
  <c r="V70" i="68"/>
  <c r="V68" i="68"/>
  <c r="V39" i="68"/>
  <c r="V37" i="68"/>
  <c r="N10" i="68"/>
  <c r="J29" i="68"/>
  <c r="J91" i="68"/>
  <c r="W71" i="68"/>
  <c r="W76" i="68"/>
  <c r="V82" i="68"/>
  <c r="W87" i="68"/>
  <c r="V78" i="68"/>
  <c r="W41" i="68"/>
  <c r="W52" i="68"/>
  <c r="W57" i="68"/>
  <c r="V43" i="68"/>
  <c r="V11" i="68"/>
  <c r="V20" i="68"/>
  <c r="V6" i="68"/>
  <c r="W7" i="68"/>
  <c r="V12" i="68"/>
  <c r="W17" i="68"/>
  <c r="W22" i="68"/>
  <c r="W6" i="68"/>
  <c r="V24" i="68"/>
  <c r="W8" i="68"/>
  <c r="W9" i="68"/>
  <c r="W15" i="68"/>
  <c r="W19" i="68"/>
  <c r="W23" i="68"/>
  <c r="W27" i="68"/>
  <c r="W38" i="68"/>
  <c r="W42" i="68"/>
  <c r="W46" i="68"/>
  <c r="W50" i="68"/>
  <c r="W54" i="68"/>
  <c r="W58" i="68"/>
  <c r="J60" i="68"/>
  <c r="W69" i="68"/>
  <c r="W73" i="68"/>
  <c r="W77" i="68"/>
  <c r="W81" i="68"/>
  <c r="W85" i="68"/>
  <c r="W89" i="68"/>
  <c r="W10" i="68"/>
  <c r="V88" i="67"/>
  <c r="V87" i="67"/>
  <c r="W55" i="67"/>
  <c r="W54" i="67"/>
  <c r="V86" i="67"/>
  <c r="V85" i="67"/>
  <c r="V84" i="67"/>
  <c r="V83" i="67"/>
  <c r="W51" i="67"/>
  <c r="V79" i="67"/>
  <c r="V49" i="67"/>
  <c r="V78" i="67"/>
  <c r="V77" i="67"/>
  <c r="V76" i="67"/>
  <c r="W46" i="67"/>
  <c r="V45" i="67"/>
  <c r="V75" i="67"/>
  <c r="V74" i="67"/>
  <c r="V73" i="67"/>
  <c r="W43" i="67"/>
  <c r="V72" i="67"/>
  <c r="W10" i="67"/>
  <c r="W9" i="67"/>
  <c r="V70" i="67"/>
  <c r="W39" i="67"/>
  <c r="V69" i="67"/>
  <c r="V68" i="67"/>
  <c r="W38" i="67"/>
  <c r="J60" i="67"/>
  <c r="V37" i="67"/>
  <c r="V11" i="67"/>
  <c r="V12" i="67"/>
  <c r="V14" i="67"/>
  <c r="V16" i="67"/>
  <c r="V18" i="67"/>
  <c r="V20" i="67"/>
  <c r="V22" i="67"/>
  <c r="V24" i="67"/>
  <c r="V26" i="67"/>
  <c r="V28" i="67"/>
  <c r="V13" i="67"/>
  <c r="V15" i="67"/>
  <c r="V17" i="67"/>
  <c r="V19" i="67"/>
  <c r="V21" i="67"/>
  <c r="V23" i="67"/>
  <c r="V25" i="67"/>
  <c r="V27" i="67"/>
  <c r="W37" i="67"/>
  <c r="V40" i="67"/>
  <c r="W41" i="67"/>
  <c r="V44" i="67"/>
  <c r="V48" i="67"/>
  <c r="V52" i="67"/>
  <c r="W53" i="67"/>
  <c r="V56" i="67"/>
  <c r="W57" i="67"/>
  <c r="V80" i="67"/>
  <c r="V71" i="67"/>
  <c r="W91" i="67"/>
  <c r="P8" i="67" s="1"/>
  <c r="W8" i="67"/>
  <c r="W6" i="67"/>
  <c r="W7" i="67"/>
  <c r="N10" i="67"/>
  <c r="J29" i="67"/>
  <c r="J91" i="67"/>
  <c r="V29" i="75" l="1"/>
  <c r="O4" i="75" s="1"/>
  <c r="R4" i="75" s="1"/>
  <c r="V60" i="75"/>
  <c r="O6" i="75" s="1"/>
  <c r="R6" i="75" s="1"/>
  <c r="V91" i="75"/>
  <c r="O8" i="75" s="1"/>
  <c r="R8" i="75" s="1"/>
  <c r="W91" i="75"/>
  <c r="P8" i="75" s="1"/>
  <c r="W29" i="75"/>
  <c r="P4" i="75" s="1"/>
  <c r="W60" i="75"/>
  <c r="P6" i="75" s="1"/>
  <c r="V91" i="74"/>
  <c r="O8" i="74" s="1"/>
  <c r="R8" i="74" s="1"/>
  <c r="W91" i="74"/>
  <c r="P8" i="74" s="1"/>
  <c r="V60" i="74"/>
  <c r="O6" i="74" s="1"/>
  <c r="R6" i="74" s="1"/>
  <c r="W60" i="74"/>
  <c r="P6" i="74" s="1"/>
  <c r="W29" i="74"/>
  <c r="P4" i="74" s="1"/>
  <c r="V29" i="74"/>
  <c r="O4" i="74" s="1"/>
  <c r="V91" i="73"/>
  <c r="O8" i="73" s="1"/>
  <c r="R8" i="73" s="1"/>
  <c r="W91" i="73"/>
  <c r="P8" i="73" s="1"/>
  <c r="W60" i="73"/>
  <c r="P6" i="73" s="1"/>
  <c r="V60" i="73"/>
  <c r="O6" i="73" s="1"/>
  <c r="R6" i="73" s="1"/>
  <c r="V29" i="73"/>
  <c r="O4" i="73" s="1"/>
  <c r="R4" i="73" s="1"/>
  <c r="W29" i="73"/>
  <c r="P4" i="73" s="1"/>
  <c r="V91" i="72"/>
  <c r="O8" i="72" s="1"/>
  <c r="R8" i="72" s="1"/>
  <c r="V60" i="72"/>
  <c r="O6" i="72" s="1"/>
  <c r="R6" i="72" s="1"/>
  <c r="V29" i="72"/>
  <c r="O4" i="72" s="1"/>
  <c r="R4" i="72" s="1"/>
  <c r="W29" i="72"/>
  <c r="P4" i="72" s="1"/>
  <c r="W60" i="72"/>
  <c r="P6" i="72" s="1"/>
  <c r="W91" i="72"/>
  <c r="P8" i="72" s="1"/>
  <c r="V60" i="71"/>
  <c r="O6" i="71" s="1"/>
  <c r="R6" i="71" s="1"/>
  <c r="V29" i="71"/>
  <c r="O4" i="71" s="1"/>
  <c r="R4" i="71" s="1"/>
  <c r="V91" i="71"/>
  <c r="O8" i="71" s="1"/>
  <c r="W29" i="71"/>
  <c r="P4" i="71" s="1"/>
  <c r="W91" i="71"/>
  <c r="P8" i="71" s="1"/>
  <c r="W60" i="71"/>
  <c r="P6" i="71" s="1"/>
  <c r="V29" i="70"/>
  <c r="O4" i="70" s="1"/>
  <c r="R4" i="70" s="1"/>
  <c r="V91" i="70"/>
  <c r="O8" i="70" s="1"/>
  <c r="W91" i="70"/>
  <c r="P8" i="70" s="1"/>
  <c r="W60" i="70"/>
  <c r="P6" i="70" s="1"/>
  <c r="V60" i="70"/>
  <c r="O6" i="70" s="1"/>
  <c r="W29" i="70"/>
  <c r="P4" i="70" s="1"/>
  <c r="V91" i="68"/>
  <c r="O8" i="68" s="1"/>
  <c r="R8" i="68" s="1"/>
  <c r="V60" i="68"/>
  <c r="O6" i="68" s="1"/>
  <c r="R6" i="68" s="1"/>
  <c r="W29" i="68"/>
  <c r="P4" i="68" s="1"/>
  <c r="V29" i="68"/>
  <c r="O4" i="68" s="1"/>
  <c r="R4" i="68" s="1"/>
  <c r="W91" i="68"/>
  <c r="P8" i="68" s="1"/>
  <c r="W60" i="68"/>
  <c r="P6" i="68" s="1"/>
  <c r="V29" i="67"/>
  <c r="O4" i="67" s="1"/>
  <c r="R4" i="67" s="1"/>
  <c r="V91" i="67"/>
  <c r="O8" i="67" s="1"/>
  <c r="Q8" i="67" s="1"/>
  <c r="W60" i="67"/>
  <c r="P6" i="67" s="1"/>
  <c r="V60" i="67"/>
  <c r="O6" i="67" s="1"/>
  <c r="W29" i="67"/>
  <c r="P4" i="67" s="1"/>
  <c r="Q6" i="75" l="1"/>
  <c r="O10" i="75"/>
  <c r="R10" i="75" s="1"/>
  <c r="P12" i="75" s="1"/>
  <c r="Q8" i="75"/>
  <c r="P10" i="75"/>
  <c r="Q4" i="75"/>
  <c r="Q4" i="74"/>
  <c r="Q8" i="74"/>
  <c r="R4" i="74"/>
  <c r="O10" i="74"/>
  <c r="R10" i="74" s="1"/>
  <c r="P12" i="74" s="1"/>
  <c r="Q6" i="74"/>
  <c r="P10" i="74"/>
  <c r="Q8" i="73"/>
  <c r="Q6" i="73"/>
  <c r="O10" i="73"/>
  <c r="R10" i="73" s="1"/>
  <c r="P12" i="73" s="1"/>
  <c r="Q4" i="73"/>
  <c r="P10" i="73"/>
  <c r="Q8" i="72"/>
  <c r="Q6" i="72"/>
  <c r="Q4" i="72"/>
  <c r="O10" i="72"/>
  <c r="R10" i="72" s="1"/>
  <c r="P12" i="72" s="1"/>
  <c r="P10" i="72"/>
  <c r="Q6" i="71"/>
  <c r="O10" i="71"/>
  <c r="R10" i="71" s="1"/>
  <c r="P12" i="71" s="1"/>
  <c r="Q4" i="71"/>
  <c r="Q8" i="71"/>
  <c r="R8" i="71"/>
  <c r="P10" i="71"/>
  <c r="Q8" i="70"/>
  <c r="Q4" i="70"/>
  <c r="R8" i="70"/>
  <c r="O10" i="70"/>
  <c r="R10" i="70" s="1"/>
  <c r="P12" i="70" s="1"/>
  <c r="R6" i="70"/>
  <c r="Q6" i="70"/>
  <c r="P10" i="70"/>
  <c r="Q8" i="68"/>
  <c r="Q6" i="68"/>
  <c r="P10" i="68"/>
  <c r="O10" i="68"/>
  <c r="R10" i="68" s="1"/>
  <c r="P12" i="68" s="1"/>
  <c r="Q4" i="68"/>
  <c r="Q4" i="67"/>
  <c r="R8" i="67"/>
  <c r="Q6" i="67"/>
  <c r="O10" i="67"/>
  <c r="R10" i="67" s="1"/>
  <c r="P12" i="67" s="1"/>
  <c r="R6" i="67"/>
  <c r="P10" i="67"/>
  <c r="Q10" i="75" l="1"/>
  <c r="Q10" i="74"/>
  <c r="Q10" i="73"/>
  <c r="Q10" i="72"/>
  <c r="Q10" i="71"/>
  <c r="Q10" i="70"/>
  <c r="Q10" i="68"/>
  <c r="Q10" i="67"/>
  <c r="J90" i="66"/>
  <c r="W90" i="66" s="1"/>
  <c r="J89" i="66"/>
  <c r="W89" i="66" s="1"/>
  <c r="J88" i="66"/>
  <c r="W88" i="66" s="1"/>
  <c r="J87" i="66"/>
  <c r="W87" i="66" s="1"/>
  <c r="J86" i="66"/>
  <c r="W86" i="66" s="1"/>
  <c r="J85" i="66"/>
  <c r="W85" i="66" s="1"/>
  <c r="J84" i="66"/>
  <c r="W84" i="66" s="1"/>
  <c r="J83" i="66"/>
  <c r="W83" i="66" s="1"/>
  <c r="J82" i="66"/>
  <c r="W82" i="66" s="1"/>
  <c r="J81" i="66"/>
  <c r="W81" i="66" s="1"/>
  <c r="J80" i="66"/>
  <c r="W80" i="66" s="1"/>
  <c r="J79" i="66"/>
  <c r="W79" i="66" s="1"/>
  <c r="J78" i="66"/>
  <c r="W78" i="66" s="1"/>
  <c r="J77" i="66"/>
  <c r="W77" i="66" s="1"/>
  <c r="J76" i="66"/>
  <c r="W76" i="66" s="1"/>
  <c r="J75" i="66"/>
  <c r="W75" i="66" s="1"/>
  <c r="J74" i="66"/>
  <c r="W74" i="66" s="1"/>
  <c r="J73" i="66"/>
  <c r="W73" i="66" s="1"/>
  <c r="J72" i="66"/>
  <c r="W72" i="66" s="1"/>
  <c r="J71" i="66"/>
  <c r="W71" i="66" s="1"/>
  <c r="J70" i="66"/>
  <c r="W70" i="66" s="1"/>
  <c r="J69" i="66"/>
  <c r="W69" i="66" s="1"/>
  <c r="B69" i="66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J68" i="66"/>
  <c r="W68" i="66" s="1"/>
  <c r="J59" i="66"/>
  <c r="W59" i="66" s="1"/>
  <c r="J58" i="66"/>
  <c r="V58" i="66" s="1"/>
  <c r="J57" i="66"/>
  <c r="V57" i="66" s="1"/>
  <c r="J56" i="66"/>
  <c r="V56" i="66" s="1"/>
  <c r="J55" i="66"/>
  <c r="V55" i="66" s="1"/>
  <c r="J54" i="66"/>
  <c r="W54" i="66" s="1"/>
  <c r="J53" i="66"/>
  <c r="V53" i="66" s="1"/>
  <c r="J52" i="66"/>
  <c r="V52" i="66" s="1"/>
  <c r="J51" i="66"/>
  <c r="V51" i="66" s="1"/>
  <c r="J50" i="66"/>
  <c r="W50" i="66" s="1"/>
  <c r="J49" i="66"/>
  <c r="V49" i="66" s="1"/>
  <c r="J48" i="66"/>
  <c r="V48" i="66" s="1"/>
  <c r="J47" i="66"/>
  <c r="V47" i="66" s="1"/>
  <c r="J46" i="66"/>
  <c r="W46" i="66" s="1"/>
  <c r="J45" i="66"/>
  <c r="V45" i="66" s="1"/>
  <c r="J44" i="66"/>
  <c r="W44" i="66" s="1"/>
  <c r="J43" i="66"/>
  <c r="V43" i="66" s="1"/>
  <c r="J42" i="66"/>
  <c r="W42" i="66" s="1"/>
  <c r="J41" i="66"/>
  <c r="V41" i="66" s="1"/>
  <c r="J40" i="66"/>
  <c r="W40" i="66" s="1"/>
  <c r="J39" i="66"/>
  <c r="V39" i="66" s="1"/>
  <c r="J38" i="66"/>
  <c r="W38" i="66" s="1"/>
  <c r="B38" i="66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4" i="66" s="1"/>
  <c r="B55" i="66" s="1"/>
  <c r="B56" i="66" s="1"/>
  <c r="B57" i="66" s="1"/>
  <c r="B58" i="66" s="1"/>
  <c r="B59" i="66" s="1"/>
  <c r="J37" i="66"/>
  <c r="J28" i="66"/>
  <c r="W28" i="66" s="1"/>
  <c r="J27" i="66"/>
  <c r="W27" i="66" s="1"/>
  <c r="J26" i="66"/>
  <c r="W26" i="66" s="1"/>
  <c r="J25" i="66"/>
  <c r="W25" i="66" s="1"/>
  <c r="J24" i="66"/>
  <c r="W24" i="66" s="1"/>
  <c r="J23" i="66"/>
  <c r="W23" i="66" s="1"/>
  <c r="J22" i="66"/>
  <c r="W22" i="66" s="1"/>
  <c r="J21" i="66"/>
  <c r="W21" i="66" s="1"/>
  <c r="J20" i="66"/>
  <c r="W20" i="66" s="1"/>
  <c r="J19" i="66"/>
  <c r="W19" i="66" s="1"/>
  <c r="J18" i="66"/>
  <c r="W18" i="66" s="1"/>
  <c r="J17" i="66"/>
  <c r="W17" i="66" s="1"/>
  <c r="J16" i="66"/>
  <c r="W16" i="66" s="1"/>
  <c r="J15" i="66"/>
  <c r="W15" i="66" s="1"/>
  <c r="J14" i="66"/>
  <c r="W14" i="66" s="1"/>
  <c r="J13" i="66"/>
  <c r="W13" i="66" s="1"/>
  <c r="J12" i="66"/>
  <c r="W12" i="66" s="1"/>
  <c r="J11" i="66"/>
  <c r="W11" i="66" s="1"/>
  <c r="J10" i="66"/>
  <c r="V10" i="66" s="1"/>
  <c r="J9" i="66"/>
  <c r="V9" i="66" s="1"/>
  <c r="N8" i="66"/>
  <c r="J8" i="66"/>
  <c r="W8" i="66" s="1"/>
  <c r="J7" i="66"/>
  <c r="V7" i="66" s="1"/>
  <c r="B7" i="66"/>
  <c r="B8" i="66" s="1"/>
  <c r="B9" i="66" s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N6" i="66"/>
  <c r="J6" i="66"/>
  <c r="V6" i="66" s="1"/>
  <c r="N4" i="66"/>
  <c r="J90" i="62"/>
  <c r="W90" i="62" s="1"/>
  <c r="J89" i="62"/>
  <c r="W89" i="62" s="1"/>
  <c r="J88" i="62"/>
  <c r="W88" i="62" s="1"/>
  <c r="J87" i="62"/>
  <c r="W87" i="62" s="1"/>
  <c r="J86" i="62"/>
  <c r="W86" i="62" s="1"/>
  <c r="J85" i="62"/>
  <c r="W85" i="62" s="1"/>
  <c r="J84" i="62"/>
  <c r="W84" i="62" s="1"/>
  <c r="J83" i="62"/>
  <c r="W83" i="62" s="1"/>
  <c r="J82" i="62"/>
  <c r="W82" i="62" s="1"/>
  <c r="J81" i="62"/>
  <c r="W81" i="62" s="1"/>
  <c r="J80" i="62"/>
  <c r="W80" i="62" s="1"/>
  <c r="J79" i="62"/>
  <c r="W79" i="62" s="1"/>
  <c r="J78" i="62"/>
  <c r="W78" i="62" s="1"/>
  <c r="J77" i="62"/>
  <c r="W77" i="62" s="1"/>
  <c r="J76" i="62"/>
  <c r="W76" i="62" s="1"/>
  <c r="J75" i="62"/>
  <c r="W75" i="62" s="1"/>
  <c r="J74" i="62"/>
  <c r="W74" i="62" s="1"/>
  <c r="J73" i="62"/>
  <c r="W73" i="62" s="1"/>
  <c r="J72" i="62"/>
  <c r="W72" i="62" s="1"/>
  <c r="J71" i="62"/>
  <c r="W71" i="62" s="1"/>
  <c r="J70" i="62"/>
  <c r="W70" i="62" s="1"/>
  <c r="J69" i="62"/>
  <c r="W69" i="62" s="1"/>
  <c r="B69" i="62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J68" i="62"/>
  <c r="W68" i="62" s="1"/>
  <c r="W59" i="62"/>
  <c r="J59" i="62"/>
  <c r="V59" i="62" s="1"/>
  <c r="J58" i="62"/>
  <c r="W58" i="62" s="1"/>
  <c r="J57" i="62"/>
  <c r="V57" i="62" s="1"/>
  <c r="J56" i="62"/>
  <c r="V56" i="62" s="1"/>
  <c r="J55" i="62"/>
  <c r="W55" i="62" s="1"/>
  <c r="J54" i="62"/>
  <c r="W54" i="62" s="1"/>
  <c r="J53" i="62"/>
  <c r="V53" i="62" s="1"/>
  <c r="J52" i="62"/>
  <c r="V52" i="62" s="1"/>
  <c r="J51" i="62"/>
  <c r="V51" i="62" s="1"/>
  <c r="J50" i="62"/>
  <c r="W50" i="62" s="1"/>
  <c r="J49" i="62"/>
  <c r="V49" i="62" s="1"/>
  <c r="J48" i="62"/>
  <c r="V48" i="62" s="1"/>
  <c r="J47" i="62"/>
  <c r="V47" i="62" s="1"/>
  <c r="J46" i="62"/>
  <c r="W46" i="62" s="1"/>
  <c r="J45" i="62"/>
  <c r="V45" i="62" s="1"/>
  <c r="J44" i="62"/>
  <c r="V44" i="62" s="1"/>
  <c r="J43" i="62"/>
  <c r="W43" i="62" s="1"/>
  <c r="J42" i="62"/>
  <c r="W42" i="62" s="1"/>
  <c r="J41" i="62"/>
  <c r="V41" i="62" s="1"/>
  <c r="J40" i="62"/>
  <c r="V40" i="62" s="1"/>
  <c r="J39" i="62"/>
  <c r="W39" i="62" s="1"/>
  <c r="J38" i="62"/>
  <c r="W38" i="62" s="1"/>
  <c r="B38" i="62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4" i="62" s="1"/>
  <c r="B55" i="62" s="1"/>
  <c r="B56" i="62" s="1"/>
  <c r="B57" i="62" s="1"/>
  <c r="B58" i="62" s="1"/>
  <c r="B59" i="62" s="1"/>
  <c r="J37" i="62"/>
  <c r="J28" i="62"/>
  <c r="W28" i="62" s="1"/>
  <c r="J27" i="62"/>
  <c r="W27" i="62" s="1"/>
  <c r="J26" i="62"/>
  <c r="W26" i="62" s="1"/>
  <c r="J25" i="62"/>
  <c r="W25" i="62" s="1"/>
  <c r="J24" i="62"/>
  <c r="W24" i="62" s="1"/>
  <c r="J23" i="62"/>
  <c r="W23" i="62" s="1"/>
  <c r="J22" i="62"/>
  <c r="W22" i="62" s="1"/>
  <c r="J21" i="62"/>
  <c r="W21" i="62" s="1"/>
  <c r="J20" i="62"/>
  <c r="W20" i="62" s="1"/>
  <c r="J19" i="62"/>
  <c r="W19" i="62" s="1"/>
  <c r="J18" i="62"/>
  <c r="W18" i="62" s="1"/>
  <c r="J17" i="62"/>
  <c r="W17" i="62" s="1"/>
  <c r="J16" i="62"/>
  <c r="W16" i="62" s="1"/>
  <c r="J15" i="62"/>
  <c r="W15" i="62" s="1"/>
  <c r="J14" i="62"/>
  <c r="W14" i="62" s="1"/>
  <c r="J13" i="62"/>
  <c r="W13" i="62" s="1"/>
  <c r="J12" i="62"/>
  <c r="W12" i="62" s="1"/>
  <c r="J11" i="62"/>
  <c r="V11" i="62" s="1"/>
  <c r="J10" i="62"/>
  <c r="W10" i="62" s="1"/>
  <c r="J9" i="62"/>
  <c r="V9" i="62" s="1"/>
  <c r="N8" i="62"/>
  <c r="J8" i="62"/>
  <c r="V8" i="62" s="1"/>
  <c r="J7" i="62"/>
  <c r="V7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N6" i="62"/>
  <c r="J6" i="62"/>
  <c r="V6" i="62" s="1"/>
  <c r="N4" i="62"/>
  <c r="J90" i="60"/>
  <c r="W90" i="60" s="1"/>
  <c r="J89" i="60"/>
  <c r="W89" i="60" s="1"/>
  <c r="J88" i="60"/>
  <c r="W88" i="60" s="1"/>
  <c r="J87" i="60"/>
  <c r="W87" i="60" s="1"/>
  <c r="J86" i="60"/>
  <c r="W86" i="60" s="1"/>
  <c r="J85" i="60"/>
  <c r="W85" i="60" s="1"/>
  <c r="J84" i="60"/>
  <c r="W84" i="60" s="1"/>
  <c r="J83" i="60"/>
  <c r="W83" i="60" s="1"/>
  <c r="J82" i="60"/>
  <c r="W82" i="60" s="1"/>
  <c r="J81" i="60"/>
  <c r="W81" i="60" s="1"/>
  <c r="J80" i="60"/>
  <c r="W80" i="60" s="1"/>
  <c r="J79" i="60"/>
  <c r="W79" i="60" s="1"/>
  <c r="J78" i="60"/>
  <c r="W78" i="60" s="1"/>
  <c r="J77" i="60"/>
  <c r="W77" i="60" s="1"/>
  <c r="J76" i="60"/>
  <c r="W76" i="60" s="1"/>
  <c r="J75" i="60"/>
  <c r="W75" i="60" s="1"/>
  <c r="J74" i="60"/>
  <c r="W74" i="60" s="1"/>
  <c r="J73" i="60"/>
  <c r="W73" i="60" s="1"/>
  <c r="J72" i="60"/>
  <c r="W72" i="60" s="1"/>
  <c r="J71" i="60"/>
  <c r="W71" i="60" s="1"/>
  <c r="J70" i="60"/>
  <c r="W70" i="60" s="1"/>
  <c r="J69" i="60"/>
  <c r="W69" i="60" s="1"/>
  <c r="B69" i="60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J68" i="60"/>
  <c r="W68" i="60" s="1"/>
  <c r="J59" i="60"/>
  <c r="V59" i="60" s="1"/>
  <c r="J58" i="60"/>
  <c r="W58" i="60" s="1"/>
  <c r="J57" i="60"/>
  <c r="V57" i="60" s="1"/>
  <c r="J56" i="60"/>
  <c r="W56" i="60" s="1"/>
  <c r="J55" i="60"/>
  <c r="V55" i="60" s="1"/>
  <c r="J54" i="60"/>
  <c r="W54" i="60" s="1"/>
  <c r="J53" i="60"/>
  <c r="V53" i="60" s="1"/>
  <c r="J52" i="60"/>
  <c r="W52" i="60" s="1"/>
  <c r="J51" i="60"/>
  <c r="V51" i="60" s="1"/>
  <c r="J50" i="60"/>
  <c r="W50" i="60" s="1"/>
  <c r="J49" i="60"/>
  <c r="V49" i="60" s="1"/>
  <c r="J48" i="60"/>
  <c r="V48" i="60" s="1"/>
  <c r="J47" i="60"/>
  <c r="W47" i="60" s="1"/>
  <c r="J46" i="60"/>
  <c r="W46" i="60" s="1"/>
  <c r="J45" i="60"/>
  <c r="V45" i="60" s="1"/>
  <c r="J44" i="60"/>
  <c r="V44" i="60" s="1"/>
  <c r="J43" i="60"/>
  <c r="V43" i="60" s="1"/>
  <c r="J42" i="60"/>
  <c r="W42" i="60" s="1"/>
  <c r="J41" i="60"/>
  <c r="V41" i="60" s="1"/>
  <c r="J40" i="60"/>
  <c r="V40" i="60" s="1"/>
  <c r="J39" i="60"/>
  <c r="V39" i="60" s="1"/>
  <c r="J38" i="60"/>
  <c r="W38" i="60" s="1"/>
  <c r="B38" i="60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4" i="60" s="1"/>
  <c r="B55" i="60" s="1"/>
  <c r="B56" i="60" s="1"/>
  <c r="B57" i="60" s="1"/>
  <c r="B58" i="60" s="1"/>
  <c r="B59" i="60" s="1"/>
  <c r="J37" i="60"/>
  <c r="V37" i="60" s="1"/>
  <c r="J28" i="60"/>
  <c r="W28" i="60" s="1"/>
  <c r="J27" i="60"/>
  <c r="W27" i="60" s="1"/>
  <c r="J26" i="60"/>
  <c r="W26" i="60" s="1"/>
  <c r="J25" i="60"/>
  <c r="W25" i="60" s="1"/>
  <c r="J24" i="60"/>
  <c r="W24" i="60" s="1"/>
  <c r="J23" i="60"/>
  <c r="W23" i="60" s="1"/>
  <c r="J22" i="60"/>
  <c r="W22" i="60" s="1"/>
  <c r="J21" i="60"/>
  <c r="W21" i="60" s="1"/>
  <c r="J20" i="60"/>
  <c r="W20" i="60" s="1"/>
  <c r="J19" i="60"/>
  <c r="W19" i="60" s="1"/>
  <c r="J18" i="60"/>
  <c r="W18" i="60" s="1"/>
  <c r="J17" i="60"/>
  <c r="W17" i="60" s="1"/>
  <c r="J16" i="60"/>
  <c r="W16" i="60" s="1"/>
  <c r="J15" i="60"/>
  <c r="W15" i="60" s="1"/>
  <c r="J14" i="60"/>
  <c r="W14" i="60" s="1"/>
  <c r="J13" i="60"/>
  <c r="W13" i="60" s="1"/>
  <c r="J12" i="60"/>
  <c r="W12" i="60" s="1"/>
  <c r="J11" i="60"/>
  <c r="W11" i="60" s="1"/>
  <c r="J10" i="60"/>
  <c r="W10" i="60" s="1"/>
  <c r="J9" i="60"/>
  <c r="V9" i="60" s="1"/>
  <c r="N8" i="60"/>
  <c r="J8" i="60"/>
  <c r="W8" i="60" s="1"/>
  <c r="J7" i="60"/>
  <c r="V7" i="60" s="1"/>
  <c r="B7" i="60"/>
  <c r="B8" i="60" s="1"/>
  <c r="B9" i="60" s="1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N6" i="60"/>
  <c r="J6" i="60"/>
  <c r="V6" i="60" s="1"/>
  <c r="N4" i="60"/>
  <c r="I57" i="51"/>
  <c r="W56" i="66" l="1"/>
  <c r="W44" i="62"/>
  <c r="W51" i="62"/>
  <c r="V58" i="62"/>
  <c r="W48" i="66"/>
  <c r="W52" i="66"/>
  <c r="W58" i="66"/>
  <c r="W9" i="66"/>
  <c r="V59" i="66"/>
  <c r="W39" i="60"/>
  <c r="W51" i="66"/>
  <c r="W55" i="66"/>
  <c r="W44" i="60"/>
  <c r="W40" i="62"/>
  <c r="V50" i="66"/>
  <c r="V54" i="66"/>
  <c r="W47" i="66"/>
  <c r="V46" i="66"/>
  <c r="V44" i="66"/>
  <c r="W43" i="66"/>
  <c r="V42" i="66"/>
  <c r="W10" i="66"/>
  <c r="V40" i="66"/>
  <c r="W39" i="66"/>
  <c r="V8" i="66"/>
  <c r="J60" i="66"/>
  <c r="V38" i="66"/>
  <c r="V37" i="66"/>
  <c r="W41" i="66"/>
  <c r="W45" i="66"/>
  <c r="W49" i="66"/>
  <c r="W53" i="66"/>
  <c r="W57" i="66"/>
  <c r="W37" i="66"/>
  <c r="W7" i="66"/>
  <c r="V11" i="66"/>
  <c r="W91" i="66"/>
  <c r="P8" i="66" s="1"/>
  <c r="V12" i="66"/>
  <c r="V13" i="66"/>
  <c r="V14" i="66"/>
  <c r="V15" i="66"/>
  <c r="V16" i="66"/>
  <c r="V17" i="66"/>
  <c r="V18" i="66"/>
  <c r="V19" i="66"/>
  <c r="V20" i="66"/>
  <c r="V21" i="66"/>
  <c r="V22" i="66"/>
  <c r="V23" i="66"/>
  <c r="V24" i="66"/>
  <c r="V25" i="66"/>
  <c r="V26" i="66"/>
  <c r="V27" i="66"/>
  <c r="V28" i="66"/>
  <c r="V68" i="66"/>
  <c r="V69" i="66"/>
  <c r="V70" i="66"/>
  <c r="V71" i="66"/>
  <c r="V72" i="66"/>
  <c r="V73" i="66"/>
  <c r="V74" i="66"/>
  <c r="V75" i="66"/>
  <c r="V76" i="66"/>
  <c r="V77" i="66"/>
  <c r="V78" i="66"/>
  <c r="V79" i="66"/>
  <c r="V80" i="66"/>
  <c r="V81" i="66"/>
  <c r="V82" i="66"/>
  <c r="V83" i="66"/>
  <c r="V84" i="66"/>
  <c r="V85" i="66"/>
  <c r="V86" i="66"/>
  <c r="V87" i="66"/>
  <c r="V88" i="66"/>
  <c r="V89" i="66"/>
  <c r="V90" i="66"/>
  <c r="W6" i="66"/>
  <c r="N10" i="66"/>
  <c r="J29" i="66"/>
  <c r="J91" i="66"/>
  <c r="W57" i="62"/>
  <c r="W56" i="62"/>
  <c r="V55" i="62"/>
  <c r="W52" i="62"/>
  <c r="W48" i="62"/>
  <c r="W47" i="62"/>
  <c r="V43" i="62"/>
  <c r="V12" i="62"/>
  <c r="W11" i="62"/>
  <c r="V10" i="62"/>
  <c r="V39" i="62"/>
  <c r="J60" i="62"/>
  <c r="V37" i="62"/>
  <c r="V38" i="62"/>
  <c r="V42" i="62"/>
  <c r="V46" i="62"/>
  <c r="V50" i="62"/>
  <c r="V54" i="62"/>
  <c r="W41" i="62"/>
  <c r="W45" i="62"/>
  <c r="W49" i="62"/>
  <c r="W53" i="62"/>
  <c r="W37" i="62"/>
  <c r="W8" i="62"/>
  <c r="W9" i="62"/>
  <c r="W91" i="62"/>
  <c r="P8" i="62" s="1"/>
  <c r="V13" i="62"/>
  <c r="V14" i="62"/>
  <c r="V15" i="62"/>
  <c r="V16" i="62"/>
  <c r="V17" i="62"/>
  <c r="V18" i="62"/>
  <c r="V19" i="62"/>
  <c r="V20" i="62"/>
  <c r="V21" i="62"/>
  <c r="V22" i="62"/>
  <c r="V23" i="62"/>
  <c r="V24" i="62"/>
  <c r="V25" i="62"/>
  <c r="V26" i="62"/>
  <c r="V27" i="62"/>
  <c r="V28" i="62"/>
  <c r="V68" i="62"/>
  <c r="V69" i="62"/>
  <c r="V70" i="62"/>
  <c r="V71" i="62"/>
  <c r="V72" i="62"/>
  <c r="V73" i="62"/>
  <c r="V74" i="62"/>
  <c r="V75" i="62"/>
  <c r="V76" i="62"/>
  <c r="V77" i="62"/>
  <c r="V78" i="62"/>
  <c r="V79" i="62"/>
  <c r="V80" i="62"/>
  <c r="V81" i="62"/>
  <c r="V82" i="62"/>
  <c r="V83" i="62"/>
  <c r="V84" i="62"/>
  <c r="V85" i="62"/>
  <c r="V86" i="62"/>
  <c r="V87" i="62"/>
  <c r="V88" i="62"/>
  <c r="V89" i="62"/>
  <c r="V90" i="62"/>
  <c r="W6" i="62"/>
  <c r="W7" i="62"/>
  <c r="N10" i="62"/>
  <c r="J29" i="62"/>
  <c r="J91" i="62"/>
  <c r="V56" i="60"/>
  <c r="W55" i="60"/>
  <c r="V52" i="60"/>
  <c r="W51" i="60"/>
  <c r="V50" i="60"/>
  <c r="W48" i="60"/>
  <c r="V47" i="60"/>
  <c r="V46" i="60"/>
  <c r="W43" i="60"/>
  <c r="V42" i="60"/>
  <c r="V10" i="60"/>
  <c r="W40" i="60"/>
  <c r="W9" i="60"/>
  <c r="V8" i="60"/>
  <c r="V38" i="60"/>
  <c r="J60" i="60"/>
  <c r="V54" i="60"/>
  <c r="V58" i="60"/>
  <c r="W59" i="60"/>
  <c r="W41" i="60"/>
  <c r="W45" i="60"/>
  <c r="W49" i="60"/>
  <c r="W53" i="60"/>
  <c r="W57" i="60"/>
  <c r="W7" i="60"/>
  <c r="V11" i="60"/>
  <c r="W37" i="60"/>
  <c r="W91" i="60"/>
  <c r="P8" i="60" s="1"/>
  <c r="W6" i="60"/>
  <c r="J29" i="60"/>
  <c r="V12" i="60"/>
  <c r="V13" i="60"/>
  <c r="V14" i="60"/>
  <c r="V15" i="60"/>
  <c r="V16" i="60"/>
  <c r="V17" i="60"/>
  <c r="V18" i="60"/>
  <c r="V19" i="60"/>
  <c r="V20" i="60"/>
  <c r="V21" i="60"/>
  <c r="V22" i="60"/>
  <c r="V23" i="60"/>
  <c r="V24" i="60"/>
  <c r="V25" i="60"/>
  <c r="V26" i="60"/>
  <c r="V27" i="60"/>
  <c r="V28" i="60"/>
  <c r="V68" i="60"/>
  <c r="V69" i="60"/>
  <c r="V70" i="60"/>
  <c r="V71" i="60"/>
  <c r="V72" i="60"/>
  <c r="V73" i="60"/>
  <c r="V74" i="60"/>
  <c r="V75" i="60"/>
  <c r="V76" i="60"/>
  <c r="V77" i="60"/>
  <c r="V78" i="60"/>
  <c r="V79" i="60"/>
  <c r="V80" i="60"/>
  <c r="V81" i="60"/>
  <c r="V82" i="60"/>
  <c r="V83" i="60"/>
  <c r="V84" i="60"/>
  <c r="V85" i="60"/>
  <c r="V86" i="60"/>
  <c r="V87" i="60"/>
  <c r="V88" i="60"/>
  <c r="V89" i="60"/>
  <c r="V90" i="60"/>
  <c r="J91" i="60"/>
  <c r="N10" i="60"/>
  <c r="I46" i="50"/>
  <c r="I40" i="50"/>
  <c r="I41" i="50"/>
  <c r="I42" i="50"/>
  <c r="I43" i="50"/>
  <c r="I44" i="50"/>
  <c r="I45" i="50"/>
  <c r="I39" i="50"/>
  <c r="I64" i="50"/>
  <c r="I65" i="50"/>
  <c r="I66" i="50"/>
  <c r="I67" i="50"/>
  <c r="I68" i="50"/>
  <c r="I69" i="50"/>
  <c r="I63" i="50"/>
  <c r="I17" i="50"/>
  <c r="I18" i="50"/>
  <c r="I19" i="50"/>
  <c r="I20" i="50"/>
  <c r="I21" i="50"/>
  <c r="I22" i="50"/>
  <c r="I16" i="50"/>
  <c r="W29" i="66" l="1"/>
  <c r="P4" i="66" s="1"/>
  <c r="V60" i="66"/>
  <c r="O6" i="66" s="1"/>
  <c r="R6" i="66" s="1"/>
  <c r="W60" i="66"/>
  <c r="P6" i="66" s="1"/>
  <c r="V29" i="66"/>
  <c r="O4" i="66" s="1"/>
  <c r="V91" i="66"/>
  <c r="O8" i="66" s="1"/>
  <c r="V29" i="62"/>
  <c r="O4" i="62" s="1"/>
  <c r="R4" i="62" s="1"/>
  <c r="V60" i="62"/>
  <c r="O6" i="62" s="1"/>
  <c r="R6" i="62" s="1"/>
  <c r="W60" i="62"/>
  <c r="P6" i="62" s="1"/>
  <c r="V91" i="62"/>
  <c r="O8" i="62" s="1"/>
  <c r="W29" i="62"/>
  <c r="P4" i="62" s="1"/>
  <c r="V29" i="60"/>
  <c r="O4" i="60" s="1"/>
  <c r="R4" i="60" s="1"/>
  <c r="V60" i="60"/>
  <c r="O6" i="60" s="1"/>
  <c r="R6" i="60" s="1"/>
  <c r="W29" i="60"/>
  <c r="P4" i="60" s="1"/>
  <c r="W60" i="60"/>
  <c r="P6" i="60" s="1"/>
  <c r="V91" i="60"/>
  <c r="O8" i="60" s="1"/>
  <c r="I71" i="50"/>
  <c r="I48" i="50"/>
  <c r="I24" i="50"/>
  <c r="Q4" i="66" l="1"/>
  <c r="Q6" i="66"/>
  <c r="P10" i="66"/>
  <c r="R4" i="66"/>
  <c r="O10" i="66"/>
  <c r="R10" i="66" s="1"/>
  <c r="P12" i="66" s="1"/>
  <c r="R8" i="66"/>
  <c r="Q8" i="66"/>
  <c r="O10" i="62"/>
  <c r="R10" i="62" s="1"/>
  <c r="P12" i="62" s="1"/>
  <c r="Q6" i="62"/>
  <c r="P10" i="62"/>
  <c r="Q4" i="62"/>
  <c r="R8" i="62"/>
  <c r="Q8" i="62"/>
  <c r="Q6" i="60"/>
  <c r="P10" i="60"/>
  <c r="O10" i="60"/>
  <c r="R10" i="60" s="1"/>
  <c r="P12" i="60" s="1"/>
  <c r="Q4" i="60"/>
  <c r="R8" i="60"/>
  <c r="Q8" i="60"/>
  <c r="I75" i="48"/>
  <c r="Q10" i="66" l="1"/>
  <c r="Q10" i="62"/>
  <c r="Q10" i="60"/>
  <c r="N13" i="41"/>
  <c r="I71" i="39" l="1"/>
  <c r="I70" i="39"/>
  <c r="I69" i="39"/>
  <c r="I68" i="39"/>
  <c r="I67" i="39"/>
  <c r="I45" i="39"/>
  <c r="I44" i="39"/>
  <c r="I43" i="39"/>
  <c r="I42" i="39"/>
  <c r="I41" i="39"/>
  <c r="I20" i="39"/>
  <c r="I19" i="39"/>
  <c r="I18" i="39"/>
  <c r="I17" i="39"/>
  <c r="I80" i="38"/>
  <c r="I52" i="38"/>
  <c r="I51" i="38"/>
  <c r="I50" i="38"/>
  <c r="I7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9" i="38"/>
  <c r="I68" i="38"/>
  <c r="I67" i="38"/>
  <c r="I66" i="38"/>
  <c r="I65" i="38"/>
  <c r="I64" i="38"/>
  <c r="I63" i="38"/>
  <c r="I62" i="38"/>
  <c r="I61" i="38"/>
  <c r="I60" i="38"/>
  <c r="I59" i="38"/>
  <c r="I33" i="38"/>
  <c r="I15" i="38"/>
  <c r="I14" i="38"/>
  <c r="I13" i="38"/>
  <c r="I12" i="38"/>
  <c r="I11" i="38"/>
  <c r="I10" i="38"/>
  <c r="I9" i="38"/>
  <c r="I8" i="38"/>
  <c r="I7" i="38"/>
  <c r="I6" i="38"/>
  <c r="I45" i="35"/>
  <c r="I10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67" i="35"/>
  <c r="I7" i="35"/>
  <c r="I8" i="35"/>
  <c r="I9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6" i="35"/>
  <c r="I37" i="35"/>
  <c r="I38" i="35"/>
  <c r="I39" i="35"/>
  <c r="I40" i="35"/>
  <c r="I41" i="35"/>
  <c r="I42" i="35"/>
  <c r="I43" i="35"/>
  <c r="I44" i="35"/>
  <c r="I46" i="35"/>
  <c r="I47" i="35"/>
  <c r="I48" i="35"/>
  <c r="I49" i="35"/>
  <c r="I50" i="35"/>
  <c r="I51" i="35"/>
  <c r="I52" i="35"/>
  <c r="I53" i="35"/>
  <c r="I54" i="35"/>
  <c r="I55" i="35"/>
  <c r="I36" i="35"/>
  <c r="I35" i="35"/>
  <c r="O11" i="35"/>
  <c r="N11" i="34"/>
  <c r="I28" i="35" l="1"/>
  <c r="I88" i="35"/>
  <c r="I58" i="35"/>
  <c r="H86" i="34"/>
  <c r="H56" i="34"/>
  <c r="H27" i="34"/>
  <c r="H54" i="3"/>
  <c r="H31" i="3"/>
  <c r="H30" i="3"/>
  <c r="H29" i="3"/>
  <c r="H7" i="3"/>
  <c r="H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1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STBT CALL GIVEN ON 19 MARCH 2013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855EFB63-F097-4DEC-A555-C0090B80044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26E3AC1E-E318-4AF2-B01A-7B9D9EECDBA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3AAD1FF9-15C5-4D35-A936-9F69F657FF7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C4A901AD-11F4-4755-9C5F-549FB481A16F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567CEB87-0DD2-40EC-BB2E-5E12DE4B4EF6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7A247911-8F0B-48E8-BB51-F5FC63EA5FA6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CARRY FORWARDED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00000000-0006-0000-85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00000000-0006-0000-86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AEAE3B57-D4FA-4B12-93BD-B373EA914AE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F5480702-7FD1-4E6A-914A-92EC6F7F7DA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5AB50063-21D4-4371-AE25-E6AE79E9A27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762093EC-0059-4355-9F39-3DA7AE3FFA2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7BEF23DA-E044-43D4-B3CD-1D2EEB35F45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<sst xmlns="http://schemas.openxmlformats.org/spreadsheetml/2006/main" count="32577" uniqueCount="1095">
  <si>
    <t xml:space="preserve">         </t>
  </si>
  <si>
    <t>DATE</t>
  </si>
  <si>
    <t>BUY/SELL</t>
  </si>
  <si>
    <t>SCRIPTS</t>
  </si>
  <si>
    <t>ENTRY</t>
  </si>
  <si>
    <t>EXIT</t>
  </si>
  <si>
    <t>QTY</t>
  </si>
  <si>
    <t>PROFIT</t>
  </si>
  <si>
    <t>Buy</t>
  </si>
  <si>
    <t>Gold</t>
  </si>
  <si>
    <t>Sell</t>
  </si>
  <si>
    <t>Silver</t>
  </si>
  <si>
    <t xml:space="preserve">                                         PERFORMANCE OF BULLION PACKAGE DECEMBER 2012</t>
  </si>
  <si>
    <t xml:space="preserve">                                         PERFORMANCE OF ENERGY PACKAGE DECEMBER 2012</t>
  </si>
  <si>
    <t>N. Gas</t>
  </si>
  <si>
    <t>Crude</t>
  </si>
  <si>
    <t>BUY</t>
  </si>
  <si>
    <t xml:space="preserve">                                         PERFORMANCE OF BASE METALS PACKAGE DECEMBER 2012</t>
  </si>
  <si>
    <t>Copper</t>
  </si>
  <si>
    <t>Nickel</t>
  </si>
  <si>
    <t>Lead</t>
  </si>
  <si>
    <t xml:space="preserve">Zinc </t>
  </si>
  <si>
    <t>SILVER</t>
  </si>
  <si>
    <t>SELL</t>
  </si>
  <si>
    <t>GOLD</t>
  </si>
  <si>
    <t>CRUDE</t>
  </si>
  <si>
    <t>NG</t>
  </si>
  <si>
    <t>LEAD</t>
  </si>
  <si>
    <t>ZINC</t>
  </si>
  <si>
    <t>COPPER</t>
  </si>
  <si>
    <t>Zinc</t>
  </si>
  <si>
    <t xml:space="preserve">Lead </t>
  </si>
  <si>
    <t>Alm</t>
  </si>
  <si>
    <t xml:space="preserve">                                         PERFORMANCE OF BULLION PACKAGE MARCH 2013</t>
  </si>
  <si>
    <t xml:space="preserve">                                         PERFORMANCE OF BULLION PACKAGE APRIL 2013</t>
  </si>
  <si>
    <t>NICKEL</t>
  </si>
  <si>
    <t xml:space="preserve">                                         PERFORMANCE OF BULLION PACKAGE FEBRUARY 2013</t>
  </si>
  <si>
    <t xml:space="preserve">                                         PERFORMANCE OF BASE METALS PACKAGE JANUARY 2013</t>
  </si>
  <si>
    <t xml:space="preserve">                                         PERFORMANCE OF ENERGY PACKAGE JANUARY 2013</t>
  </si>
  <si>
    <t xml:space="preserve">                                         PERFORMANCE OF BULLION PACKAGE JANUARY 2013</t>
  </si>
  <si>
    <t xml:space="preserve">                                         PERFORMANCE OF ENERGY PACKAGE FEBRUARY 2013</t>
  </si>
  <si>
    <t xml:space="preserve">                                         PERFORMANCE OF BASE METALS PACKAGE FEBRUAR 2013</t>
  </si>
  <si>
    <t xml:space="preserve">                                         PERFORMANCE OF ENERGY PACKAGE MARCH 2013</t>
  </si>
  <si>
    <t xml:space="preserve">                                         PERFORMANCE OF BASE METALS PACKAGE MARCH 2013</t>
  </si>
  <si>
    <t xml:space="preserve">                                         PERFORMANCE OF ENERGY PACKAGE APRIL 2013</t>
  </si>
  <si>
    <t xml:space="preserve">                                         PERFORMANCE OF BASE METALS PACKAGE APRIL 2013</t>
  </si>
  <si>
    <t xml:space="preserve">                                         PERFORMANCE OF BULLION PACKAGE MAY 2013</t>
  </si>
  <si>
    <t xml:space="preserve">                                         PERFORMANCE OF ENERGY PACKAGE MAY 2013</t>
  </si>
  <si>
    <t xml:space="preserve">                                         PERFORMANCE OF BASE METAL PACKAGE MAY 2013</t>
  </si>
  <si>
    <t xml:space="preserve">                                         PERFORMANCE OF BULLION PACKAGE JUNE 2013</t>
  </si>
  <si>
    <t xml:space="preserve">                                         PERFORMANCE OF ENERGY PACKAGE JUNE 2013</t>
  </si>
  <si>
    <t xml:space="preserve">                                         PERFORMANCE OF BASE METAL PACKAGE JUNE 2013</t>
  </si>
  <si>
    <t xml:space="preserve">                                         PERFORMANCE OF BULLION PACKAGE JULY 2013</t>
  </si>
  <si>
    <t xml:space="preserve">                                         PERFORMANCE OF ENERGY PACKAGE JULY 2013</t>
  </si>
  <si>
    <t xml:space="preserve">                                         PERFORMANCE OF BASE METAL PACKAGE JULY 2013</t>
  </si>
  <si>
    <t xml:space="preserve">BUY </t>
  </si>
  <si>
    <t>ALUMINIUM</t>
  </si>
  <si>
    <t xml:space="preserve">                                         PERFORMANCE OF BULLION PACKAGE AUG 2013</t>
  </si>
  <si>
    <t xml:space="preserve">                                         PERFORMANCE OF ENERGY PACKAGE AUG 2013</t>
  </si>
  <si>
    <t xml:space="preserve">                                         PERFORMANCE OF BASE METAL PACKAGE AUG 2013</t>
  </si>
  <si>
    <t xml:space="preserve">                                         PERFORMANCE OF BULLION PACKAGE SEP 2013</t>
  </si>
  <si>
    <t xml:space="preserve">                                         PERFORMANCE OF BULLION PACKAGE OCT 2013</t>
  </si>
  <si>
    <t xml:space="preserve">                                         PERFORMANCE OF ENERGY PACKAGE OCT 2013</t>
  </si>
  <si>
    <t xml:space="preserve">                                         PERFORMANCE OF BASE METAL PACKAGE OCT 2013</t>
  </si>
  <si>
    <t>14/10/2013</t>
  </si>
  <si>
    <t>15/10/2013</t>
  </si>
  <si>
    <t>17/10/2013</t>
  </si>
  <si>
    <t>18/10/2013</t>
  </si>
  <si>
    <t>21/10/2013</t>
  </si>
  <si>
    <t>22/10/2013</t>
  </si>
  <si>
    <t>23/10/2013</t>
  </si>
  <si>
    <t>24/10/2013</t>
  </si>
  <si>
    <t>25/10/2013</t>
  </si>
  <si>
    <t>28/10/2013</t>
  </si>
  <si>
    <t>29/10/2013</t>
  </si>
  <si>
    <t>30/10/2013</t>
  </si>
  <si>
    <t>31/10/2013</t>
  </si>
  <si>
    <t>6/112013</t>
  </si>
  <si>
    <t>13/11/2013</t>
  </si>
  <si>
    <t>14/11/2013</t>
  </si>
  <si>
    <t>15/11/2013</t>
  </si>
  <si>
    <t>18/11/2013</t>
  </si>
  <si>
    <t>19/11/2013</t>
  </si>
  <si>
    <t>20/11/2013</t>
  </si>
  <si>
    <t>21/11/2013</t>
  </si>
  <si>
    <t>22/11/2013</t>
  </si>
  <si>
    <t>25/11/2013</t>
  </si>
  <si>
    <t>26/11/2013</t>
  </si>
  <si>
    <t>28/11/2013</t>
  </si>
  <si>
    <t>29/11/2013</t>
  </si>
  <si>
    <t>27/11/2013</t>
  </si>
  <si>
    <t xml:space="preserve">                                         PERFORMANCE OF BULLION PACKAGE NOV 2013</t>
  </si>
  <si>
    <t xml:space="preserve">                                         PERFORMANCE OF ENERGY PACKAGE NOV 2013</t>
  </si>
  <si>
    <t xml:space="preserve">                                         PERFORMANCE OF BASE METAL PACKAGE NOV 2013</t>
  </si>
  <si>
    <t>13/12/2013</t>
  </si>
  <si>
    <t>16/12/2013</t>
  </si>
  <si>
    <t>17/12/2013</t>
  </si>
  <si>
    <t>18/12/2013</t>
  </si>
  <si>
    <t>19/12/2013</t>
  </si>
  <si>
    <t>20/12/2013</t>
  </si>
  <si>
    <t>23/12/2013</t>
  </si>
  <si>
    <t>24/12/2013</t>
  </si>
  <si>
    <t>26/12/2013</t>
  </si>
  <si>
    <t>27/12/2013</t>
  </si>
  <si>
    <t>30/12/2013</t>
  </si>
  <si>
    <t>31/12/2013</t>
  </si>
  <si>
    <t>CRUDE OIL</t>
  </si>
  <si>
    <t>NAT GAS</t>
  </si>
  <si>
    <t>ZINK</t>
  </si>
  <si>
    <t>29710</t>
  </si>
  <si>
    <t>48800</t>
  </si>
  <si>
    <t>30100</t>
  </si>
  <si>
    <t>29850</t>
  </si>
  <si>
    <t>30250</t>
  </si>
  <si>
    <t>30140</t>
  </si>
  <si>
    <t>30255</t>
  </si>
  <si>
    <t>30325</t>
  </si>
  <si>
    <t>30240</t>
  </si>
  <si>
    <t>29960</t>
  </si>
  <si>
    <t>30380</t>
  </si>
  <si>
    <t>30220</t>
  </si>
  <si>
    <t>29740</t>
  </si>
  <si>
    <t>30200</t>
  </si>
  <si>
    <t>44080</t>
  </si>
  <si>
    <t>30295</t>
  </si>
  <si>
    <t>CRUDEOIL</t>
  </si>
  <si>
    <t xml:space="preserve">                                         PERFORMANCE OF BULLION PACKAGE DEC 2013</t>
  </si>
  <si>
    <t>ALUMINIMUM</t>
  </si>
  <si>
    <t>Winners Capital Line</t>
  </si>
  <si>
    <t>ALLUMINUM</t>
  </si>
  <si>
    <t xml:space="preserve">                                         PERFORMANCE OF ENERGY PACKAGE DEC 2013</t>
  </si>
  <si>
    <t xml:space="preserve">                                         PERFORMANCE OF BASE METAL PACKAGE DEC 2013</t>
  </si>
  <si>
    <t xml:space="preserve">                                         PERFORMANCE OF ENERGY PACKAGE SEP 2013</t>
  </si>
  <si>
    <t xml:space="preserve">                                         PERFORMANCE OF BASE METAL PACKAGE SEP 2013</t>
  </si>
  <si>
    <t xml:space="preserve">                                         PERFORMANCE OF BULLION PACKAGE FEB 2013</t>
  </si>
  <si>
    <t xml:space="preserve">                                         PERFORMANCE OF BULLION PACKAGE JAN 2014</t>
  </si>
  <si>
    <t xml:space="preserve">                                                    PERFORMANCE OF ENERGY PACKAGE JAN 2014</t>
  </si>
  <si>
    <t xml:space="preserve">                                         PERFORMANCE OF BASE METAL PACKAGE JAN 2014</t>
  </si>
  <si>
    <t xml:space="preserve">                                                    PERFORMANCE OF ENERGY PACKAGE FEB 2014</t>
  </si>
  <si>
    <t xml:space="preserve">                                         PERFORMANCE OF BASE METAL PACKAGE FEB 2014</t>
  </si>
  <si>
    <t xml:space="preserve">SELL </t>
  </si>
  <si>
    <t>28600</t>
  </si>
  <si>
    <t>28700</t>
  </si>
  <si>
    <t>29100</t>
  </si>
  <si>
    <t>28900</t>
  </si>
  <si>
    <t>44200</t>
  </si>
  <si>
    <t>44500</t>
  </si>
  <si>
    <t>30010</t>
  </si>
  <si>
    <t>30115</t>
  </si>
  <si>
    <t>29930</t>
  </si>
  <si>
    <t>29860</t>
  </si>
  <si>
    <t>47500</t>
  </si>
  <si>
    <t>NATURALGAS</t>
  </si>
  <si>
    <t>6060</t>
  </si>
  <si>
    <t>6100</t>
  </si>
  <si>
    <t>6160</t>
  </si>
  <si>
    <t>298</t>
  </si>
  <si>
    <t>6255</t>
  </si>
  <si>
    <t>6235</t>
  </si>
  <si>
    <t>6230</t>
  </si>
  <si>
    <t>6250</t>
  </si>
  <si>
    <t>6405</t>
  </si>
  <si>
    <t>384</t>
  </si>
  <si>
    <t>6325</t>
  </si>
  <si>
    <t xml:space="preserve">                                         PERFORMANCE OF BASE METAL PACKAGE MARCH 2014</t>
  </si>
  <si>
    <t xml:space="preserve">                                            PERFORMANCE OF ENERGY PACKAGE MARCH 2014</t>
  </si>
  <si>
    <t>6455</t>
  </si>
  <si>
    <t>6475</t>
  </si>
  <si>
    <t>30450</t>
  </si>
  <si>
    <t>30560</t>
  </si>
  <si>
    <t>47900</t>
  </si>
  <si>
    <t>30315</t>
  </si>
  <si>
    <t>6450</t>
  </si>
  <si>
    <t>6430</t>
  </si>
  <si>
    <t>30170</t>
  </si>
  <si>
    <t>30270</t>
  </si>
  <si>
    <t>30180</t>
  </si>
  <si>
    <t>6360</t>
  </si>
  <si>
    <t>6320</t>
  </si>
  <si>
    <t>6205</t>
  </si>
  <si>
    <t>30090</t>
  </si>
  <si>
    <t>29920</t>
  </si>
  <si>
    <t>6165</t>
  </si>
  <si>
    <t>30300</t>
  </si>
  <si>
    <t>6215</t>
  </si>
  <si>
    <t>30000</t>
  </si>
  <si>
    <t>6190</t>
  </si>
  <si>
    <t>6170</t>
  </si>
  <si>
    <t>30120</t>
  </si>
  <si>
    <t>30420</t>
  </si>
  <si>
    <t>30510</t>
  </si>
  <si>
    <t>6020</t>
  </si>
  <si>
    <t>30410</t>
  </si>
  <si>
    <t>5990</t>
  </si>
  <si>
    <t>30530</t>
  </si>
  <si>
    <t>46800</t>
  </si>
  <si>
    <t>6045</t>
  </si>
  <si>
    <t>6010</t>
  </si>
  <si>
    <t>45800</t>
  </si>
  <si>
    <t>45600</t>
  </si>
  <si>
    <t>6055</t>
  </si>
  <si>
    <t>45615</t>
  </si>
  <si>
    <t>6075</t>
  </si>
  <si>
    <t>6110</t>
  </si>
  <si>
    <t>45300</t>
  </si>
  <si>
    <t>29800</t>
  </si>
  <si>
    <t>29750</t>
  </si>
  <si>
    <t>6095</t>
  </si>
  <si>
    <t>6070</t>
  </si>
  <si>
    <t>44820</t>
  </si>
  <si>
    <t>45100</t>
  </si>
  <si>
    <t>6050</t>
  </si>
  <si>
    <t>29260</t>
  </si>
  <si>
    <t>29390</t>
  </si>
  <si>
    <t>6080</t>
  </si>
  <si>
    <t>29030</t>
  </si>
  <si>
    <t>43720</t>
  </si>
  <si>
    <t>43380</t>
  </si>
  <si>
    <t>6015</t>
  </si>
  <si>
    <t>6040</t>
  </si>
  <si>
    <t>42820</t>
  </si>
  <si>
    <t>42640</t>
  </si>
  <si>
    <t>43050</t>
  </si>
  <si>
    <t>42700</t>
  </si>
  <si>
    <t>28580</t>
  </si>
  <si>
    <t>28500</t>
  </si>
  <si>
    <t xml:space="preserve">                                         PERFORMANCE OF BULLION PACKAGE APRIL 2014</t>
  </si>
  <si>
    <t xml:space="preserve">                                                    PERFORMANCE OF ENERGY PACKAGE APRIL 2014</t>
  </si>
  <si>
    <t xml:space="preserve">                                         PERFORMANCE OF BASE METAL PACKAGE APRIL 2014</t>
  </si>
  <si>
    <t xml:space="preserve">                                         PERFORMANCE OF BULLION PACKAGE MAY 2014</t>
  </si>
  <si>
    <t xml:space="preserve">                                         PERFORMANCE OF BASE METAL PACKAGE MAY 2014</t>
  </si>
  <si>
    <t xml:space="preserve">                                                    PERFORMANCE OF ENERGY PACKAGE MAY 2014</t>
  </si>
  <si>
    <t>405..20</t>
  </si>
  <si>
    <t xml:space="preserve">                                         PERFORMANCE OF BASE METAL PACKAGE JUNE 2014</t>
  </si>
  <si>
    <t xml:space="preserve">                                                    PERFORMANCE OF ENERGY PACKAGE JUNE 2014</t>
  </si>
  <si>
    <t xml:space="preserve">                                         PERFORMANCE OF BULLION PACKAGE JUNE 2014</t>
  </si>
  <si>
    <t xml:space="preserve">                                         PERFORMANCE OF BULLION PACKAGE JULY 2014</t>
  </si>
  <si>
    <t xml:space="preserve">                                                    PERFORMANCE OF ENERGY PACKAGE JULY 2014</t>
  </si>
  <si>
    <t xml:space="preserve">                                         PERFORMANCE OF BASE METAL PACKAGE JULY 2014</t>
  </si>
  <si>
    <t>6240</t>
  </si>
  <si>
    <t>6200</t>
  </si>
  <si>
    <t>6195</t>
  </si>
  <si>
    <t>6145</t>
  </si>
  <si>
    <t>6140</t>
  </si>
  <si>
    <t>6175</t>
  </si>
  <si>
    <t>6120</t>
  </si>
  <si>
    <t>6065</t>
  </si>
  <si>
    <t>6210</t>
  </si>
  <si>
    <t>6185</t>
  </si>
  <si>
    <t>6130</t>
  </si>
  <si>
    <t>6220</t>
  </si>
  <si>
    <t>6115</t>
  </si>
  <si>
    <t>CALLS DETAILS</t>
  </si>
  <si>
    <t>TOTAL CALLS</t>
  </si>
  <si>
    <t>TGT HIT</t>
  </si>
  <si>
    <t>SL HIT</t>
  </si>
  <si>
    <t>BE EXIT</t>
  </si>
  <si>
    <t>BULLION</t>
  </si>
  <si>
    <t>ENERGY</t>
  </si>
  <si>
    <t>METALS</t>
  </si>
  <si>
    <t>22</t>
  </si>
  <si>
    <t>2</t>
  </si>
  <si>
    <t>0</t>
  </si>
  <si>
    <t>19</t>
  </si>
  <si>
    <t>4</t>
  </si>
  <si>
    <t>18</t>
  </si>
  <si>
    <t>5</t>
  </si>
  <si>
    <t>17</t>
  </si>
  <si>
    <t>65</t>
  </si>
  <si>
    <t>54</t>
  </si>
  <si>
    <t>11</t>
  </si>
  <si>
    <t>ACCURACY OF THE MONTH 83.07%</t>
  </si>
  <si>
    <t xml:space="preserve">                                         PERFORMANCE OF BULLION PACKAGE AUG 2014</t>
  </si>
  <si>
    <t xml:space="preserve">                                                    PERFORMANCE OF ENERGY PACKAGE AUG 2014</t>
  </si>
  <si>
    <t xml:space="preserve">                                         PERFORMANCE OF BASE METAL PACKAGE AUG 2014</t>
  </si>
  <si>
    <t>5975</t>
  </si>
  <si>
    <t>5950</t>
  </si>
  <si>
    <t>6000</t>
  </si>
  <si>
    <t>5980</t>
  </si>
  <si>
    <t>5970</t>
  </si>
  <si>
    <t>6033</t>
  </si>
  <si>
    <t>5995</t>
  </si>
  <si>
    <t>5966</t>
  </si>
  <si>
    <t>5920</t>
  </si>
  <si>
    <t>5935</t>
  </si>
  <si>
    <t>5915</t>
  </si>
  <si>
    <t>5885</t>
  </si>
  <si>
    <t>5840</t>
  </si>
  <si>
    <t>5692</t>
  </si>
  <si>
    <t>5672</t>
  </si>
  <si>
    <t>1</t>
  </si>
  <si>
    <t>14</t>
  </si>
  <si>
    <t>5675</t>
  </si>
  <si>
    <t>5655</t>
  </si>
  <si>
    <t>5715</t>
  </si>
  <si>
    <t>5670</t>
  </si>
  <si>
    <t>5695</t>
  </si>
  <si>
    <t>5720</t>
  </si>
  <si>
    <t>16</t>
  </si>
  <si>
    <t>3</t>
  </si>
  <si>
    <t>TOTAL</t>
  </si>
  <si>
    <t>42</t>
  </si>
  <si>
    <t>7</t>
  </si>
  <si>
    <t>50</t>
  </si>
  <si>
    <t>ACCURACY OF THE MONTH 84%</t>
  </si>
  <si>
    <t xml:space="preserve">                                         PERFORMANCE OF BULLION PACKAGE SEP 2014</t>
  </si>
  <si>
    <t xml:space="preserve">                                                    PERFORMANCE OF ENERGY PACKAGE SEP 2014</t>
  </si>
  <si>
    <t xml:space="preserve">                                         PERFORMANCE OF BASE METAL PACKAGE SEP 2014</t>
  </si>
  <si>
    <t>5810</t>
  </si>
  <si>
    <t>5790</t>
  </si>
  <si>
    <t>5800</t>
  </si>
  <si>
    <t>5750</t>
  </si>
  <si>
    <t>5690</t>
  </si>
  <si>
    <t>5760</t>
  </si>
  <si>
    <t>5700</t>
  </si>
  <si>
    <t>5650</t>
  </si>
  <si>
    <t>5590</t>
  </si>
  <si>
    <t>5610</t>
  </si>
  <si>
    <t>5645</t>
  </si>
  <si>
    <t>5620</t>
  </si>
  <si>
    <t>5570</t>
  </si>
  <si>
    <t>5532</t>
  </si>
  <si>
    <t>5680</t>
  </si>
  <si>
    <t>5600</t>
  </si>
  <si>
    <t>5625</t>
  </si>
  <si>
    <t>5678</t>
  </si>
  <si>
    <t>5658</t>
  </si>
  <si>
    <t>5770</t>
  </si>
  <si>
    <t>5745</t>
  </si>
  <si>
    <t>5765</t>
  </si>
  <si>
    <t>CRUDE OCT</t>
  </si>
  <si>
    <t>5630</t>
  </si>
  <si>
    <t>5629</t>
  </si>
  <si>
    <t>66</t>
  </si>
  <si>
    <t>52</t>
  </si>
  <si>
    <t>13</t>
  </si>
  <si>
    <t>ACCURACY OF THE MONTH 79%</t>
  </si>
  <si>
    <t xml:space="preserve">                                         PERFORMANCE OF BASE METAL PACKAGE OCT 2014</t>
  </si>
  <si>
    <t xml:space="preserve">                                                    PERFORMANCE OF ENERGY PACKAGE OCT 2014</t>
  </si>
  <si>
    <t xml:space="preserve">                                         PERFORMANCE OF BULLION PACKAGE OCT 2014</t>
  </si>
  <si>
    <t>5540</t>
  </si>
  <si>
    <t>5560</t>
  </si>
  <si>
    <t>5660</t>
  </si>
  <si>
    <t>5685</t>
  </si>
  <si>
    <t>5415</t>
  </si>
  <si>
    <t>5360</t>
  </si>
  <si>
    <t>5340</t>
  </si>
  <si>
    <t>5310</t>
  </si>
  <si>
    <t>5185</t>
  </si>
  <si>
    <t>5230</t>
  </si>
  <si>
    <t>5190</t>
  </si>
  <si>
    <t>5160</t>
  </si>
  <si>
    <t>5210</t>
  </si>
  <si>
    <t>5235</t>
  </si>
  <si>
    <t>4980</t>
  </si>
  <si>
    <t>4960</t>
  </si>
  <si>
    <t>5155</t>
  </si>
  <si>
    <t>5105</t>
  </si>
  <si>
    <t>5085</t>
  </si>
  <si>
    <t>5055</t>
  </si>
  <si>
    <t>5075</t>
  </si>
  <si>
    <t>5045</t>
  </si>
  <si>
    <t>5000</t>
  </si>
  <si>
    <t>4950</t>
  </si>
  <si>
    <t>35</t>
  </si>
  <si>
    <t>ACCURACY OF THE MONTH 83.33%</t>
  </si>
  <si>
    <t xml:space="preserve">                                         PERFORMANCE OF BASE METAL PACKAGE NOV 2014</t>
  </si>
  <si>
    <t xml:space="preserve">                                                    PERFORMANCE OF ENERGY PACKAGE NOV 2014</t>
  </si>
  <si>
    <t xml:space="preserve">                                         PERFORMANCE OF BULLION PACKAGE NOV 2014</t>
  </si>
  <si>
    <t>4930</t>
  </si>
  <si>
    <t>4725</t>
  </si>
  <si>
    <t>4745</t>
  </si>
  <si>
    <t>4780</t>
  </si>
  <si>
    <t>4805</t>
  </si>
  <si>
    <t>4870</t>
  </si>
  <si>
    <t>4920</t>
  </si>
  <si>
    <t>4740</t>
  </si>
  <si>
    <t>4720</t>
  </si>
  <si>
    <t>4765</t>
  </si>
  <si>
    <t>4690</t>
  </si>
  <si>
    <t>4592</t>
  </si>
  <si>
    <t>4582</t>
  </si>
  <si>
    <t>4630</t>
  </si>
  <si>
    <t>4610</t>
  </si>
  <si>
    <t>4705</t>
  </si>
  <si>
    <t>4660</t>
  </si>
  <si>
    <t>4650</t>
  </si>
  <si>
    <t>4685</t>
  </si>
  <si>
    <t>4655</t>
  </si>
  <si>
    <t>4635</t>
  </si>
  <si>
    <t>4735</t>
  </si>
  <si>
    <t>4755</t>
  </si>
  <si>
    <t>15</t>
  </si>
  <si>
    <t>ACCURACY OF THE MONTH 78%</t>
  </si>
  <si>
    <t xml:space="preserve">                                         PERFORMANCE OF BASE METAL PACKAGE DEC 2014</t>
  </si>
  <si>
    <t xml:space="preserve">                                                    PERFORMANCE OF ENERGY PACKAGE DEC 2014</t>
  </si>
  <si>
    <t xml:space="preserve">                                         PERFORMANCE OF BULLION PACKAGE DEC 2014</t>
  </si>
  <si>
    <t>4080</t>
  </si>
  <si>
    <t>4130</t>
  </si>
  <si>
    <t>4232</t>
  </si>
  <si>
    <t>4255</t>
  </si>
  <si>
    <t>4205</t>
  </si>
  <si>
    <t>4175</t>
  </si>
  <si>
    <t>4200</t>
  </si>
  <si>
    <t>4140</t>
  </si>
  <si>
    <t>4110</t>
  </si>
  <si>
    <t>4025</t>
  </si>
  <si>
    <t>3985</t>
  </si>
  <si>
    <t>3960</t>
  </si>
  <si>
    <t>3900</t>
  </si>
  <si>
    <t>3910</t>
  </si>
  <si>
    <t>3850</t>
  </si>
  <si>
    <t>3820</t>
  </si>
  <si>
    <t>3690</t>
  </si>
  <si>
    <t>3720</t>
  </si>
  <si>
    <t>3515</t>
  </si>
  <si>
    <t>3555</t>
  </si>
  <si>
    <t>3650</t>
  </si>
  <si>
    <t>3580</t>
  </si>
  <si>
    <t>3700</t>
  </si>
  <si>
    <t>3505</t>
  </si>
  <si>
    <t>3470</t>
  </si>
  <si>
    <t>3460</t>
  </si>
  <si>
    <t>3435</t>
  </si>
  <si>
    <t>3675</t>
  </si>
  <si>
    <t>3610</t>
  </si>
  <si>
    <t>3600</t>
  </si>
  <si>
    <t>3570</t>
  </si>
  <si>
    <t>3575</t>
  </si>
  <si>
    <t>3535</t>
  </si>
  <si>
    <t>3615</t>
  </si>
  <si>
    <t>3605</t>
  </si>
  <si>
    <t>3560</t>
  </si>
  <si>
    <t>3550</t>
  </si>
  <si>
    <t>3520</t>
  </si>
  <si>
    <t>23</t>
  </si>
  <si>
    <t>8</t>
  </si>
  <si>
    <t>68</t>
  </si>
  <si>
    <t>48</t>
  </si>
  <si>
    <t>ACCURACY OF THE MONTH 71%</t>
  </si>
  <si>
    <t>3743</t>
  </si>
  <si>
    <t xml:space="preserve">                                         PERFORMANCE OF BASE METAL PACKAGE JAN 2015</t>
  </si>
  <si>
    <t xml:space="preserve">                                                    PERFORMANCE OF ENERGY PACKAGE JAN 2015</t>
  </si>
  <si>
    <t xml:space="preserve">                                         PERFORMANCE OF BULLION PACKAGE JAN 2015</t>
  </si>
  <si>
    <t>26850</t>
  </si>
  <si>
    <t>26750</t>
  </si>
  <si>
    <t>100</t>
  </si>
  <si>
    <t>10000</t>
  </si>
  <si>
    <t>27130</t>
  </si>
  <si>
    <t>27230</t>
  </si>
  <si>
    <t>-10000</t>
  </si>
  <si>
    <t>27250</t>
  </si>
  <si>
    <t>12000</t>
  </si>
  <si>
    <t>26950</t>
  </si>
  <si>
    <t>26820</t>
  </si>
  <si>
    <t>13000</t>
  </si>
  <si>
    <t>26770</t>
  </si>
  <si>
    <t>26700</t>
  </si>
  <si>
    <t>7000</t>
  </si>
  <si>
    <t>3070</t>
  </si>
  <si>
    <t>3015</t>
  </si>
  <si>
    <t>3045</t>
  </si>
  <si>
    <t>3010</t>
  </si>
  <si>
    <t>2990</t>
  </si>
  <si>
    <t>3140</t>
  </si>
  <si>
    <t>3100</t>
  </si>
  <si>
    <t>3295</t>
  </si>
  <si>
    <t>3240</t>
  </si>
  <si>
    <t>3420</t>
  </si>
  <si>
    <t>3350</t>
  </si>
  <si>
    <t>2970</t>
  </si>
  <si>
    <t>2980</t>
  </si>
  <si>
    <t>2880</t>
  </si>
  <si>
    <t>2910</t>
  </si>
  <si>
    <t>2790</t>
  </si>
  <si>
    <t>2765</t>
  </si>
  <si>
    <t>2950</t>
  </si>
  <si>
    <t>2890</t>
  </si>
  <si>
    <t>2940</t>
  </si>
  <si>
    <t>2915</t>
  </si>
  <si>
    <t>2820</t>
  </si>
  <si>
    <t>167</t>
  </si>
  <si>
    <t>165</t>
  </si>
  <si>
    <t>2760</t>
  </si>
  <si>
    <t>2720</t>
  </si>
  <si>
    <t>2810</t>
  </si>
  <si>
    <t>2770</t>
  </si>
  <si>
    <t>2795</t>
  </si>
  <si>
    <t>2780</t>
  </si>
  <si>
    <t>2900</t>
  </si>
  <si>
    <t>2875</t>
  </si>
  <si>
    <t>20</t>
  </si>
  <si>
    <t>58</t>
  </si>
  <si>
    <t>ACCURACY OF THE MONTH 87%</t>
  </si>
  <si>
    <t xml:space="preserve">                                                    PERFORMANCE OF ENERGY PACKAGE FEB 2015</t>
  </si>
  <si>
    <t xml:space="preserve">                                         PERFORMANCE OF BASE METAL PACKAGE FEB 2015</t>
  </si>
  <si>
    <t xml:space="preserve">                                         PERFORMANCE OF BULLION PACKAGE FEB 2015</t>
  </si>
  <si>
    <t>166.50</t>
  </si>
  <si>
    <t>164</t>
  </si>
  <si>
    <t>3190</t>
  </si>
  <si>
    <t>161</t>
  </si>
  <si>
    <t>163</t>
  </si>
  <si>
    <t>3120</t>
  </si>
  <si>
    <t>3145</t>
  </si>
  <si>
    <t>3230</t>
  </si>
  <si>
    <t>3285</t>
  </si>
  <si>
    <t>3265</t>
  </si>
  <si>
    <t>172.5</t>
  </si>
  <si>
    <t>170.50</t>
  </si>
  <si>
    <t>3150</t>
  </si>
  <si>
    <t>3280</t>
  </si>
  <si>
    <t>3225</t>
  </si>
  <si>
    <t>3180</t>
  </si>
  <si>
    <t>3125</t>
  </si>
  <si>
    <t>3080</t>
  </si>
  <si>
    <t>180.5</t>
  </si>
  <si>
    <t>178</t>
  </si>
  <si>
    <t>179</t>
  </si>
  <si>
    <t>172</t>
  </si>
  <si>
    <t>3065</t>
  </si>
  <si>
    <t>49</t>
  </si>
  <si>
    <t>3040</t>
  </si>
  <si>
    <t>6</t>
  </si>
  <si>
    <t>ACCURACY OF THE MONTH 86%</t>
  </si>
  <si>
    <t xml:space="preserve">                                         PERFORMANCE OF BASE METAL PACKAGE MARCH 2015</t>
  </si>
  <si>
    <t xml:space="preserve">                                                    PERFORMANCE OF ENERGY PACKAGE MARCH 2015</t>
  </si>
  <si>
    <t xml:space="preserve">                                         PERFORMANCE OF BULLION PACKAGE MARCH 2015</t>
  </si>
  <si>
    <t>3115</t>
  </si>
  <si>
    <t>3172</t>
  </si>
  <si>
    <t>3195</t>
  </si>
  <si>
    <t>173.5</t>
  </si>
  <si>
    <t>171</t>
  </si>
  <si>
    <t>173</t>
  </si>
  <si>
    <t>2675</t>
  </si>
  <si>
    <t>2650</t>
  </si>
  <si>
    <t>2735</t>
  </si>
  <si>
    <t>2690</t>
  </si>
  <si>
    <t>2805</t>
  </si>
  <si>
    <t>2895</t>
  </si>
  <si>
    <t>177</t>
  </si>
  <si>
    <t>174</t>
  </si>
  <si>
    <t>3072</t>
  </si>
  <si>
    <t>3160</t>
  </si>
  <si>
    <t>2885</t>
  </si>
  <si>
    <t>CRUDE(APL)</t>
  </si>
  <si>
    <t>2870</t>
  </si>
  <si>
    <t>2872</t>
  </si>
  <si>
    <t>2835</t>
  </si>
  <si>
    <t>2992</t>
  </si>
  <si>
    <t>3050</t>
  </si>
  <si>
    <t>3005</t>
  </si>
  <si>
    <t>2892</t>
  </si>
  <si>
    <t>2865</t>
  </si>
  <si>
    <t>21</t>
  </si>
  <si>
    <t>62</t>
  </si>
  <si>
    <t xml:space="preserve">                                         PERFORMANCE OF BULLION PACKAGE APRIL 2015</t>
  </si>
  <si>
    <t xml:space="preserve">                                                    PERFORMANCE OF ENERGY PACKAGE APRIL 2015</t>
  </si>
  <si>
    <t xml:space="preserve">                                         PERFORMANCE OF BASE METAL PACKAGE APRIL 2015</t>
  </si>
  <si>
    <t>167.5</t>
  </si>
  <si>
    <t>169.5</t>
  </si>
  <si>
    <t>3170</t>
  </si>
  <si>
    <t>2960</t>
  </si>
  <si>
    <t>2935</t>
  </si>
  <si>
    <t>CRUDE (MAY)</t>
  </si>
  <si>
    <t>3500</t>
  </si>
  <si>
    <t>3525</t>
  </si>
  <si>
    <t>162</t>
  </si>
  <si>
    <t>159.50</t>
  </si>
  <si>
    <t>3430</t>
  </si>
  <si>
    <t>3495</t>
  </si>
  <si>
    <t>156</t>
  </si>
  <si>
    <t>3135</t>
  </si>
  <si>
    <t>3210</t>
  </si>
  <si>
    <t>3300</t>
  </si>
  <si>
    <t>155</t>
  </si>
  <si>
    <t>3595</t>
  </si>
  <si>
    <t>3645</t>
  </si>
  <si>
    <t>3620</t>
  </si>
  <si>
    <t>3530</t>
  </si>
  <si>
    <t>3680</t>
  </si>
  <si>
    <t>3697</t>
  </si>
  <si>
    <t>3640</t>
  </si>
  <si>
    <t>3625</t>
  </si>
  <si>
    <t>61</t>
  </si>
  <si>
    <t>47</t>
  </si>
  <si>
    <t>ACCURACY OF THE MONTH 77%</t>
  </si>
  <si>
    <t xml:space="preserve">                                         PERFORMANCE OF BASE METAL PACKAGE MAY 2015</t>
  </si>
  <si>
    <t xml:space="preserve">                                                    PERFORMANCE OF ENERGY PACKAGE MAY 2015</t>
  </si>
  <si>
    <t xml:space="preserve">                                         PERFORMANCE OF BULLION PACKAGE MAY 2015</t>
  </si>
  <si>
    <t>3945</t>
  </si>
  <si>
    <t>3930</t>
  </si>
  <si>
    <t>3790</t>
  </si>
  <si>
    <t>3740</t>
  </si>
  <si>
    <t>3750</t>
  </si>
  <si>
    <t>3780</t>
  </si>
  <si>
    <t>3920</t>
  </si>
  <si>
    <t>3770</t>
  </si>
  <si>
    <t>3810</t>
  </si>
  <si>
    <t>3800</t>
  </si>
  <si>
    <t>3825</t>
  </si>
  <si>
    <t>3815</t>
  </si>
  <si>
    <t>3845</t>
  </si>
  <si>
    <t>3950</t>
  </si>
  <si>
    <t>3975</t>
  </si>
  <si>
    <t>187</t>
  </si>
  <si>
    <t>185</t>
  </si>
  <si>
    <t>3855</t>
  </si>
  <si>
    <t>3735</t>
  </si>
  <si>
    <t>3830</t>
  </si>
  <si>
    <t>3805</t>
  </si>
  <si>
    <t>186.5</t>
  </si>
  <si>
    <t>184</t>
  </si>
  <si>
    <t>3725</t>
  </si>
  <si>
    <t>3788</t>
  </si>
  <si>
    <t>3843</t>
  </si>
  <si>
    <t>3873</t>
  </si>
  <si>
    <t>3818</t>
  </si>
  <si>
    <t>3838</t>
  </si>
  <si>
    <t>3808</t>
  </si>
  <si>
    <t>181.5</t>
  </si>
  <si>
    <t>179.5</t>
  </si>
  <si>
    <t>25</t>
  </si>
  <si>
    <t>24</t>
  </si>
  <si>
    <t>70</t>
  </si>
  <si>
    <t>56</t>
  </si>
  <si>
    <t>12</t>
  </si>
  <si>
    <t>ACCURACY OF THE MONTH 80%</t>
  </si>
  <si>
    <t xml:space="preserve">                                         PERFORMANCE OF BASE METAL PACKAGE JUNE 2015</t>
  </si>
  <si>
    <t xml:space="preserve">                                                    PERFORMANCE OF ENERGY PACKAGE JUNE 2015</t>
  </si>
  <si>
    <t xml:space="preserve">                                         PERFORMANCE OF BULLION PACKAGE JUNE 2015</t>
  </si>
  <si>
    <t>3870</t>
  </si>
  <si>
    <t>3915</t>
  </si>
  <si>
    <t>3895</t>
  </si>
  <si>
    <t>3840</t>
  </si>
  <si>
    <t>3760</t>
  </si>
  <si>
    <t>PREMIUM LEAD</t>
  </si>
  <si>
    <t>3745</t>
  </si>
  <si>
    <t>3785</t>
  </si>
  <si>
    <t>183</t>
  </si>
  <si>
    <t>186</t>
  </si>
  <si>
    <t>3905</t>
  </si>
  <si>
    <t>3860</t>
  </si>
  <si>
    <t>3755</t>
  </si>
  <si>
    <t>3875</t>
  </si>
  <si>
    <t>3795</t>
  </si>
  <si>
    <t>174.5</t>
  </si>
  <si>
    <t>3835</t>
  </si>
  <si>
    <t>ACCURACY OF THE MONTH 82.60%</t>
  </si>
  <si>
    <t xml:space="preserve">                                         PERFORMANCE OF BULLION PACKAGE JULY 2015</t>
  </si>
  <si>
    <t xml:space="preserve">                                                    PERFORMANCE OF ENERGY PACKAGE JULY 2015</t>
  </si>
  <si>
    <t xml:space="preserve">                                         PERFORMANCE OF BASE METAL PACKAGE JULY 2015</t>
  </si>
  <si>
    <t>3630</t>
  </si>
  <si>
    <t>3665</t>
  </si>
  <si>
    <t>3540</t>
  </si>
  <si>
    <t>3490</t>
  </si>
  <si>
    <t>3365</t>
  </si>
  <si>
    <t>3290</t>
  </si>
  <si>
    <t>3330</t>
  </si>
  <si>
    <t>3315</t>
  </si>
  <si>
    <t>3380</t>
  </si>
  <si>
    <t>3320</t>
  </si>
  <si>
    <t>3325</t>
  </si>
  <si>
    <t>3250</t>
  </si>
  <si>
    <t>3235</t>
  </si>
  <si>
    <t>3370</t>
  </si>
  <si>
    <t>3305</t>
  </si>
  <si>
    <t>3260</t>
  </si>
  <si>
    <t>3185</t>
  </si>
  <si>
    <t>3090</t>
  </si>
  <si>
    <t>3055</t>
  </si>
  <si>
    <t>69</t>
  </si>
  <si>
    <t>60</t>
  </si>
  <si>
    <t xml:space="preserve">                                         PERFORMANCE OF BASE METAL PACKAGE AUGUST 2015</t>
  </si>
  <si>
    <t xml:space="preserve">                                                    PERFORMANCE OF ENERGY PACKAGE AUGUST 2015</t>
  </si>
  <si>
    <t xml:space="preserve">                                         PERFORMANCE OF BULLION PACKAGE AUGUST 2015</t>
  </si>
  <si>
    <t>3000</t>
  </si>
  <si>
    <t>2930</t>
  </si>
  <si>
    <t>2962</t>
  </si>
  <si>
    <t>2937</t>
  </si>
  <si>
    <t>2830</t>
  </si>
  <si>
    <t>2815</t>
  </si>
  <si>
    <t>2800</t>
  </si>
  <si>
    <t>2745</t>
  </si>
  <si>
    <t>181</t>
  </si>
  <si>
    <t>2730</t>
  </si>
  <si>
    <t>2715</t>
  </si>
  <si>
    <t>178.5</t>
  </si>
  <si>
    <t>2740</t>
  </si>
  <si>
    <t>2705</t>
  </si>
  <si>
    <t>2750</t>
  </si>
  <si>
    <t>2725</t>
  </si>
  <si>
    <t>2685</t>
  </si>
  <si>
    <t>180</t>
  </si>
  <si>
    <t>2635</t>
  </si>
  <si>
    <t>2595</t>
  </si>
  <si>
    <t>177.5</t>
  </si>
  <si>
    <t>2615</t>
  </si>
  <si>
    <t>2645</t>
  </si>
  <si>
    <t>2600</t>
  </si>
  <si>
    <t>176.5</t>
  </si>
  <si>
    <t>ACCURACY OF THE MONTH 88.40%</t>
  </si>
  <si>
    <t xml:space="preserve">                                         PERFORMANCE OF BASE METAL PACKAGE </t>
  </si>
  <si>
    <t xml:space="preserve">                                                    PERFORMANCE OF ENERGY PACKAGE </t>
  </si>
  <si>
    <t xml:space="preserve">                                         PERFORMANCE OF BULLION PACKAGE</t>
  </si>
  <si>
    <t xml:space="preserve">                                                                        SEPTEMBER 2015</t>
  </si>
  <si>
    <t>3075</t>
  </si>
  <si>
    <t>3020</t>
  </si>
  <si>
    <t>2945</t>
  </si>
  <si>
    <t>3060</t>
  </si>
  <si>
    <t>2925</t>
  </si>
  <si>
    <t>3025</t>
  </si>
  <si>
    <t>3085</t>
  </si>
  <si>
    <t>2905</t>
  </si>
  <si>
    <t>2955</t>
  </si>
  <si>
    <t>3095</t>
  </si>
  <si>
    <t>3110</t>
  </si>
  <si>
    <t>2985</t>
  </si>
  <si>
    <t>2965</t>
  </si>
  <si>
    <t>ACCURACY OF THE MONTH 88.52%</t>
  </si>
  <si>
    <t>167.50</t>
  </si>
  <si>
    <t>POINTS</t>
  </si>
  <si>
    <t xml:space="preserve">CRUDE </t>
  </si>
  <si>
    <t>-35</t>
  </si>
  <si>
    <t>40</t>
  </si>
  <si>
    <t>3030</t>
  </si>
  <si>
    <t>3200</t>
  </si>
  <si>
    <t>3130</t>
  </si>
  <si>
    <t>3155</t>
  </si>
  <si>
    <t>3220</t>
  </si>
  <si>
    <t>3105</t>
  </si>
  <si>
    <t>3035</t>
  </si>
  <si>
    <t>2995</t>
  </si>
  <si>
    <t>-55</t>
  </si>
  <si>
    <t xml:space="preserve">                                                                        OCTOBER 2015</t>
  </si>
  <si>
    <t>2920</t>
  </si>
  <si>
    <t>2845</t>
  </si>
  <si>
    <t>148</t>
  </si>
  <si>
    <t>145</t>
  </si>
  <si>
    <t>63</t>
  </si>
  <si>
    <t>53</t>
  </si>
  <si>
    <t>10</t>
  </si>
  <si>
    <t>ACCURACY OF THE MONTH 84.12</t>
  </si>
  <si>
    <t>-40</t>
  </si>
  <si>
    <t>55</t>
  </si>
  <si>
    <t>3965</t>
  </si>
  <si>
    <t xml:space="preserve">                                                            PERFORMANCE OF BULLION PACKAGE</t>
  </si>
  <si>
    <t xml:space="preserve">                                                                                     NOVEMBER 2015</t>
  </si>
  <si>
    <t>2855</t>
  </si>
  <si>
    <t>28030</t>
  </si>
  <si>
    <t>28020</t>
  </si>
  <si>
    <t>37</t>
  </si>
  <si>
    <t>ACCURACY OF THE MONTH 77.08</t>
  </si>
  <si>
    <t>2785</t>
  </si>
  <si>
    <t>2722</t>
  </si>
  <si>
    <t>2695</t>
  </si>
  <si>
    <t>2590</t>
  </si>
  <si>
    <t xml:space="preserve">                                                                                     DECEMBER 2015</t>
  </si>
  <si>
    <t>2385</t>
  </si>
  <si>
    <t>2345</t>
  </si>
  <si>
    <t>2425</t>
  </si>
  <si>
    <t>2465</t>
  </si>
  <si>
    <t>2475</t>
  </si>
  <si>
    <t>2365</t>
  </si>
  <si>
    <t>2305</t>
  </si>
  <si>
    <t>2435</t>
  </si>
  <si>
    <t>2400</t>
  </si>
  <si>
    <t>2390</t>
  </si>
  <si>
    <t>2373</t>
  </si>
  <si>
    <t>2410</t>
  </si>
  <si>
    <t>2430</t>
  </si>
  <si>
    <t>2470</t>
  </si>
  <si>
    <t>2510</t>
  </si>
  <si>
    <t>2445</t>
  </si>
  <si>
    <t>2505</t>
  </si>
  <si>
    <t>2420</t>
  </si>
  <si>
    <t>57</t>
  </si>
  <si>
    <t>ACCURACY OF THE MONTH 86.36</t>
  </si>
  <si>
    <t xml:space="preserve"> JANUARY 2016</t>
  </si>
  <si>
    <t xml:space="preserve">  PERFORMANCE OF BULLION PACKAGE</t>
  </si>
  <si>
    <t>2490</t>
  </si>
  <si>
    <t>2325</t>
  </si>
  <si>
    <t>2230</t>
  </si>
  <si>
    <t>2160</t>
  </si>
  <si>
    <t>2260</t>
  </si>
  <si>
    <t>2200</t>
  </si>
  <si>
    <t>2065</t>
  </si>
  <si>
    <t>2000</t>
  </si>
  <si>
    <t>ALUMINUM</t>
  </si>
  <si>
    <t xml:space="preserve">                                                                                                                                                            PERFORMANCE OF BASE METAL PACKAGE </t>
  </si>
  <si>
    <t xml:space="preserve">                                                                                                                                                                PERFORMANCE OF ENERGY PACKAGE </t>
  </si>
  <si>
    <t>1965</t>
  </si>
  <si>
    <t>2005</t>
  </si>
  <si>
    <t>2100</t>
  </si>
  <si>
    <t>1975</t>
  </si>
  <si>
    <t>1910</t>
  </si>
  <si>
    <t>1940</t>
  </si>
  <si>
    <t>1915</t>
  </si>
  <si>
    <t>2110</t>
  </si>
  <si>
    <t>2150</t>
  </si>
  <si>
    <t>2140</t>
  </si>
  <si>
    <t>2080</t>
  </si>
  <si>
    <t>2105</t>
  </si>
  <si>
    <t>2070</t>
  </si>
  <si>
    <t>2185</t>
  </si>
  <si>
    <t>2225</t>
  </si>
  <si>
    <t>2315</t>
  </si>
  <si>
    <t>2245</t>
  </si>
  <si>
    <t xml:space="preserve"> FEBRUARY 2016</t>
  </si>
  <si>
    <t>2255</t>
  </si>
  <si>
    <t>2120</t>
  </si>
  <si>
    <t>2050</t>
  </si>
  <si>
    <t>2085</t>
  </si>
  <si>
    <t>2055</t>
  </si>
  <si>
    <t>30</t>
  </si>
  <si>
    <t>2215</t>
  </si>
  <si>
    <t>2240</t>
  </si>
  <si>
    <t>1900</t>
  </si>
  <si>
    <t>1850</t>
  </si>
  <si>
    <t>1985</t>
  </si>
  <si>
    <t>1995</t>
  </si>
  <si>
    <t>2035</t>
  </si>
  <si>
    <t>2180</t>
  </si>
  <si>
    <t>2270</t>
  </si>
  <si>
    <t>2280</t>
  </si>
  <si>
    <t>2265</t>
  </si>
  <si>
    <t>2170</t>
  </si>
  <si>
    <t>2130</t>
  </si>
  <si>
    <t>2232</t>
  </si>
  <si>
    <t>2300</t>
  </si>
  <si>
    <t>2340</t>
  </si>
  <si>
    <t>2250</t>
  </si>
  <si>
    <t>51</t>
  </si>
  <si>
    <t>ACCURACY OF THE MONTH</t>
  </si>
  <si>
    <t xml:space="preserve"> MARCH 2016</t>
  </si>
  <si>
    <t>81.96%</t>
  </si>
  <si>
    <t xml:space="preserve"> APRIL 2016</t>
  </si>
  <si>
    <t>77.77%</t>
  </si>
  <si>
    <t xml:space="preserve"> MAY 2016</t>
  </si>
  <si>
    <t>77.27%</t>
  </si>
  <si>
    <t>3340</t>
  </si>
  <si>
    <t>-30</t>
  </si>
  <si>
    <t xml:space="preserve"> JUNE 2016</t>
  </si>
  <si>
    <t>78.78%</t>
  </si>
  <si>
    <t>3345</t>
  </si>
  <si>
    <t xml:space="preserve"> JULY 2016</t>
  </si>
  <si>
    <t>44</t>
  </si>
  <si>
    <t>72.13%</t>
  </si>
  <si>
    <t xml:space="preserve"> AUGUST 2016</t>
  </si>
  <si>
    <t>N.G</t>
  </si>
  <si>
    <t>75</t>
  </si>
  <si>
    <t>9</t>
  </si>
  <si>
    <t>82.53%</t>
  </si>
  <si>
    <t>59</t>
  </si>
  <si>
    <t>81.35%</t>
  </si>
  <si>
    <t>80%</t>
  </si>
  <si>
    <t>45</t>
  </si>
  <si>
    <t>81%</t>
  </si>
  <si>
    <t>88.24%</t>
  </si>
  <si>
    <t>64</t>
  </si>
  <si>
    <t>75%</t>
  </si>
  <si>
    <t>26</t>
  </si>
  <si>
    <t>72</t>
  </si>
  <si>
    <t>S</t>
  </si>
  <si>
    <t>N.G*</t>
  </si>
  <si>
    <t>COPPER*</t>
  </si>
  <si>
    <t>ZINC*</t>
  </si>
  <si>
    <t xml:space="preserve">* MARKED CALL IS EXTRA SERVICE CALL </t>
  </si>
  <si>
    <t xml:space="preserve"> BUY</t>
  </si>
  <si>
    <t>38</t>
  </si>
  <si>
    <t>71%</t>
  </si>
  <si>
    <t xml:space="preserve"> </t>
  </si>
  <si>
    <t>77%</t>
  </si>
  <si>
    <t>Back</t>
  </si>
  <si>
    <t>Winnes Capital Line</t>
  </si>
  <si>
    <t>ACCURACY</t>
  </si>
  <si>
    <t>PERFORMANCE OF BULLION PACKAGE</t>
  </si>
  <si>
    <t>Sr.</t>
  </si>
  <si>
    <t>BASE METAL</t>
  </si>
  <si>
    <t>Accuracy of the Month</t>
  </si>
  <si>
    <t>www.winnerscapitalline.com</t>
  </si>
  <si>
    <t>Total</t>
  </si>
  <si>
    <t>PERFORMANCE OF ENERGY PACKAGE</t>
  </si>
  <si>
    <t>PERFORMANCE OF BASE METAL PACKAGE</t>
  </si>
  <si>
    <t>↓↓↓↓↓</t>
  </si>
  <si>
    <t>Click any Month</t>
  </si>
  <si>
    <t>Year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</si>
  <si>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</si>
  <si>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</si>
  <si>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</si>
  <si>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</si>
  <si>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</si>
  <si>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</si>
  <si>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</si>
  <si>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</si>
  <si>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</si>
  <si>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</si>
  <si>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</si>
  <si>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</si>
  <si>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</si>
  <si>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SEPTEMBER</t>
  </si>
  <si>
    <t>OCTOBER</t>
  </si>
  <si>
    <t>ZINC(JAN)</t>
  </si>
  <si>
    <t>233-50</t>
  </si>
  <si>
    <t xml:space="preserve"> SELL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</si>
  <si>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</si>
  <si>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PERFORMANCE OF CRUDEOIL OPTION</t>
  </si>
  <si>
    <t>CRUDEOIL OPTION</t>
  </si>
  <si>
    <t>6300 PE</t>
  </si>
  <si>
    <t>6200 PE</t>
  </si>
  <si>
    <t>6100 CE</t>
  </si>
  <si>
    <t>6400 PE</t>
  </si>
  <si>
    <t xml:space="preserve"> 6500 PE</t>
  </si>
  <si>
    <t>6600 PE</t>
  </si>
  <si>
    <t>6500 PE</t>
  </si>
  <si>
    <t>6700 PE</t>
  </si>
  <si>
    <t>6100 PE</t>
  </si>
  <si>
    <t>6000 PE</t>
  </si>
  <si>
    <t>5600 PE</t>
  </si>
  <si>
    <t>5400 PE</t>
  </si>
  <si>
    <t>5700 PE</t>
  </si>
  <si>
    <t>31-09-23</t>
  </si>
  <si>
    <t>6600 CE</t>
  </si>
  <si>
    <t>6900 PE</t>
  </si>
  <si>
    <t>5800 PE</t>
  </si>
  <si>
    <t>5900 PE</t>
  </si>
  <si>
    <t>6000 CE</t>
  </si>
  <si>
    <t xml:space="preserve">             </t>
  </si>
  <si>
    <t>6850  PE</t>
  </si>
  <si>
    <t>6800 PE</t>
  </si>
  <si>
    <t>6750 CE</t>
  </si>
  <si>
    <t>6900 CE</t>
  </si>
  <si>
    <t>7000 PE</t>
  </si>
  <si>
    <t>7100 PE</t>
  </si>
  <si>
    <t>7200 PE</t>
  </si>
  <si>
    <t>7300 PE</t>
  </si>
  <si>
    <t>7250 CE</t>
  </si>
  <si>
    <t>7500 PE</t>
  </si>
  <si>
    <t>7400 PE</t>
  </si>
  <si>
    <t>7700 PE</t>
  </si>
  <si>
    <t>NATURAL GAS</t>
  </si>
  <si>
    <t>6300 CE</t>
  </si>
  <si>
    <t>6200 CE</t>
  </si>
  <si>
    <t xml:space="preserve">  </t>
  </si>
  <si>
    <t>6400 CE</t>
  </si>
  <si>
    <t>6500 CE</t>
  </si>
  <si>
    <t>NATURAL  GAS</t>
  </si>
  <si>
    <t xml:space="preserve"> 6600 PE</t>
  </si>
  <si>
    <t>5700 CE</t>
  </si>
  <si>
    <t>5800 CE</t>
  </si>
  <si>
    <t>PERFORMANCE OF SILVERM OPTION</t>
  </si>
  <si>
    <t>PERFORMANCE OF GOLDM OPTION</t>
  </si>
  <si>
    <t>93000 PE</t>
  </si>
  <si>
    <t>91000 PE</t>
  </si>
  <si>
    <t>77000 PE</t>
  </si>
  <si>
    <t>75000 PE</t>
  </si>
  <si>
    <t>78000 PE</t>
  </si>
  <si>
    <t>61000 PE</t>
  </si>
  <si>
    <t>75000 CE</t>
  </si>
  <si>
    <t>76000 PE</t>
  </si>
  <si>
    <t>SILVERM OPTION</t>
  </si>
  <si>
    <t>GOLDM OPTION</t>
  </si>
  <si>
    <t>77500 PE</t>
  </si>
  <si>
    <t>90000 PE</t>
  </si>
  <si>
    <t>5950 PE</t>
  </si>
  <si>
    <t>GOLDM 76000 CE</t>
  </si>
  <si>
    <t>GOLDM 77000 PE</t>
  </si>
  <si>
    <t>GOLDM 76000 PE</t>
  </si>
  <si>
    <t>SILVERM 89000 PE</t>
  </si>
  <si>
    <t>NATURAL GAS 295 PE</t>
  </si>
  <si>
    <t>NATURAL 315 PE</t>
  </si>
  <si>
    <t>NATURALGAS 325 PE</t>
  </si>
  <si>
    <t>NATURALGAS 295 PE</t>
  </si>
  <si>
    <t>NATURALGAS 300 PE</t>
  </si>
  <si>
    <t>NATURALGAS 310 PE</t>
  </si>
  <si>
    <t>89000 PE</t>
  </si>
  <si>
    <t>77000 CE</t>
  </si>
  <si>
    <t>91000 CE</t>
  </si>
  <si>
    <t>78000 CE</t>
  </si>
  <si>
    <t>92000 CE</t>
  </si>
  <si>
    <t>79000 PE</t>
  </si>
  <si>
    <t>NATURALGAS 330 PE</t>
  </si>
  <si>
    <t>NATURALGAS 360 PE</t>
  </si>
  <si>
    <t>NATURALGAS 350 PE</t>
  </si>
  <si>
    <t>78500 PE</t>
  </si>
  <si>
    <t>NATURALGAS 340 PE</t>
  </si>
  <si>
    <t>93000 CE</t>
  </si>
  <si>
    <t>78500 CE</t>
  </si>
  <si>
    <t>79500 PE</t>
  </si>
  <si>
    <t>79000 CE</t>
  </si>
  <si>
    <t>92000 PE</t>
  </si>
  <si>
    <t>NATURALGAS 270 PE</t>
  </si>
  <si>
    <t>80000 PE</t>
  </si>
  <si>
    <t>80000 CE</t>
  </si>
  <si>
    <t>90000 CE</t>
  </si>
  <si>
    <t>NATURAL GAS 270 PE</t>
  </si>
  <si>
    <t>PERFORMANCE OF NATURALGAS OPTION</t>
  </si>
  <si>
    <t xml:space="preserve">PERFORMANCE OF BASE METAL </t>
  </si>
  <si>
    <t>PERFORMANCE OF CRUDEOIL</t>
  </si>
  <si>
    <t>NATURALGAS OPTION</t>
  </si>
  <si>
    <t>290 PE</t>
  </si>
  <si>
    <t xml:space="preserve"> 83000 CE</t>
  </si>
  <si>
    <t xml:space="preserve"> 82000 PE</t>
  </si>
  <si>
    <t>84000 PE</t>
  </si>
  <si>
    <t>85000 PE</t>
  </si>
  <si>
    <t xml:space="preserve"> 94000 CE</t>
  </si>
  <si>
    <t>95000 PE</t>
  </si>
  <si>
    <t>280 CE</t>
  </si>
  <si>
    <t>95000 CE</t>
  </si>
  <si>
    <t>84000 CE</t>
  </si>
  <si>
    <t>295 PE</t>
  </si>
  <si>
    <t>300 PE</t>
  </si>
  <si>
    <t>85000 CE</t>
  </si>
  <si>
    <t>305 PE</t>
  </si>
  <si>
    <t>86000 PE</t>
  </si>
  <si>
    <t>98000 PE</t>
  </si>
  <si>
    <t>320 PE</t>
  </si>
  <si>
    <t>325 PE</t>
  </si>
  <si>
    <t>QTY 1 LOT</t>
  </si>
  <si>
    <t>96000 CE</t>
  </si>
  <si>
    <t>350 PE</t>
  </si>
  <si>
    <t>97000 PE</t>
  </si>
  <si>
    <t>86000 CE</t>
  </si>
  <si>
    <t>100000 CE</t>
  </si>
  <si>
    <t>370 PE</t>
  </si>
  <si>
    <t>380 PE</t>
  </si>
  <si>
    <t>345 PE</t>
  </si>
  <si>
    <t>88000 CE</t>
  </si>
  <si>
    <t>89000 CE</t>
  </si>
  <si>
    <t>88000 PE</t>
  </si>
  <si>
    <t>88500 PE</t>
  </si>
  <si>
    <t>97000 CE</t>
  </si>
  <si>
    <t>98000 CE</t>
  </si>
  <si>
    <t>100000 PE</t>
  </si>
  <si>
    <t>5750 CE</t>
  </si>
  <si>
    <t>330 PE</t>
  </si>
  <si>
    <t>375 PE</t>
  </si>
  <si>
    <t>400 CE</t>
  </si>
  <si>
    <t>395 CE</t>
  </si>
  <si>
    <t>355 CE</t>
  </si>
  <si>
    <t>360 CE</t>
  </si>
  <si>
    <t>365 PE</t>
  </si>
  <si>
    <t>340 PE</t>
  </si>
  <si>
    <t>320 CE</t>
  </si>
  <si>
    <t>5850 PE</t>
  </si>
  <si>
    <t>5100 PE</t>
  </si>
  <si>
    <t>5200 PE</t>
  </si>
  <si>
    <t>5300 PE</t>
  </si>
  <si>
    <t>310 PE</t>
  </si>
  <si>
    <t>99000 CE</t>
  </si>
  <si>
    <t>96000 PE</t>
  </si>
  <si>
    <t>10000 CE</t>
  </si>
  <si>
    <t>5300 CE</t>
  </si>
  <si>
    <t>5500 PE</t>
  </si>
  <si>
    <t>280 PE</t>
  </si>
  <si>
    <t>270 PE</t>
  </si>
  <si>
    <t>250 CE</t>
  </si>
  <si>
    <t>250 PE</t>
  </si>
  <si>
    <t>94000 PE</t>
  </si>
  <si>
    <t>5100 CE</t>
  </si>
  <si>
    <t>300 CE</t>
  </si>
  <si>
    <t>4900 PE</t>
  </si>
  <si>
    <t>5000 PE</t>
  </si>
  <si>
    <t>330 CE</t>
  </si>
  <si>
    <t>94000 CE</t>
  </si>
  <si>
    <t>265 CE</t>
  </si>
  <si>
    <t>290 CE</t>
  </si>
  <si>
    <t>99000 PE</t>
  </si>
  <si>
    <t>105000 PE</t>
  </si>
  <si>
    <t>106000 PE</t>
  </si>
  <si>
    <t>107000 CE</t>
  </si>
  <si>
    <t>106000 CE</t>
  </si>
  <si>
    <t>305 CE</t>
  </si>
  <si>
    <t>315 PE</t>
  </si>
  <si>
    <t>310 CE</t>
  </si>
  <si>
    <t>109000 CE</t>
  </si>
  <si>
    <t>108000 PE</t>
  </si>
  <si>
    <t>108000 CE</t>
  </si>
  <si>
    <t>340 CE</t>
  </si>
  <si>
    <t>355 PE</t>
  </si>
  <si>
    <t>107000 PE</t>
  </si>
  <si>
    <t>111000 CE</t>
  </si>
  <si>
    <t>114000 PE</t>
  </si>
  <si>
    <t>285 CE</t>
  </si>
  <si>
    <t>295 CE</t>
  </si>
  <si>
    <t>285 PE</t>
  </si>
  <si>
    <t>113000 CE</t>
  </si>
  <si>
    <t>112000 CE</t>
  </si>
  <si>
    <t>110000 PE</t>
  </si>
  <si>
    <t>112000 PE</t>
  </si>
  <si>
    <t>113000 PE</t>
  </si>
  <si>
    <t>115000 CE</t>
  </si>
  <si>
    <t>98500 PE</t>
  </si>
  <si>
    <t>115000 PE</t>
  </si>
  <si>
    <t>114000 CE</t>
  </si>
  <si>
    <t>270 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</si>
</sst>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[$-409]mmmm/yy;@"/>
    <numFmt numFmtId="166" formatCode="0_ ;[Red]\-0\ "/>
    <numFmt numFmtId="167" formatCode="0.0_ ;[Red]\-0.0\ "/>
  </numFmts>
  <fonts count="58" x14ac:knownFonts="1">
    <font>
      <sz val="11"/>
      <color theme="1"/>
      <name val="Calibri"/>
      <family val="2"/>
      <scheme val="minor"/>
    </font>
    <font>
      <b/>
      <sz val="20"/>
      <color indexed="9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Arial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B05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4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mbria"/>
      <family val="1"/>
      <scheme val="major"/>
    </font>
    <font>
      <sz val="14"/>
      <color theme="1"/>
      <name val="Calibri"/>
      <family val="2"/>
      <scheme val="minor"/>
    </font>
    <font>
      <sz val="14"/>
      <color theme="1"/>
      <name val="Cambria"/>
      <family val="1"/>
      <scheme val="major"/>
    </font>
    <font>
      <b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u/>
      <sz val="11"/>
      <color theme="10"/>
      <name val="Calibri"/>
      <family val="2"/>
    </font>
    <font>
      <b/>
      <sz val="18"/>
      <color rgb="FF00B050"/>
      <name val="Calibri"/>
      <family val="2"/>
      <scheme val="minor"/>
    </font>
    <font>
      <b/>
      <sz val="36"/>
      <name val="Calibri"/>
      <family val="2"/>
      <scheme val="minor"/>
    </font>
    <font>
      <b/>
      <u/>
      <sz val="18"/>
      <color theme="10"/>
      <name val="Calibri"/>
      <family val="2"/>
    </font>
    <font>
      <b/>
      <sz val="1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72"/>
      <color rgb="FFFF0000"/>
      <name val="Calibri"/>
      <family val="2"/>
      <scheme val="minor"/>
    </font>
    <font>
      <b/>
      <sz val="70"/>
      <color rgb="FFFF0000"/>
      <name val="Calibri"/>
      <family val="2"/>
      <scheme val="minor"/>
    </font>
    <font>
      <b/>
      <sz val="28"/>
      <color rgb="FFFFC000"/>
      <name val="Calibri"/>
      <family val="2"/>
    </font>
    <font>
      <b/>
      <sz val="28"/>
      <color rgb="FFFFC000"/>
      <name val="Calibri"/>
      <family val="2"/>
      <scheme val="minor"/>
    </font>
    <font>
      <sz val="11"/>
      <color indexed="8"/>
      <name val="Calibri"/>
      <family val="2"/>
    </font>
    <font>
      <b/>
      <u/>
      <sz val="22"/>
      <color theme="0"/>
      <name val="Calibri"/>
      <family val="2"/>
    </font>
    <font>
      <sz val="9"/>
      <color indexed="8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9" fillId="0" borderId="0"/>
  </cellStyleXfs>
  <cellXfs count="411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7" fillId="0" borderId="0" xfId="0" applyFont="1" applyAlignment="1">
      <alignment horizontal="center" vertical="center" wrapText="1"/>
    </xf>
    <xf numFmtId="0" fontId="0" fillId="2" borderId="0" xfId="0" applyFill="1"/>
    <xf numFmtId="14" fontId="0" fillId="0" borderId="0" xfId="0" applyNumberForma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4" fontId="0" fillId="3" borderId="1" xfId="0" applyNumberForma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1" fontId="7" fillId="3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0" borderId="1" xfId="0" applyBorder="1"/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7" fillId="3" borderId="1" xfId="0" applyFont="1" applyFill="1" applyBorder="1" applyAlignment="1">
      <alignment horizontal="center" vertical="center"/>
    </xf>
    <xf numFmtId="16" fontId="9" fillId="3" borderId="1" xfId="0" applyNumberFormat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1" fontId="9" fillId="3" borderId="1" xfId="0" applyNumberFormat="1" applyFont="1" applyFill="1" applyBorder="1" applyAlignment="1">
      <alignment horizontal="center"/>
    </xf>
    <xf numFmtId="164" fontId="9" fillId="3" borderId="1" xfId="0" applyNumberFormat="1" applyFont="1" applyFill="1" applyBorder="1" applyAlignment="1">
      <alignment horizontal="center"/>
    </xf>
    <xf numFmtId="0" fontId="0" fillId="3" borderId="1" xfId="0" applyFill="1" applyBorder="1"/>
    <xf numFmtId="16" fontId="10" fillId="3" borderId="1" xfId="0" applyNumberFormat="1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0" fontId="6" fillId="3" borderId="1" xfId="0" applyFont="1" applyFill="1" applyBorder="1"/>
    <xf numFmtId="0" fontId="0" fillId="3" borderId="0" xfId="0" applyFill="1"/>
    <xf numFmtId="2" fontId="12" fillId="3" borderId="2" xfId="0" applyNumberFormat="1" applyFont="1" applyFill="1" applyBorder="1" applyAlignment="1">
      <alignment horizontal="center"/>
    </xf>
    <xf numFmtId="2" fontId="12" fillId="3" borderId="1" xfId="0" applyNumberFormat="1" applyFont="1" applyFill="1" applyBorder="1" applyAlignment="1">
      <alignment horizontal="center"/>
    </xf>
    <xf numFmtId="14" fontId="0" fillId="0" borderId="0" xfId="0" applyNumberFormat="1"/>
    <xf numFmtId="14" fontId="0" fillId="3" borderId="1" xfId="0" applyNumberFormat="1" applyFill="1" applyBorder="1" applyAlignment="1">
      <alignment horizontal="center" vertical="center"/>
    </xf>
    <xf numFmtId="2" fontId="10" fillId="3" borderId="1" xfId="0" applyNumberFormat="1" applyFon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9" fillId="3" borderId="2" xfId="0" applyNumberFormat="1" applyFont="1" applyFill="1" applyBorder="1" applyAlignment="1">
      <alignment horizontal="center"/>
    </xf>
    <xf numFmtId="2" fontId="10" fillId="3" borderId="2" xfId="0" applyNumberFormat="1" applyFont="1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0" fontId="0" fillId="4" borderId="1" xfId="0" applyFill="1" applyBorder="1"/>
    <xf numFmtId="0" fontId="0" fillId="4" borderId="0" xfId="0" applyFill="1"/>
    <xf numFmtId="2" fontId="0" fillId="0" borderId="0" xfId="0" applyNumberFormat="1" applyAlignment="1">
      <alignment horizontal="center"/>
    </xf>
    <xf numFmtId="2" fontId="0" fillId="0" borderId="1" xfId="0" applyNumberForma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14" fontId="0" fillId="3" borderId="2" xfId="0" applyNumberForma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/>
    </xf>
    <xf numFmtId="49" fontId="9" fillId="3" borderId="1" xfId="0" applyNumberFormat="1" applyFont="1" applyFill="1" applyBorder="1" applyAlignment="1">
      <alignment horizontal="center"/>
    </xf>
    <xf numFmtId="2" fontId="0" fillId="3" borderId="0" xfId="0" applyNumberFormat="1" applyFill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4" fillId="3" borderId="1" xfId="0" applyNumberFormat="1" applyFont="1" applyFill="1" applyBorder="1" applyAlignment="1">
      <alignment horizontal="center"/>
    </xf>
    <xf numFmtId="2" fontId="14" fillId="0" borderId="0" xfId="0" applyNumberFormat="1" applyFont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0" xfId="0" applyFont="1" applyAlignment="1">
      <alignment horizontal="center"/>
    </xf>
    <xf numFmtId="2" fontId="13" fillId="3" borderId="1" xfId="0" applyNumberFormat="1" applyFont="1" applyFill="1" applyBorder="1" applyAlignment="1">
      <alignment horizontal="center"/>
    </xf>
    <xf numFmtId="0" fontId="0" fillId="5" borderId="0" xfId="0" applyFill="1"/>
    <xf numFmtId="49" fontId="3" fillId="8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2" fillId="7" borderId="1" xfId="0" applyFont="1" applyFill="1" applyBorder="1"/>
    <xf numFmtId="2" fontId="9" fillId="7" borderId="1" xfId="0" applyNumberFormat="1" applyFont="1" applyFill="1" applyBorder="1" applyAlignment="1">
      <alignment horizontal="center"/>
    </xf>
    <xf numFmtId="2" fontId="1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4" xfId="0" applyFill="1" applyBorder="1"/>
    <xf numFmtId="0" fontId="0" fillId="2" borderId="5" xfId="0" applyFill="1" applyBorder="1"/>
    <xf numFmtId="2" fontId="10" fillId="0" borderId="0" xfId="0" applyNumberFormat="1" applyFont="1" applyAlignment="1">
      <alignment horizontal="center"/>
    </xf>
    <xf numFmtId="2" fontId="10" fillId="0" borderId="1" xfId="0" applyNumberFormat="1" applyFont="1" applyBorder="1" applyAlignment="1">
      <alignment horizontal="center"/>
    </xf>
    <xf numFmtId="2" fontId="15" fillId="3" borderId="1" xfId="0" applyNumberFormat="1" applyFon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0" fillId="0" borderId="6" xfId="0" applyBorder="1"/>
    <xf numFmtId="0" fontId="0" fillId="0" borderId="1" xfId="0" applyBorder="1" applyAlignment="1">
      <alignment horizontal="center"/>
    </xf>
    <xf numFmtId="0" fontId="0" fillId="5" borderId="1" xfId="0" applyFill="1" applyBorder="1"/>
    <xf numFmtId="2" fontId="17" fillId="3" borderId="1" xfId="0" applyNumberFormat="1" applyFont="1" applyFill="1" applyBorder="1" applyAlignment="1">
      <alignment horizontal="center"/>
    </xf>
    <xf numFmtId="164" fontId="9" fillId="3" borderId="2" xfId="0" applyNumberFormat="1" applyFont="1" applyFill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2" fontId="19" fillId="3" borderId="1" xfId="0" applyNumberFormat="1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49" fontId="10" fillId="3" borderId="1" xfId="0" applyNumberFormat="1" applyFont="1" applyFill="1" applyBorder="1" applyAlignment="1">
      <alignment horizontal="center"/>
    </xf>
    <xf numFmtId="49" fontId="9" fillId="3" borderId="7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21" fillId="0" borderId="0" xfId="0" applyNumberFormat="1" applyFont="1" applyAlignment="1">
      <alignment horizontal="center"/>
    </xf>
    <xf numFmtId="0" fontId="22" fillId="10" borderId="1" xfId="0" applyFont="1" applyFill="1" applyBorder="1"/>
    <xf numFmtId="2" fontId="22" fillId="10" borderId="1" xfId="0" applyNumberFormat="1" applyFont="1" applyFill="1" applyBorder="1"/>
    <xf numFmtId="0" fontId="20" fillId="10" borderId="1" xfId="0" applyFont="1" applyFill="1" applyBorder="1"/>
    <xf numFmtId="14" fontId="0" fillId="0" borderId="1" xfId="0" applyNumberFormat="1" applyBorder="1" applyAlignment="1">
      <alignment horizontal="center" wrapText="1"/>
    </xf>
    <xf numFmtId="0" fontId="10" fillId="3" borderId="1" xfId="0" applyFont="1" applyFill="1" applyBorder="1" applyAlignment="1">
      <alignment horizontal="center" wrapText="1"/>
    </xf>
    <xf numFmtId="164" fontId="9" fillId="3" borderId="1" xfId="0" applyNumberFormat="1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 wrapText="1"/>
    </xf>
    <xf numFmtId="2" fontId="20" fillId="9" borderId="1" xfId="0" applyNumberFormat="1" applyFont="1" applyFill="1" applyBorder="1" applyAlignment="1">
      <alignment horizontal="center"/>
    </xf>
    <xf numFmtId="0" fontId="20" fillId="9" borderId="1" xfId="0" applyFont="1" applyFill="1" applyBorder="1" applyAlignment="1">
      <alignment horizontal="center"/>
    </xf>
    <xf numFmtId="2" fontId="23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2" fontId="15" fillId="3" borderId="2" xfId="0" applyNumberFormat="1" applyFont="1" applyFill="1" applyBorder="1" applyAlignment="1">
      <alignment horizontal="center"/>
    </xf>
    <xf numFmtId="0" fontId="0" fillId="5" borderId="5" xfId="0" applyFill="1" applyBorder="1"/>
    <xf numFmtId="14" fontId="0" fillId="0" borderId="1" xfId="0" applyNumberFormat="1" applyBorder="1"/>
    <xf numFmtId="49" fontId="0" fillId="0" borderId="1" xfId="0" applyNumberForma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2" fontId="25" fillId="3" borderId="1" xfId="0" applyNumberFormat="1" applyFont="1" applyFill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2" fontId="26" fillId="0" borderId="1" xfId="0" applyNumberFormat="1" applyFont="1" applyBorder="1" applyAlignment="1">
      <alignment horizontal="center"/>
    </xf>
    <xf numFmtId="2" fontId="27" fillId="0" borderId="1" xfId="0" applyNumberFormat="1" applyFont="1" applyBorder="1" applyAlignment="1">
      <alignment horizontal="center"/>
    </xf>
    <xf numFmtId="2" fontId="28" fillId="3" borderId="1" xfId="0" applyNumberFormat="1" applyFont="1" applyFill="1" applyBorder="1" applyAlignment="1">
      <alignment horizontal="center"/>
    </xf>
    <xf numFmtId="0" fontId="29" fillId="12" borderId="1" xfId="0" applyFont="1" applyFill="1" applyBorder="1" applyAlignment="1">
      <alignment horizontal="center"/>
    </xf>
    <xf numFmtId="0" fontId="10" fillId="12" borderId="1" xfId="0" applyFont="1" applyFill="1" applyBorder="1" applyAlignment="1">
      <alignment horizontal="center"/>
    </xf>
    <xf numFmtId="2" fontId="10" fillId="12" borderId="1" xfId="0" applyNumberFormat="1" applyFont="1" applyFill="1" applyBorder="1" applyAlignment="1">
      <alignment horizontal="center"/>
    </xf>
    <xf numFmtId="49" fontId="3" fillId="8" borderId="5" xfId="0" applyNumberFormat="1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2" fontId="9" fillId="3" borderId="4" xfId="0" applyNumberFormat="1" applyFont="1" applyFill="1" applyBorder="1" applyAlignment="1">
      <alignment horizontal="center"/>
    </xf>
    <xf numFmtId="2" fontId="20" fillId="9" borderId="5" xfId="0" applyNumberFormat="1" applyFont="1" applyFill="1" applyBorder="1" applyAlignment="1">
      <alignment horizontal="center"/>
    </xf>
    <xf numFmtId="14" fontId="0" fillId="0" borderId="5" xfId="0" applyNumberFormat="1" applyBorder="1"/>
    <xf numFmtId="0" fontId="0" fillId="0" borderId="5" xfId="0" applyBorder="1"/>
    <xf numFmtId="2" fontId="27" fillId="0" borderId="4" xfId="0" applyNumberFormat="1" applyFont="1" applyBorder="1" applyAlignment="1">
      <alignment horizontal="center"/>
    </xf>
    <xf numFmtId="2" fontId="10" fillId="0" borderId="4" xfId="0" applyNumberFormat="1" applyFont="1" applyBorder="1" applyAlignment="1">
      <alignment horizontal="center"/>
    </xf>
    <xf numFmtId="0" fontId="2" fillId="7" borderId="5" xfId="0" applyFont="1" applyFill="1" applyBorder="1"/>
    <xf numFmtId="2" fontId="9" fillId="7" borderId="4" xfId="0" applyNumberFormat="1" applyFont="1" applyFill="1" applyBorder="1" applyAlignment="1">
      <alignment horizontal="center"/>
    </xf>
    <xf numFmtId="2" fontId="0" fillId="7" borderId="4" xfId="0" applyNumberFormat="1" applyFill="1" applyBorder="1" applyAlignment="1">
      <alignment horizontal="center"/>
    </xf>
    <xf numFmtId="2" fontId="28" fillId="3" borderId="4" xfId="0" applyNumberFormat="1" applyFont="1" applyFill="1" applyBorder="1" applyAlignment="1">
      <alignment horizontal="center"/>
    </xf>
    <xf numFmtId="2" fontId="26" fillId="0" borderId="4" xfId="0" applyNumberFormat="1" applyFont="1" applyBorder="1" applyAlignment="1">
      <alignment horizontal="center"/>
    </xf>
    <xf numFmtId="0" fontId="0" fillId="0" borderId="4" xfId="0" applyBorder="1"/>
    <xf numFmtId="15" fontId="0" fillId="0" borderId="1" xfId="0" applyNumberFormat="1" applyBorder="1" applyAlignment="1">
      <alignment horizontal="center"/>
    </xf>
    <xf numFmtId="0" fontId="22" fillId="10" borderId="1" xfId="0" applyFont="1" applyFill="1" applyBorder="1" applyAlignment="1">
      <alignment horizontal="center"/>
    </xf>
    <xf numFmtId="2" fontId="22" fillId="10" borderId="1" xfId="0" applyNumberFormat="1" applyFont="1" applyFill="1" applyBorder="1" applyAlignment="1">
      <alignment horizontal="center"/>
    </xf>
    <xf numFmtId="0" fontId="20" fillId="10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4" fontId="0" fillId="10" borderId="1" xfId="0" applyNumberFormat="1" applyFill="1" applyBorder="1" applyAlignment="1">
      <alignment horizontal="center"/>
    </xf>
    <xf numFmtId="49" fontId="22" fillId="10" borderId="1" xfId="0" applyNumberFormat="1" applyFont="1" applyFill="1" applyBorder="1" applyAlignment="1">
      <alignment horizontal="center"/>
    </xf>
    <xf numFmtId="15" fontId="30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15" fontId="31" fillId="0" borderId="1" xfId="0" applyNumberFormat="1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15" fontId="10" fillId="0" borderId="1" xfId="0" applyNumberFormat="1" applyFont="1" applyBorder="1" applyAlignment="1">
      <alignment horizontal="center"/>
    </xf>
    <xf numFmtId="2" fontId="32" fillId="0" borderId="1" xfId="0" applyNumberFormat="1" applyFont="1" applyBorder="1" applyAlignment="1">
      <alignment horizontal="center"/>
    </xf>
    <xf numFmtId="15" fontId="33" fillId="0" borderId="1" xfId="0" applyNumberFormat="1" applyFont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34" fillId="5" borderId="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15" fontId="30" fillId="3" borderId="1" xfId="0" applyNumberFormat="1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49" fontId="36" fillId="8" borderId="1" xfId="0" applyNumberFormat="1" applyFont="1" applyFill="1" applyBorder="1" applyAlignment="1">
      <alignment horizontal="center"/>
    </xf>
    <xf numFmtId="0" fontId="37" fillId="8" borderId="1" xfId="0" applyFont="1" applyFill="1" applyBorder="1" applyAlignment="1">
      <alignment horizontal="center"/>
    </xf>
    <xf numFmtId="0" fontId="36" fillId="8" borderId="1" xfId="0" applyFont="1" applyFill="1" applyBorder="1" applyAlignment="1">
      <alignment horizontal="center"/>
    </xf>
    <xf numFmtId="49" fontId="16" fillId="3" borderId="1" xfId="0" applyNumberFormat="1" applyFont="1" applyFill="1" applyBorder="1" applyAlignment="1">
      <alignment horizontal="center"/>
    </xf>
    <xf numFmtId="164" fontId="16" fillId="3" borderId="1" xfId="0" applyNumberFormat="1" applyFont="1" applyFill="1" applyBorder="1" applyAlignment="1">
      <alignment horizontal="center"/>
    </xf>
    <xf numFmtId="2" fontId="16" fillId="3" borderId="1" xfId="0" applyNumberFormat="1" applyFont="1" applyFill="1" applyBorder="1" applyAlignment="1">
      <alignment horizontal="center"/>
    </xf>
    <xf numFmtId="2" fontId="30" fillId="3" borderId="1" xfId="0" applyNumberFormat="1" applyFont="1" applyFill="1" applyBorder="1" applyAlignment="1">
      <alignment horizontal="center"/>
    </xf>
    <xf numFmtId="2" fontId="16" fillId="7" borderId="1" xfId="0" applyNumberFormat="1" applyFont="1" applyFill="1" applyBorder="1" applyAlignment="1">
      <alignment horizontal="center"/>
    </xf>
    <xf numFmtId="2" fontId="30" fillId="7" borderId="1" xfId="0" applyNumberFormat="1" applyFont="1" applyFill="1" applyBorder="1" applyAlignment="1">
      <alignment horizontal="center"/>
    </xf>
    <xf numFmtId="1" fontId="16" fillId="3" borderId="1" xfId="0" applyNumberFormat="1" applyFont="1" applyFill="1" applyBorder="1" applyAlignment="1">
      <alignment horizontal="center"/>
    </xf>
    <xf numFmtId="2" fontId="38" fillId="0" borderId="1" xfId="0" applyNumberFormat="1" applyFont="1" applyBorder="1" applyAlignment="1">
      <alignment horizontal="center"/>
    </xf>
    <xf numFmtId="2" fontId="30" fillId="0" borderId="1" xfId="0" applyNumberFormat="1" applyFont="1" applyBorder="1" applyAlignment="1">
      <alignment horizontal="center"/>
    </xf>
    <xf numFmtId="0" fontId="19" fillId="7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horizontal="center"/>
    </xf>
    <xf numFmtId="14" fontId="34" fillId="0" borderId="1" xfId="0" applyNumberFormat="1" applyFont="1" applyBorder="1" applyAlignment="1">
      <alignment horizontal="center"/>
    </xf>
    <xf numFmtId="0" fontId="31" fillId="3" borderId="1" xfId="0" applyFont="1" applyFill="1" applyBorder="1" applyAlignment="1">
      <alignment horizontal="center"/>
    </xf>
    <xf numFmtId="1" fontId="39" fillId="3" borderId="1" xfId="0" applyNumberFormat="1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0" fillId="5" borderId="1" xfId="0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0" fillId="2" borderId="8" xfId="0" applyFill="1" applyBorder="1" applyAlignment="1">
      <alignment shrinkToFit="1"/>
    </xf>
    <xf numFmtId="0" fontId="0" fillId="2" borderId="9" xfId="0" applyFill="1" applyBorder="1" applyAlignment="1">
      <alignment shrinkToFit="1"/>
    </xf>
    <xf numFmtId="0" fontId="0" fillId="2" borderId="10" xfId="0" applyFill="1" applyBorder="1" applyAlignment="1">
      <alignment shrinkToFit="1"/>
    </xf>
    <xf numFmtId="0" fontId="0" fillId="3" borderId="0" xfId="0" applyFill="1" applyAlignment="1">
      <alignment shrinkToFit="1"/>
    </xf>
    <xf numFmtId="0" fontId="0" fillId="2" borderId="12" xfId="0" applyFill="1" applyBorder="1" applyAlignment="1">
      <alignment shrinkToFit="1"/>
    </xf>
    <xf numFmtId="0" fontId="0" fillId="2" borderId="16" xfId="0" applyFill="1" applyBorder="1" applyAlignment="1">
      <alignment shrinkToFit="1"/>
    </xf>
    <xf numFmtId="0" fontId="3" fillId="17" borderId="28" xfId="0" applyFont="1" applyFill="1" applyBorder="1" applyAlignment="1">
      <alignment horizontal="center" shrinkToFit="1"/>
    </xf>
    <xf numFmtId="49" fontId="3" fillId="17" borderId="29" xfId="0" applyNumberFormat="1" applyFont="1" applyFill="1" applyBorder="1" applyAlignment="1">
      <alignment horizontal="center" shrinkToFit="1"/>
    </xf>
    <xf numFmtId="0" fontId="4" fillId="17" borderId="29" xfId="0" applyFont="1" applyFill="1" applyBorder="1" applyAlignment="1">
      <alignment horizontal="center" shrinkToFit="1"/>
    </xf>
    <xf numFmtId="0" fontId="3" fillId="17" borderId="29" xfId="0" applyFont="1" applyFill="1" applyBorder="1" applyAlignment="1">
      <alignment horizontal="center" shrinkToFit="1"/>
    </xf>
    <xf numFmtId="0" fontId="0" fillId="0" borderId="24" xfId="0" applyBorder="1" applyAlignment="1">
      <alignment horizontal="center" shrinkToFit="1"/>
    </xf>
    <xf numFmtId="14" fontId="0" fillId="0" borderId="25" xfId="0" applyNumberFormat="1" applyBorder="1" applyAlignment="1">
      <alignment horizontal="center" shrinkToFit="1"/>
    </xf>
    <xf numFmtId="1" fontId="0" fillId="0" borderId="25" xfId="0" applyNumberFormat="1" applyBorder="1" applyAlignment="1">
      <alignment horizontal="center" shrinkToFit="1"/>
    </xf>
    <xf numFmtId="166" fontId="0" fillId="0" borderId="25" xfId="0" applyNumberFormat="1" applyBorder="1" applyAlignment="1">
      <alignment horizontal="center" shrinkToFit="1"/>
    </xf>
    <xf numFmtId="0" fontId="0" fillId="0" borderId="32" xfId="0" applyBorder="1" applyAlignment="1">
      <alignment horizontal="center" shrinkToFit="1"/>
    </xf>
    <xf numFmtId="14" fontId="0" fillId="0" borderId="1" xfId="0" applyNumberFormat="1" applyBorder="1" applyAlignment="1">
      <alignment horizontal="center" shrinkToFit="1"/>
    </xf>
    <xf numFmtId="1" fontId="0" fillId="0" borderId="1" xfId="0" applyNumberFormat="1" applyBorder="1" applyAlignment="1">
      <alignment horizontal="center" shrinkToFit="1"/>
    </xf>
    <xf numFmtId="166" fontId="0" fillId="0" borderId="1" xfId="0" applyNumberFormat="1" applyBorder="1" applyAlignment="1">
      <alignment horizontal="center" shrinkToFit="1"/>
    </xf>
    <xf numFmtId="0" fontId="0" fillId="3" borderId="0" xfId="0" applyFill="1" applyAlignment="1">
      <alignment horizontal="center" shrinkToFit="1"/>
    </xf>
    <xf numFmtId="0" fontId="0" fillId="0" borderId="48" xfId="0" applyBorder="1" applyAlignment="1">
      <alignment horizontal="center" shrinkToFit="1"/>
    </xf>
    <xf numFmtId="14" fontId="0" fillId="0" borderId="49" xfId="0" applyNumberFormat="1" applyBorder="1" applyAlignment="1">
      <alignment horizontal="center" shrinkToFit="1"/>
    </xf>
    <xf numFmtId="1" fontId="0" fillId="0" borderId="49" xfId="0" applyNumberFormat="1" applyBorder="1" applyAlignment="1">
      <alignment horizontal="center" shrinkToFit="1"/>
    </xf>
    <xf numFmtId="166" fontId="0" fillId="0" borderId="49" xfId="0" applyNumberFormat="1" applyBorder="1" applyAlignment="1">
      <alignment horizontal="center" shrinkToFit="1"/>
    </xf>
    <xf numFmtId="0" fontId="49" fillId="9" borderId="11" xfId="0" applyFont="1" applyFill="1" applyBorder="1" applyAlignment="1">
      <alignment horizontal="center" shrinkToFit="1"/>
    </xf>
    <xf numFmtId="1" fontId="49" fillId="9" borderId="11" xfId="0" applyNumberFormat="1" applyFont="1" applyFill="1" applyBorder="1" applyAlignment="1">
      <alignment horizontal="center" shrinkToFit="1"/>
    </xf>
    <xf numFmtId="0" fontId="0" fillId="2" borderId="44" xfId="0" applyFill="1" applyBorder="1" applyAlignment="1">
      <alignment shrinkToFit="1"/>
    </xf>
    <xf numFmtId="0" fontId="0" fillId="2" borderId="3" xfId="0" applyFill="1" applyBorder="1" applyAlignment="1">
      <alignment shrinkToFit="1"/>
    </xf>
    <xf numFmtId="0" fontId="0" fillId="2" borderId="47" xfId="0" applyFill="1" applyBorder="1" applyAlignment="1">
      <alignment shrinkToFit="1"/>
    </xf>
    <xf numFmtId="0" fontId="0" fillId="2" borderId="12" xfId="0" applyFill="1" applyBorder="1" applyAlignment="1">
      <alignment horizontal="center" shrinkToFit="1"/>
    </xf>
    <xf numFmtId="0" fontId="0" fillId="2" borderId="16" xfId="0" applyFill="1" applyBorder="1" applyAlignment="1">
      <alignment horizontal="center" shrinkToFit="1"/>
    </xf>
    <xf numFmtId="167" fontId="0" fillId="0" borderId="1" xfId="0" applyNumberFormat="1" applyBorder="1" applyAlignment="1">
      <alignment horizontal="center" shrinkToFit="1"/>
    </xf>
    <xf numFmtId="166" fontId="0" fillId="0" borderId="51" xfId="0" applyNumberFormat="1" applyBorder="1" applyAlignment="1">
      <alignment horizontal="center" shrinkToFit="1"/>
    </xf>
    <xf numFmtId="0" fontId="49" fillId="9" borderId="53" xfId="0" applyFont="1" applyFill="1" applyBorder="1" applyAlignment="1">
      <alignment horizontal="center" shrinkToFit="1"/>
    </xf>
    <xf numFmtId="1" fontId="49" fillId="9" borderId="53" xfId="0" applyNumberFormat="1" applyFont="1" applyFill="1" applyBorder="1" applyAlignment="1">
      <alignment horizontal="center" shrinkToFit="1"/>
    </xf>
    <xf numFmtId="0" fontId="0" fillId="0" borderId="54" xfId="0" applyBorder="1" applyAlignment="1">
      <alignment horizontal="center" shrinkToFit="1"/>
    </xf>
    <xf numFmtId="14" fontId="0" fillId="0" borderId="6" xfId="0" applyNumberFormat="1" applyBorder="1" applyAlignment="1">
      <alignment horizontal="center" shrinkToFit="1"/>
    </xf>
    <xf numFmtId="1" fontId="0" fillId="0" borderId="6" xfId="0" applyNumberFormat="1" applyBorder="1" applyAlignment="1">
      <alignment horizontal="center" shrinkToFit="1"/>
    </xf>
    <xf numFmtId="167" fontId="0" fillId="0" borderId="6" xfId="0" applyNumberFormat="1" applyBorder="1" applyAlignment="1">
      <alignment horizontal="center" shrinkToFit="1"/>
    </xf>
    <xf numFmtId="166" fontId="0" fillId="0" borderId="6" xfId="0" applyNumberFormat="1" applyBorder="1" applyAlignment="1">
      <alignment horizontal="center" shrinkToFit="1"/>
    </xf>
    <xf numFmtId="0" fontId="0" fillId="0" borderId="39" xfId="0" applyBorder="1" applyAlignment="1">
      <alignment horizontal="center" shrinkToFit="1"/>
    </xf>
    <xf numFmtId="14" fontId="0" fillId="0" borderId="51" xfId="0" applyNumberFormat="1" applyBorder="1" applyAlignment="1">
      <alignment horizontal="center" shrinkToFit="1"/>
    </xf>
    <xf numFmtId="1" fontId="0" fillId="0" borderId="5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0" fontId="0" fillId="3" borderId="0" xfId="0" applyFill="1" applyAlignment="1">
      <alignment horizontal="center" vertical="center" shrinkToFit="1"/>
    </xf>
    <xf numFmtId="0" fontId="50" fillId="10" borderId="17" xfId="0" applyFont="1" applyFill="1" applyBorder="1" applyAlignment="1">
      <alignment horizontal="center"/>
    </xf>
    <xf numFmtId="0" fontId="50" fillId="10" borderId="19" xfId="0" applyFont="1" applyFill="1" applyBorder="1" applyAlignment="1">
      <alignment horizontal="center"/>
    </xf>
    <xf numFmtId="0" fontId="0" fillId="20" borderId="24" xfId="0" applyFill="1" applyBorder="1" applyAlignment="1">
      <alignment horizontal="center"/>
    </xf>
    <xf numFmtId="0" fontId="0" fillId="21" borderId="24" xfId="0" applyFill="1" applyBorder="1" applyAlignment="1">
      <alignment horizontal="center"/>
    </xf>
    <xf numFmtId="0" fontId="0" fillId="22" borderId="24" xfId="0" applyFill="1" applyBorder="1" applyAlignment="1">
      <alignment horizontal="center"/>
    </xf>
    <xf numFmtId="0" fontId="0" fillId="23" borderId="24" xfId="0" applyFill="1" applyBorder="1" applyAlignment="1">
      <alignment horizontal="center"/>
    </xf>
    <xf numFmtId="0" fontId="0" fillId="24" borderId="24" xfId="0" applyFill="1" applyBorder="1" applyAlignment="1">
      <alignment horizontal="center"/>
    </xf>
    <xf numFmtId="0" fontId="44" fillId="24" borderId="34" xfId="2" applyFill="1" applyBorder="1" applyAlignment="1" applyProtection="1">
      <alignment horizontal="center"/>
    </xf>
    <xf numFmtId="0" fontId="0" fillId="20" borderId="32" xfId="0" applyFill="1" applyBorder="1" applyAlignment="1">
      <alignment horizontal="center"/>
    </xf>
    <xf numFmtId="0" fontId="0" fillId="21" borderId="32" xfId="0" applyFill="1" applyBorder="1" applyAlignment="1">
      <alignment horizontal="center"/>
    </xf>
    <xf numFmtId="0" fontId="0" fillId="22" borderId="32" xfId="0" applyFill="1" applyBorder="1" applyAlignment="1">
      <alignment horizontal="center"/>
    </xf>
    <xf numFmtId="0" fontId="0" fillId="23" borderId="32" xfId="0" applyFill="1" applyBorder="1" applyAlignment="1">
      <alignment horizontal="center"/>
    </xf>
    <xf numFmtId="0" fontId="0" fillId="24" borderId="32" xfId="0" applyFill="1" applyBorder="1" applyAlignment="1">
      <alignment horizontal="center"/>
    </xf>
    <xf numFmtId="0" fontId="44" fillId="24" borderId="36" xfId="2" applyFill="1" applyBorder="1" applyAlignment="1" applyProtection="1">
      <alignment horizontal="center"/>
    </xf>
    <xf numFmtId="0" fontId="0" fillId="20" borderId="39" xfId="0" applyFill="1" applyBorder="1" applyAlignment="1">
      <alignment horizontal="center"/>
    </xf>
    <xf numFmtId="0" fontId="0" fillId="21" borderId="39" xfId="0" applyFill="1" applyBorder="1" applyAlignment="1">
      <alignment horizontal="center"/>
    </xf>
    <xf numFmtId="0" fontId="0" fillId="22" borderId="39" xfId="0" applyFill="1" applyBorder="1" applyAlignment="1">
      <alignment horizontal="center"/>
    </xf>
    <xf numFmtId="0" fontId="0" fillId="23" borderId="39" xfId="0" applyFill="1" applyBorder="1" applyAlignment="1">
      <alignment horizontal="center"/>
    </xf>
    <xf numFmtId="0" fontId="0" fillId="24" borderId="39" xfId="0" applyFill="1" applyBorder="1" applyAlignment="1">
      <alignment horizontal="center"/>
    </xf>
    <xf numFmtId="0" fontId="44" fillId="23" borderId="52" xfId="2" applyFill="1" applyBorder="1" applyAlignment="1" applyProtection="1">
      <alignment horizontal="center"/>
    </xf>
    <xf numFmtId="0" fontId="44" fillId="23" borderId="36" xfId="2" applyFill="1" applyBorder="1" applyAlignment="1" applyProtection="1">
      <alignment horizontal="center"/>
    </xf>
    <xf numFmtId="0" fontId="44" fillId="23" borderId="34" xfId="2" applyFill="1" applyBorder="1" applyAlignment="1" applyProtection="1">
      <alignment horizontal="center"/>
    </xf>
    <xf numFmtId="0" fontId="44" fillId="22" borderId="52" xfId="2" applyFill="1" applyBorder="1" applyAlignment="1" applyProtection="1">
      <alignment horizontal="center"/>
    </xf>
    <xf numFmtId="0" fontId="44" fillId="22" borderId="36" xfId="2" applyFill="1" applyBorder="1" applyAlignment="1" applyProtection="1">
      <alignment horizontal="center"/>
    </xf>
    <xf numFmtId="0" fontId="44" fillId="22" borderId="34" xfId="2" applyFill="1" applyBorder="1" applyAlignment="1" applyProtection="1">
      <alignment horizontal="center"/>
    </xf>
    <xf numFmtId="0" fontId="44" fillId="21" borderId="52" xfId="2" applyFill="1" applyBorder="1" applyAlignment="1" applyProtection="1">
      <alignment horizontal="center"/>
    </xf>
    <xf numFmtId="0" fontId="44" fillId="21" borderId="36" xfId="2" applyFill="1" applyBorder="1" applyAlignment="1" applyProtection="1">
      <alignment horizontal="center"/>
    </xf>
    <xf numFmtId="0" fontId="44" fillId="21" borderId="34" xfId="2" applyFill="1" applyBorder="1" applyAlignment="1" applyProtection="1">
      <alignment horizontal="center"/>
    </xf>
    <xf numFmtId="0" fontId="44" fillId="20" borderId="52" xfId="2" applyFill="1" applyBorder="1" applyAlignment="1" applyProtection="1">
      <alignment horizontal="center"/>
    </xf>
    <xf numFmtId="0" fontId="44" fillId="20" borderId="36" xfId="2" applyFill="1" applyBorder="1" applyAlignment="1" applyProtection="1">
      <alignment horizontal="center"/>
    </xf>
    <xf numFmtId="0" fontId="44" fillId="20" borderId="34" xfId="2" applyFill="1" applyBorder="1" applyAlignment="1" applyProtection="1">
      <alignment horizontal="center"/>
    </xf>
    <xf numFmtId="0" fontId="6" fillId="2" borderId="12" xfId="0" applyFont="1" applyFill="1" applyBorder="1" applyAlignment="1">
      <alignment shrinkToFit="1"/>
    </xf>
    <xf numFmtId="0" fontId="0" fillId="0" borderId="6" xfId="0" applyBorder="1" applyAlignment="1">
      <alignment horizontal="center" shrinkToFit="1"/>
    </xf>
    <xf numFmtId="0" fontId="56" fillId="10" borderId="11" xfId="2" applyFont="1" applyFill="1" applyBorder="1" applyAlignment="1" applyProtection="1">
      <alignment horizontal="center" vertical="center" shrinkToFit="1"/>
    </xf>
    <xf numFmtId="166" fontId="7" fillId="0" borderId="1" xfId="0" applyNumberFormat="1" applyFont="1" applyBorder="1" applyAlignment="1">
      <alignment horizontal="center" shrinkToFit="1"/>
    </xf>
    <xf numFmtId="1" fontId="0" fillId="2" borderId="9" xfId="0" applyNumberFormat="1" applyFill="1" applyBorder="1" applyAlignment="1">
      <alignment shrinkToFit="1"/>
    </xf>
    <xf numFmtId="1" fontId="3" fillId="17" borderId="29" xfId="0" applyNumberFormat="1" applyFont="1" applyFill="1" applyBorder="1" applyAlignment="1">
      <alignment horizontal="center" shrinkToFit="1"/>
    </xf>
    <xf numFmtId="1" fontId="0" fillId="2" borderId="3" xfId="0" applyNumberFormat="1" applyFill="1" applyBorder="1" applyAlignment="1">
      <alignment shrinkToFit="1"/>
    </xf>
    <xf numFmtId="1" fontId="0" fillId="3" borderId="0" xfId="0" applyNumberFormat="1" applyFill="1" applyAlignment="1">
      <alignment shrinkToFit="1"/>
    </xf>
    <xf numFmtId="1" fontId="7" fillId="0" borderId="1" xfId="0" applyNumberFormat="1" applyFont="1" applyBorder="1" applyAlignment="1">
      <alignment horizontal="center" shrinkToFit="1"/>
    </xf>
    <xf numFmtId="1" fontId="7" fillId="0" borderId="6" xfId="0" applyNumberFormat="1" applyFont="1" applyBorder="1" applyAlignment="1">
      <alignment horizontal="center" shrinkToFit="1"/>
    </xf>
    <xf numFmtId="1" fontId="5" fillId="0" borderId="1" xfId="0" applyNumberFormat="1" applyFont="1" applyBorder="1" applyAlignment="1">
      <alignment horizontal="center" shrinkToFit="1"/>
    </xf>
    <xf numFmtId="1" fontId="3" fillId="17" borderId="30" xfId="0" applyNumberFormat="1" applyFont="1" applyFill="1" applyBorder="1" applyAlignment="1">
      <alignment horizontal="center" shrinkToFit="1"/>
    </xf>
    <xf numFmtId="1" fontId="0" fillId="0" borderId="34" xfId="0" applyNumberFormat="1" applyBorder="1" applyAlignment="1">
      <alignment horizontal="center" shrinkToFit="1"/>
    </xf>
    <xf numFmtId="1" fontId="0" fillId="0" borderId="36" xfId="0" applyNumberFormat="1" applyBorder="1" applyAlignment="1">
      <alignment horizontal="center" shrinkToFit="1"/>
    </xf>
    <xf numFmtId="1" fontId="0" fillId="0" borderId="50" xfId="0" applyNumberFormat="1" applyBorder="1" applyAlignment="1">
      <alignment horizontal="center" shrinkToFit="1"/>
    </xf>
    <xf numFmtId="1" fontId="7" fillId="0" borderId="55" xfId="0" applyNumberFormat="1" applyFont="1" applyBorder="1" applyAlignment="1">
      <alignment horizontal="center" shrinkToFit="1"/>
    </xf>
    <xf numFmtId="1" fontId="7" fillId="0" borderId="36" xfId="0" applyNumberFormat="1" applyFont="1" applyBorder="1" applyAlignment="1">
      <alignment horizontal="center" shrinkToFit="1"/>
    </xf>
    <xf numFmtId="1" fontId="0" fillId="0" borderId="52" xfId="0" applyNumberFormat="1" applyBorder="1" applyAlignment="1">
      <alignment horizontal="center" shrinkToFit="1"/>
    </xf>
    <xf numFmtId="1" fontId="0" fillId="0" borderId="55" xfId="0" applyNumberFormat="1" applyBorder="1" applyAlignment="1">
      <alignment horizontal="center" shrinkToFit="1"/>
    </xf>
    <xf numFmtId="0" fontId="7" fillId="0" borderId="1" xfId="0" applyFont="1" applyBorder="1" applyAlignment="1">
      <alignment horizontal="center" shrinkToFit="1"/>
    </xf>
    <xf numFmtId="0" fontId="44" fillId="24" borderId="52" xfId="2" applyFill="1" applyBorder="1" applyAlignment="1" applyProtection="1">
      <alignment horizontal="center"/>
    </xf>
    <xf numFmtId="0" fontId="0" fillId="19" borderId="24" xfId="0" applyFill="1" applyBorder="1" applyAlignment="1">
      <alignment horizontal="center"/>
    </xf>
    <xf numFmtId="0" fontId="0" fillId="19" borderId="32" xfId="0" applyFill="1" applyBorder="1" applyAlignment="1">
      <alignment horizontal="center"/>
    </xf>
    <xf numFmtId="0" fontId="0" fillId="19" borderId="39" xfId="0" applyFill="1" applyBorder="1" applyAlignment="1">
      <alignment horizontal="center"/>
    </xf>
    <xf numFmtId="0" fontId="44" fillId="19" borderId="34" xfId="2" applyFill="1" applyBorder="1" applyAlignment="1" applyProtection="1">
      <alignment horizontal="center"/>
    </xf>
    <xf numFmtId="0" fontId="44" fillId="19" borderId="36" xfId="2" applyFill="1" applyBorder="1" applyAlignment="1" applyProtection="1">
      <alignment horizontal="center"/>
    </xf>
    <xf numFmtId="0" fontId="44" fillId="19" borderId="52" xfId="2" applyFill="1" applyBorder="1" applyAlignment="1" applyProtection="1">
      <alignment horizontal="center"/>
    </xf>
    <xf numFmtId="0" fontId="0" fillId="20" borderId="1" xfId="0" applyFill="1" applyBorder="1" applyAlignment="1">
      <alignment horizontal="center"/>
    </xf>
    <xf numFmtId="0" fontId="44" fillId="24" borderId="1" xfId="2" applyFill="1" applyBorder="1" applyAlignment="1" applyProtection="1">
      <alignment horizontal="center" vertical="center"/>
    </xf>
    <xf numFmtId="0" fontId="0" fillId="0" borderId="49" xfId="0" applyBorder="1" applyAlignment="1">
      <alignment horizontal="center" shrinkToFit="1"/>
    </xf>
    <xf numFmtId="166" fontId="0" fillId="0" borderId="2" xfId="0" applyNumberFormat="1" applyBorder="1" applyAlignment="1">
      <alignment horizontal="center" shrinkToFit="1"/>
    </xf>
    <xf numFmtId="0" fontId="0" fillId="2" borderId="14" xfId="0" applyFill="1" applyBorder="1" applyAlignment="1">
      <alignment shrinkToFit="1"/>
    </xf>
    <xf numFmtId="1" fontId="0" fillId="2" borderId="14" xfId="0" applyNumberFormat="1" applyFill="1" applyBorder="1" applyAlignment="1">
      <alignment shrinkToFit="1"/>
    </xf>
    <xf numFmtId="0" fontId="44" fillId="0" borderId="1" xfId="2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44" fillId="0" borderId="1" xfId="2" applyFill="1" applyBorder="1" applyAlignment="1" applyProtection="1">
      <alignment horizontal="center" vertical="center"/>
    </xf>
    <xf numFmtId="0" fontId="0" fillId="2" borderId="0" xfId="0" applyFill="1" applyAlignment="1">
      <alignment horizontal="center"/>
    </xf>
    <xf numFmtId="0" fontId="1" fillId="6" borderId="3" xfId="0" applyFont="1" applyFill="1" applyBorder="1" applyAlignment="1">
      <alignment horizontal="center" vertical="center"/>
    </xf>
    <xf numFmtId="0" fontId="2" fillId="7" borderId="0" xfId="0" applyFont="1" applyFill="1"/>
    <xf numFmtId="0" fontId="0" fillId="2" borderId="1" xfId="0" applyFill="1" applyBorder="1" applyAlignment="1">
      <alignment horizontal="center"/>
    </xf>
    <xf numFmtId="0" fontId="2" fillId="7" borderId="1" xfId="0" applyFont="1" applyFill="1" applyBorder="1"/>
    <xf numFmtId="0" fontId="2" fillId="11" borderId="1" xfId="0" applyFont="1" applyFill="1" applyBorder="1"/>
    <xf numFmtId="0" fontId="1" fillId="6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19" fillId="11" borderId="1" xfId="0" applyFont="1" applyFill="1" applyBorder="1" applyAlignment="1">
      <alignment horizontal="center"/>
    </xf>
    <xf numFmtId="0" fontId="19" fillId="7" borderId="1" xfId="0" applyFont="1" applyFill="1" applyBorder="1" applyAlignment="1">
      <alignment horizontal="center"/>
    </xf>
    <xf numFmtId="0" fontId="36" fillId="6" borderId="1" xfId="0" applyFont="1" applyFill="1" applyBorder="1" applyAlignment="1">
      <alignment horizontal="center" vertical="center"/>
    </xf>
    <xf numFmtId="17" fontId="19" fillId="11" borderId="1" xfId="0" applyNumberFormat="1" applyFont="1" applyFill="1" applyBorder="1" applyAlignment="1">
      <alignment horizontal="center"/>
    </xf>
    <xf numFmtId="0" fontId="48" fillId="0" borderId="13" xfId="2" applyNumberFormat="1" applyFont="1" applyBorder="1" applyAlignment="1" applyProtection="1">
      <alignment horizontal="center" shrinkToFit="1"/>
    </xf>
    <xf numFmtId="0" fontId="42" fillId="0" borderId="14" xfId="0" applyFont="1" applyBorder="1" applyAlignment="1">
      <alignment horizontal="center" shrinkToFit="1"/>
    </xf>
    <xf numFmtId="0" fontId="42" fillId="0" borderId="15" xfId="0" applyFont="1" applyBorder="1" applyAlignment="1">
      <alignment horizontal="center" shrinkToFit="1"/>
    </xf>
    <xf numFmtId="0" fontId="1" fillId="13" borderId="13" xfId="0" applyFont="1" applyFill="1" applyBorder="1" applyAlignment="1">
      <alignment horizontal="center" vertical="center" shrinkToFit="1"/>
    </xf>
    <xf numFmtId="0" fontId="1" fillId="13" borderId="14" xfId="0" applyFont="1" applyFill="1" applyBorder="1" applyAlignment="1">
      <alignment horizontal="center" vertical="center" shrinkToFit="1"/>
    </xf>
    <xf numFmtId="0" fontId="1" fillId="13" borderId="15" xfId="0" applyFont="1" applyFill="1" applyBorder="1" applyAlignment="1">
      <alignment horizontal="center" vertical="center" shrinkToFit="1"/>
    </xf>
    <xf numFmtId="165" fontId="2" fillId="7" borderId="13" xfId="0" applyNumberFormat="1" applyFont="1" applyFill="1" applyBorder="1" applyAlignment="1">
      <alignment horizontal="center" shrinkToFit="1"/>
    </xf>
    <xf numFmtId="165" fontId="2" fillId="7" borderId="14" xfId="0" applyNumberFormat="1" applyFont="1" applyFill="1" applyBorder="1" applyAlignment="1">
      <alignment horizontal="center" shrinkToFit="1"/>
    </xf>
    <xf numFmtId="165" fontId="2" fillId="7" borderId="15" xfId="0" applyNumberFormat="1" applyFont="1" applyFill="1" applyBorder="1" applyAlignment="1">
      <alignment horizontal="center" shrinkToFit="1"/>
    </xf>
    <xf numFmtId="0" fontId="2" fillId="14" borderId="13" xfId="0" applyFont="1" applyFill="1" applyBorder="1" applyAlignment="1">
      <alignment horizontal="center" shrinkToFit="1"/>
    </xf>
    <xf numFmtId="0" fontId="2" fillId="14" borderId="14" xfId="0" applyFont="1" applyFill="1" applyBorder="1" applyAlignment="1">
      <alignment horizontal="center" shrinkToFit="1"/>
    </xf>
    <xf numFmtId="0" fontId="2" fillId="14" borderId="15" xfId="0" applyFont="1" applyFill="1" applyBorder="1" applyAlignment="1">
      <alignment horizontal="center" shrinkToFit="1"/>
    </xf>
    <xf numFmtId="0" fontId="48" fillId="0" borderId="44" xfId="2" applyNumberFormat="1" applyFont="1" applyBorder="1" applyAlignment="1" applyProtection="1">
      <alignment horizontal="center" shrinkToFit="1"/>
    </xf>
    <xf numFmtId="0" fontId="42" fillId="0" borderId="3" xfId="0" applyFont="1" applyBorder="1" applyAlignment="1">
      <alignment horizontal="center" shrinkToFit="1"/>
    </xf>
    <xf numFmtId="0" fontId="42" fillId="0" borderId="47" xfId="0" applyFont="1" applyBorder="1" applyAlignment="1">
      <alignment horizontal="center" shrinkToFit="1"/>
    </xf>
    <xf numFmtId="2" fontId="6" fillId="18" borderId="23" xfId="0" applyNumberFormat="1" applyFont="1" applyFill="1" applyBorder="1" applyAlignment="1">
      <alignment horizontal="center" vertical="center" shrinkToFit="1"/>
    </xf>
    <xf numFmtId="2" fontId="6" fillId="18" borderId="38" xfId="0" applyNumberFormat="1" applyFont="1" applyFill="1" applyBorder="1" applyAlignment="1">
      <alignment horizontal="center" vertical="center" shrinkToFit="1"/>
    </xf>
    <xf numFmtId="0" fontId="6" fillId="18" borderId="24" xfId="0" applyFont="1" applyFill="1" applyBorder="1" applyAlignment="1">
      <alignment horizontal="center" vertical="center" shrinkToFit="1"/>
    </xf>
    <xf numFmtId="0" fontId="6" fillId="18" borderId="39" xfId="0" applyFont="1" applyFill="1" applyBorder="1" applyAlignment="1">
      <alignment horizontal="center" vertical="center" shrinkToFit="1"/>
    </xf>
    <xf numFmtId="0" fontId="46" fillId="10" borderId="8" xfId="0" applyFont="1" applyFill="1" applyBorder="1" applyAlignment="1">
      <alignment horizontal="center" vertical="center" shrinkToFit="1"/>
    </xf>
    <xf numFmtId="0" fontId="46" fillId="10" borderId="9" xfId="0" applyFont="1" applyFill="1" applyBorder="1" applyAlignment="1">
      <alignment horizontal="center" vertical="center" shrinkToFit="1"/>
    </xf>
    <xf numFmtId="0" fontId="46" fillId="10" borderId="41" xfId="0" applyFont="1" applyFill="1" applyBorder="1" applyAlignment="1">
      <alignment horizontal="center" vertical="center" shrinkToFit="1"/>
    </xf>
    <xf numFmtId="0" fontId="46" fillId="10" borderId="12" xfId="0" applyFont="1" applyFill="1" applyBorder="1" applyAlignment="1">
      <alignment horizontal="center" vertical="center" shrinkToFit="1"/>
    </xf>
    <xf numFmtId="0" fontId="46" fillId="10" borderId="0" xfId="0" applyFont="1" applyFill="1" applyAlignment="1">
      <alignment horizontal="center" vertical="center" shrinkToFit="1"/>
    </xf>
    <xf numFmtId="0" fontId="46" fillId="10" borderId="43" xfId="0" applyFont="1" applyFill="1" applyBorder="1" applyAlignment="1">
      <alignment horizontal="center" vertical="center" shrinkToFit="1"/>
    </xf>
    <xf numFmtId="0" fontId="46" fillId="10" borderId="44" xfId="0" applyFont="1" applyFill="1" applyBorder="1" applyAlignment="1">
      <alignment horizontal="center" vertical="center" shrinkToFit="1"/>
    </xf>
    <xf numFmtId="0" fontId="46" fillId="10" borderId="3" xfId="0" applyFont="1" applyFill="1" applyBorder="1" applyAlignment="1">
      <alignment horizontal="center" vertical="center" shrinkToFit="1"/>
    </xf>
    <xf numFmtId="0" fontId="46" fillId="10" borderId="45" xfId="0" applyFont="1" applyFill="1" applyBorder="1" applyAlignment="1">
      <alignment horizontal="center" vertical="center" shrinkToFit="1"/>
    </xf>
    <xf numFmtId="10" fontId="47" fillId="13" borderId="42" xfId="0" applyNumberFormat="1" applyFont="1" applyFill="1" applyBorder="1" applyAlignment="1">
      <alignment horizontal="center" vertical="center" shrinkToFit="1"/>
    </xf>
    <xf numFmtId="10" fontId="47" fillId="13" borderId="9" xfId="0" applyNumberFormat="1" applyFont="1" applyFill="1" applyBorder="1" applyAlignment="1">
      <alignment horizontal="center" vertical="center" shrinkToFit="1"/>
    </xf>
    <xf numFmtId="10" fontId="47" fillId="13" borderId="10" xfId="0" applyNumberFormat="1" applyFont="1" applyFill="1" applyBorder="1" applyAlignment="1">
      <alignment horizontal="center" vertical="center" shrinkToFit="1"/>
    </xf>
    <xf numFmtId="10" fontId="47" fillId="13" borderId="7" xfId="0" applyNumberFormat="1" applyFont="1" applyFill="1" applyBorder="1" applyAlignment="1">
      <alignment horizontal="center" vertical="center" shrinkToFit="1"/>
    </xf>
    <xf numFmtId="10" fontId="47" fillId="13" borderId="0" xfId="0" applyNumberFormat="1" applyFont="1" applyFill="1" applyAlignment="1">
      <alignment horizontal="center" vertical="center" shrinkToFit="1"/>
    </xf>
    <xf numFmtId="10" fontId="47" fillId="13" borderId="16" xfId="0" applyNumberFormat="1" applyFont="1" applyFill="1" applyBorder="1" applyAlignment="1">
      <alignment horizontal="center" vertical="center" shrinkToFit="1"/>
    </xf>
    <xf numFmtId="10" fontId="47" fillId="13" borderId="46" xfId="0" applyNumberFormat="1" applyFont="1" applyFill="1" applyBorder="1" applyAlignment="1">
      <alignment horizontal="center" vertical="center" shrinkToFit="1"/>
    </xf>
    <xf numFmtId="10" fontId="47" fillId="13" borderId="3" xfId="0" applyNumberFormat="1" applyFont="1" applyFill="1" applyBorder="1" applyAlignment="1">
      <alignment horizontal="center" vertical="center" shrinkToFit="1"/>
    </xf>
    <xf numFmtId="10" fontId="47" fillId="13" borderId="47" xfId="0" applyNumberFormat="1" applyFont="1" applyFill="1" applyBorder="1" applyAlignment="1">
      <alignment horizontal="center" vertical="center" shrinkToFit="1"/>
    </xf>
    <xf numFmtId="0" fontId="6" fillId="18" borderId="27" xfId="0" applyFont="1" applyFill="1" applyBorder="1" applyAlignment="1">
      <alignment horizontal="center" vertical="center" shrinkToFit="1"/>
    </xf>
    <xf numFmtId="0" fontId="6" fillId="18" borderId="40" xfId="0" applyFont="1" applyFill="1" applyBorder="1" applyAlignment="1">
      <alignment horizontal="center" vertical="center" shrinkToFit="1"/>
    </xf>
    <xf numFmtId="10" fontId="6" fillId="16" borderId="27" xfId="1" applyNumberFormat="1" applyFont="1" applyFill="1" applyBorder="1" applyAlignment="1">
      <alignment horizontal="center" vertical="center" shrinkToFit="1"/>
    </xf>
    <xf numFmtId="10" fontId="6" fillId="16" borderId="40" xfId="1" applyNumberFormat="1" applyFont="1" applyFill="1" applyBorder="1" applyAlignment="1">
      <alignment horizontal="center" vertical="center" shrinkToFit="1"/>
    </xf>
    <xf numFmtId="10" fontId="6" fillId="16" borderId="33" xfId="1" applyNumberFormat="1" applyFont="1" applyFill="1" applyBorder="1" applyAlignment="1">
      <alignment horizontal="center" vertical="center" shrinkToFit="1"/>
    </xf>
    <xf numFmtId="2" fontId="45" fillId="15" borderId="31" xfId="2" applyNumberFormat="1" applyFont="1" applyFill="1" applyBorder="1" applyAlignment="1" applyProtection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8" fillId="9" borderId="19" xfId="0" applyFont="1" applyFill="1" applyBorder="1" applyAlignment="1">
      <alignment horizontal="center" vertical="center" shrinkToFit="1"/>
    </xf>
    <xf numFmtId="0" fontId="8" fillId="9" borderId="22" xfId="0" applyFont="1" applyFill="1" applyBorder="1" applyAlignment="1">
      <alignment horizontal="center" vertical="center" shrinkToFit="1"/>
    </xf>
    <xf numFmtId="2" fontId="45" fillId="15" borderId="23" xfId="2" applyNumberFormat="1" applyFont="1" applyFill="1" applyBorder="1" applyAlignment="1" applyProtection="1">
      <alignment horizontal="center" vertical="center" shrinkToFit="1"/>
    </xf>
    <xf numFmtId="0" fontId="6" fillId="0" borderId="24" xfId="0" applyFont="1" applyBorder="1" applyAlignment="1">
      <alignment horizontal="center" vertical="center" shrinkToFit="1"/>
    </xf>
    <xf numFmtId="0" fontId="6" fillId="0" borderId="25" xfId="0" applyFont="1" applyBorder="1" applyAlignment="1">
      <alignment horizontal="center" vertical="center" shrinkToFit="1"/>
    </xf>
    <xf numFmtId="0" fontId="6" fillId="0" borderId="26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2" fontId="15" fillId="9" borderId="17" xfId="0" applyNumberFormat="1" applyFont="1" applyFill="1" applyBorder="1" applyAlignment="1">
      <alignment horizontal="center" vertical="center" shrinkToFit="1"/>
    </xf>
    <xf numFmtId="2" fontId="15" fillId="9" borderId="20" xfId="0" applyNumberFormat="1" applyFont="1" applyFill="1" applyBorder="1" applyAlignment="1">
      <alignment horizontal="center" vertical="center" shrinkToFit="1"/>
    </xf>
    <xf numFmtId="0" fontId="15" fillId="9" borderId="18" xfId="0" applyFont="1" applyFill="1" applyBorder="1" applyAlignment="1">
      <alignment horizontal="center" vertical="center" shrinkToFit="1"/>
    </xf>
    <xf numFmtId="0" fontId="15" fillId="9" borderId="21" xfId="0" applyFont="1" applyFill="1" applyBorder="1" applyAlignment="1">
      <alignment horizontal="center" vertical="center" shrinkToFit="1"/>
    </xf>
    <xf numFmtId="2" fontId="44" fillId="15" borderId="31" xfId="2" applyNumberFormat="1" applyFill="1" applyBorder="1" applyAlignment="1" applyProtection="1">
      <alignment horizontal="center" vertical="center" shrinkToFit="1"/>
    </xf>
    <xf numFmtId="2" fontId="44" fillId="15" borderId="23" xfId="2" applyNumberFormat="1" applyFill="1" applyBorder="1" applyAlignment="1" applyProtection="1">
      <alignment horizontal="center" vertical="center" shrinkToFit="1"/>
    </xf>
    <xf numFmtId="2" fontId="44" fillId="15" borderId="56" xfId="2" applyNumberFormat="1" applyFill="1" applyBorder="1" applyAlignment="1" applyProtection="1">
      <alignment horizontal="center" vertical="center" shrinkToFit="1"/>
    </xf>
    <xf numFmtId="2" fontId="44" fillId="15" borderId="57" xfId="2" applyNumberFormat="1" applyFill="1" applyBorder="1" applyAlignment="1" applyProtection="1">
      <alignment horizontal="center" vertical="center" shrinkToFit="1"/>
    </xf>
    <xf numFmtId="0" fontId="6" fillId="0" borderId="50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vertical="center" shrinkToFit="1"/>
    </xf>
    <xf numFmtId="0" fontId="44" fillId="0" borderId="13" xfId="2" applyNumberFormat="1" applyBorder="1" applyAlignment="1" applyProtection="1">
      <alignment horizont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18" borderId="58" xfId="0" applyFont="1" applyFill="1" applyBorder="1" applyAlignment="1">
      <alignment horizontal="center" vertical="center" shrinkToFit="1"/>
    </xf>
    <xf numFmtId="0" fontId="6" fillId="18" borderId="53" xfId="0" applyFont="1" applyFill="1" applyBorder="1" applyAlignment="1">
      <alignment horizontal="center" vertical="center" shrinkToFit="1"/>
    </xf>
    <xf numFmtId="0" fontId="44" fillId="0" borderId="44" xfId="2" applyNumberFormat="1" applyBorder="1" applyAlignment="1" applyProtection="1">
      <alignment horizontal="center" shrinkToFit="1"/>
    </xf>
    <xf numFmtId="0" fontId="6" fillId="0" borderId="49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60" xfId="0" applyFont="1" applyBorder="1" applyAlignment="1">
      <alignment horizontal="center" vertical="center" shrinkToFit="1"/>
    </xf>
    <xf numFmtId="2" fontId="6" fillId="18" borderId="58" xfId="0" applyNumberFormat="1" applyFont="1" applyFill="1" applyBorder="1" applyAlignment="1">
      <alignment horizontal="center" vertical="center" shrinkToFit="1"/>
    </xf>
    <xf numFmtId="2" fontId="6" fillId="18" borderId="53" xfId="0" applyNumberFormat="1" applyFont="1" applyFill="1" applyBorder="1" applyAlignment="1">
      <alignment horizontal="center" vertical="center" shrinkToFit="1"/>
    </xf>
    <xf numFmtId="10" fontId="6" fillId="16" borderId="58" xfId="1" applyNumberFormat="1" applyFont="1" applyFill="1" applyBorder="1" applyAlignment="1">
      <alignment horizontal="center" vertical="center" shrinkToFit="1"/>
    </xf>
    <xf numFmtId="10" fontId="6" fillId="16" borderId="53" xfId="1" applyNumberFormat="1" applyFont="1" applyFill="1" applyBorder="1" applyAlignment="1">
      <alignment horizontal="center" vertical="center" shrinkToFit="1"/>
    </xf>
    <xf numFmtId="10" fontId="6" fillId="16" borderId="56" xfId="1" applyNumberFormat="1" applyFont="1" applyFill="1" applyBorder="1" applyAlignment="1">
      <alignment horizontal="center" vertical="center" shrinkToFit="1"/>
    </xf>
    <xf numFmtId="2" fontId="44" fillId="15" borderId="53" xfId="2" applyNumberFormat="1" applyFill="1" applyBorder="1" applyAlignment="1" applyProtection="1">
      <alignment horizontal="center" vertical="center" shrinkToFit="1"/>
    </xf>
    <xf numFmtId="0" fontId="6" fillId="0" borderId="48" xfId="0" applyFont="1" applyBorder="1" applyAlignment="1">
      <alignment horizontal="center" vertical="center" shrinkToFit="1"/>
    </xf>
    <xf numFmtId="0" fontId="6" fillId="0" borderId="59" xfId="0" applyFont="1" applyBorder="1" applyAlignment="1">
      <alignment horizontal="center" vertical="center" shrinkToFit="1"/>
    </xf>
    <xf numFmtId="0" fontId="53" fillId="8" borderId="9" xfId="0" applyFont="1" applyFill="1" applyBorder="1" applyAlignment="1">
      <alignment horizontal="center" vertical="center"/>
    </xf>
    <xf numFmtId="0" fontId="53" fillId="8" borderId="10" xfId="0" applyFont="1" applyFill="1" applyBorder="1" applyAlignment="1">
      <alignment horizontal="center" vertical="center"/>
    </xf>
    <xf numFmtId="0" fontId="53" fillId="8" borderId="3" xfId="0" applyFont="1" applyFill="1" applyBorder="1" applyAlignment="1">
      <alignment horizontal="center" vertical="center"/>
    </xf>
    <xf numFmtId="0" fontId="53" fillId="8" borderId="47" xfId="0" applyFont="1" applyFill="1" applyBorder="1" applyAlignment="1">
      <alignment horizontal="center" vertical="center"/>
    </xf>
    <xf numFmtId="0" fontId="54" fillId="8" borderId="9" xfId="0" applyFont="1" applyFill="1" applyBorder="1" applyAlignment="1">
      <alignment horizontal="center" vertical="center"/>
    </xf>
    <xf numFmtId="0" fontId="54" fillId="8" borderId="3" xfId="0" applyFont="1" applyFill="1" applyBorder="1" applyAlignment="1">
      <alignment horizontal="center" vertical="center"/>
    </xf>
    <xf numFmtId="0" fontId="52" fillId="15" borderId="8" xfId="0" applyFont="1" applyFill="1" applyBorder="1" applyAlignment="1">
      <alignment horizontal="center" vertical="center"/>
    </xf>
    <xf numFmtId="0" fontId="52" fillId="15" borderId="9" xfId="0" applyFont="1" applyFill="1" applyBorder="1" applyAlignment="1">
      <alignment horizontal="center" vertical="center"/>
    </xf>
    <xf numFmtId="0" fontId="52" fillId="15" borderId="10" xfId="0" applyFont="1" applyFill="1" applyBorder="1" applyAlignment="1">
      <alignment horizontal="center" vertical="center"/>
    </xf>
    <xf numFmtId="0" fontId="52" fillId="15" borderId="12" xfId="0" applyFont="1" applyFill="1" applyBorder="1" applyAlignment="1">
      <alignment horizontal="center" vertical="center"/>
    </xf>
    <xf numFmtId="0" fontId="52" fillId="15" borderId="0" xfId="0" applyFont="1" applyFill="1" applyAlignment="1">
      <alignment horizontal="center" vertical="center"/>
    </xf>
    <xf numFmtId="0" fontId="52" fillId="15" borderId="16" xfId="0" applyFont="1" applyFill="1" applyBorder="1" applyAlignment="1">
      <alignment horizontal="center" vertical="center"/>
    </xf>
    <xf numFmtId="0" fontId="52" fillId="15" borderId="44" xfId="0" applyFont="1" applyFill="1" applyBorder="1" applyAlignment="1">
      <alignment horizontal="center" vertical="center"/>
    </xf>
    <xf numFmtId="0" fontId="52" fillId="15" borderId="3" xfId="0" applyFont="1" applyFill="1" applyBorder="1" applyAlignment="1">
      <alignment horizontal="center" vertical="center"/>
    </xf>
    <xf numFmtId="0" fontId="52" fillId="15" borderId="47" xfId="0" applyFont="1" applyFill="1" applyBorder="1" applyAlignment="1">
      <alignment horizontal="center" vertical="center"/>
    </xf>
    <xf numFmtId="0" fontId="51" fillId="19" borderId="8" xfId="0" applyFont="1" applyFill="1" applyBorder="1" applyAlignment="1">
      <alignment horizontal="center" vertical="center"/>
    </xf>
    <xf numFmtId="0" fontId="51" fillId="19" borderId="9" xfId="0" applyFont="1" applyFill="1" applyBorder="1" applyAlignment="1">
      <alignment horizontal="center" vertical="center"/>
    </xf>
    <xf numFmtId="0" fontId="51" fillId="19" borderId="10" xfId="0" applyFont="1" applyFill="1" applyBorder="1" applyAlignment="1">
      <alignment horizontal="center" vertical="center"/>
    </xf>
    <xf numFmtId="0" fontId="51" fillId="19" borderId="12" xfId="0" applyFont="1" applyFill="1" applyBorder="1" applyAlignment="1">
      <alignment horizontal="center" vertical="center"/>
    </xf>
    <xf numFmtId="0" fontId="51" fillId="19" borderId="0" xfId="0" applyFont="1" applyFill="1" applyAlignment="1">
      <alignment horizontal="center" vertical="center"/>
    </xf>
    <xf numFmtId="0" fontId="51" fillId="19" borderId="16" xfId="0" applyFont="1" applyFill="1" applyBorder="1" applyAlignment="1">
      <alignment horizontal="center" vertical="center"/>
    </xf>
    <xf numFmtId="0" fontId="51" fillId="19" borderId="44" xfId="0" applyFont="1" applyFill="1" applyBorder="1" applyAlignment="1">
      <alignment horizontal="center" vertical="center"/>
    </xf>
    <xf numFmtId="0" fontId="51" fillId="19" borderId="3" xfId="0" applyFont="1" applyFill="1" applyBorder="1" applyAlignment="1">
      <alignment horizontal="center" vertical="center"/>
    </xf>
    <xf numFmtId="0" fontId="51" fillId="19" borderId="47" xfId="0" applyFont="1" applyFill="1" applyBorder="1" applyAlignment="1">
      <alignment horizontal="center" vertical="center"/>
    </xf>
    <xf numFmtId="0" fontId="53" fillId="8" borderId="8" xfId="0" applyFont="1" applyFill="1" applyBorder="1" applyAlignment="1">
      <alignment horizontal="center" vertical="center"/>
    </xf>
    <xf numFmtId="0" fontId="53" fillId="8" borderId="44" xfId="0" applyFont="1" applyFill="1" applyBorder="1" applyAlignment="1">
      <alignment horizontal="center" vertical="center"/>
    </xf>
  </cellXfs>
  <cellStyles count="5">
    <cellStyle name="Excel Built-in Normal" xfId="3" xr:uid="{00000000-0005-0000-0000-000000000000}"/>
    <cellStyle name="Hyperlink" xfId="2" builtinId="8"/>
    <cellStyle name="Normal" xfId="0" builtinId="0"/>
    <cellStyle name="Normal 2" xfId="4" xr:uid="{00000000-0005-0000-0000-000003000000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JULY 2017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APRIL-2018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AY-2018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JUNE-2018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JULY-2018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AUGUST-2018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SEP-2018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OCT -2018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NOV-2018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NOV-2018'!A1"/><Relationship Id="rId1" Type="http://schemas.openxmlformats.org/officeDocument/2006/relationships/hyperlink" Target="#'DEC-2018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NOV-2018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UG-2017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FEB-2019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FEB-2019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APRIL 2019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AY 2019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AY 2019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AY 2019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AUGUST 2019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SEP 2019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OCT 2019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NOV 2019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SEP-2017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DEC 2019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JAN 2020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FEB 2020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ARCH 2020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APRIL 2020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MAY 2020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JUNE 2020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JULY 2020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0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SEP 2020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OCT-2017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OCT 2020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NOV 2020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DEC 2020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JAN 2021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FEB 2021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MARCH 2021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APRIL 2021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APRIL 2021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JUNE 2021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JUNE 2021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NOV-2017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1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SEP 2021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OCT 2021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NOV 2021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DEC 2021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JAN 2022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FEB -2022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MARCH -2022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APRIL 2022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MAY 2022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DEC 2017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MAY 2022'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'JULY 2022'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'JULY 2022'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SEP 2022'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OCT 2022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OCT 2022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OCT 2022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JAN 2023'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JAN 2018'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JULY 2023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3'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3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'AUGUST 2023'!A1"/><Relationship Id="rId1" Type="http://schemas.openxmlformats.org/officeDocument/2006/relationships/hyperlink" Target="#'OCT 2023'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'NOV 2023'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DEC 2023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DEC 2023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FEB 2018'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FEB 2024'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'MARCH 2024'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'APRIL 2024'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'MAY 2024'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'MAY 2024'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'JULY 2024'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4'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'SEP 2024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'OCT 2024'!A1"/><Relationship Id="rId1" Type="http://schemas.openxmlformats.org/officeDocument/2006/relationships/hyperlink" Target="#'SEP 2024'!A1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'NOV 2024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CH 2018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'NOV 2024'!A1"/><Relationship Id="rId1" Type="http://schemas.openxmlformats.org/officeDocument/2006/relationships/hyperlink" Target="#'DEC 2024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hyperlink" Target="#'NOV 2024'!A1"/><Relationship Id="rId1" Type="http://schemas.openxmlformats.org/officeDocument/2006/relationships/hyperlink" Target="#'JAN 2025'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'FEB 2025'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'FEB 2025'!A1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'FEB 2025'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'MAY 2025'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'MAY 2025'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'JULY 2025'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8" name="Up Arrow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SpPr/>
      </xdr:nvSpPr>
      <xdr:spPr>
        <a:xfrm>
          <a:off x="7762875" y="702945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64</xdr:row>
      <xdr:rowOff>0</xdr:rowOff>
    </xdr:from>
    <xdr:to>
      <xdr:col>12</xdr:col>
      <xdr:colOff>704850</xdr:colOff>
      <xdr:row>65</xdr:row>
      <xdr:rowOff>190500</xdr:rowOff>
    </xdr:to>
    <xdr:sp macro="" textlink="">
      <xdr:nvSpPr>
        <xdr:cNvPr id="9" name="Up Arrow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SpPr/>
      </xdr:nvSpPr>
      <xdr:spPr>
        <a:xfrm>
          <a:off x="7762875" y="138398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78390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78390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78390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78390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78390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/>
      </xdr:nvSpPr>
      <xdr:spPr>
        <a:xfrm>
          <a:off x="78390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70</xdr:row>
      <xdr:rowOff>0</xdr:rowOff>
    </xdr:from>
    <xdr:to>
      <xdr:col>12</xdr:col>
      <xdr:colOff>704850</xdr:colOff>
      <xdr:row>71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78390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39</xdr:row>
      <xdr:rowOff>0</xdr:rowOff>
    </xdr:from>
    <xdr:to>
      <xdr:col>12</xdr:col>
      <xdr:colOff>704850</xdr:colOff>
      <xdr:row>40</xdr:row>
      <xdr:rowOff>190500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/>
      </xdr:nvSpPr>
      <xdr:spPr>
        <a:xfrm>
          <a:off x="78390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78390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/>
      </xdr:nvSpPr>
      <xdr:spPr>
        <a:xfrm>
          <a:off x="78390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7762875" y="136112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/>
      </xdr:nvSpPr>
      <xdr:spPr>
        <a:xfrm>
          <a:off x="7762875" y="699135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6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121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121</xdr:row>
      <xdr:rowOff>190500</xdr:rowOff>
    </xdr:to>
    <xdr:sp macro="" textlink="">
      <xdr:nvSpPr>
        <xdr:cNvPr id="4" name="Up Arrow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SpPr/>
      </xdr:nvSpPr>
      <xdr:spPr>
        <a:xfrm>
          <a:off x="7629525" y="253841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95</xdr:row>
      <xdr:rowOff>0</xdr:rowOff>
    </xdr:from>
    <xdr:to>
      <xdr:col>12</xdr:col>
      <xdr:colOff>704850</xdr:colOff>
      <xdr:row>96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127</xdr:row>
      <xdr:rowOff>0</xdr:rowOff>
    </xdr:from>
    <xdr:to>
      <xdr:col>12</xdr:col>
      <xdr:colOff>704850</xdr:colOff>
      <xdr:row>128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4000000}"/>
            </a:ext>
          </a:extLst>
        </xdr:cNvPr>
        <xdr:cNvSpPr/>
      </xdr:nvSpPr>
      <xdr:spPr>
        <a:xfrm>
          <a:off x="7629525" y="253841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/>
      </xdr:nvSpPr>
      <xdr:spPr>
        <a:xfrm>
          <a:off x="7781925" y="199072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3000000}"/>
            </a:ext>
          </a:extLst>
        </xdr:cNvPr>
        <xdr:cNvSpPr/>
      </xdr:nvSpPr>
      <xdr:spPr>
        <a:xfrm>
          <a:off x="77819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140</xdr:row>
      <xdr:rowOff>0</xdr:rowOff>
    </xdr:from>
    <xdr:to>
      <xdr:col>12</xdr:col>
      <xdr:colOff>704850</xdr:colOff>
      <xdr:row>141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4000000}"/>
            </a:ext>
          </a:extLst>
        </xdr:cNvPr>
        <xdr:cNvSpPr/>
      </xdr:nvSpPr>
      <xdr:spPr>
        <a:xfrm>
          <a:off x="7781925" y="26717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/>
      </xdr:nvSpPr>
      <xdr:spPr>
        <a:xfrm>
          <a:off x="7781925" y="20478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SpPr/>
      </xdr:nvSpPr>
      <xdr:spPr>
        <a:xfrm>
          <a:off x="7781925" y="106203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140</xdr:row>
      <xdr:rowOff>0</xdr:rowOff>
    </xdr:from>
    <xdr:to>
      <xdr:col>12</xdr:col>
      <xdr:colOff>704850</xdr:colOff>
      <xdr:row>141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4000000}"/>
            </a:ext>
          </a:extLst>
        </xdr:cNvPr>
        <xdr:cNvSpPr/>
      </xdr:nvSpPr>
      <xdr:spPr>
        <a:xfrm>
          <a:off x="7781925" y="26717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/>
      </xdr:nvSpPr>
      <xdr:spPr>
        <a:xfrm>
          <a:off x="7562850" y="20478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SpPr/>
      </xdr:nvSpPr>
      <xdr:spPr>
        <a:xfrm>
          <a:off x="7562850" y="106203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140</xdr:row>
      <xdr:rowOff>0</xdr:rowOff>
    </xdr:from>
    <xdr:to>
      <xdr:col>12</xdr:col>
      <xdr:colOff>704850</xdr:colOff>
      <xdr:row>141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4000000}"/>
            </a:ext>
          </a:extLst>
        </xdr:cNvPr>
        <xdr:cNvSpPr/>
      </xdr:nvSpPr>
      <xdr:spPr>
        <a:xfrm>
          <a:off x="7562850" y="26717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CDE506-832F-41A4-8132-CD3AFCB1B17B}"/>
            </a:ext>
          </a:extLst>
        </xdr:cNvPr>
        <xdr:cNvSpPr/>
      </xdr:nvSpPr>
      <xdr:spPr>
        <a:xfrm>
          <a:off x="7772400" y="210235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D34B95-9F0F-4394-A892-B57932DA1D25}"/>
            </a:ext>
          </a:extLst>
        </xdr:cNvPr>
        <xdr:cNvSpPr/>
      </xdr:nvSpPr>
      <xdr:spPr>
        <a:xfrm>
          <a:off x="7772400" y="115214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140</xdr:row>
      <xdr:rowOff>0</xdr:rowOff>
    </xdr:from>
    <xdr:to>
      <xdr:col>12</xdr:col>
      <xdr:colOff>704850</xdr:colOff>
      <xdr:row>141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5AF335-AFF6-406D-8E01-0C93482DB7CE}"/>
            </a:ext>
          </a:extLst>
        </xdr:cNvPr>
        <xdr:cNvSpPr/>
      </xdr:nvSpPr>
      <xdr:spPr>
        <a:xfrm>
          <a:off x="7772400" y="270510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F18BCC-C188-4405-ABA5-A9C018FA73AE}"/>
            </a:ext>
          </a:extLst>
        </xdr:cNvPr>
        <xdr:cNvSpPr/>
      </xdr:nvSpPr>
      <xdr:spPr>
        <a:xfrm>
          <a:off x="7772400" y="149885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2F804F-77D5-4ABE-BB12-4EC4D3F6A935}"/>
            </a:ext>
          </a:extLst>
        </xdr:cNvPr>
        <xdr:cNvSpPr/>
      </xdr:nvSpPr>
      <xdr:spPr>
        <a:xfrm>
          <a:off x="7772400" y="95097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140</xdr:row>
      <xdr:rowOff>0</xdr:rowOff>
    </xdr:from>
    <xdr:to>
      <xdr:col>12</xdr:col>
      <xdr:colOff>704850</xdr:colOff>
      <xdr:row>141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947AA1-6FBA-4A56-B63F-DD2217A3DD65}"/>
            </a:ext>
          </a:extLst>
        </xdr:cNvPr>
        <xdr:cNvSpPr/>
      </xdr:nvSpPr>
      <xdr:spPr>
        <a:xfrm>
          <a:off x="7772400" y="210159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A836A4-B9B9-422B-9532-02B2C19379B3}"/>
            </a:ext>
          </a:extLst>
        </xdr:cNvPr>
        <xdr:cNvSpPr/>
      </xdr:nvSpPr>
      <xdr:spPr>
        <a:xfrm>
          <a:off x="7772400" y="215722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D65569-45D8-40BC-9B22-3C1E711CD79B}"/>
            </a:ext>
          </a:extLst>
        </xdr:cNvPr>
        <xdr:cNvSpPr/>
      </xdr:nvSpPr>
      <xdr:spPr>
        <a:xfrm>
          <a:off x="7772400" y="115214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145</xdr:row>
      <xdr:rowOff>0</xdr:rowOff>
    </xdr:from>
    <xdr:to>
      <xdr:col>12</xdr:col>
      <xdr:colOff>704850</xdr:colOff>
      <xdr:row>146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2A8CB1-2271-4911-B531-12296388E621}"/>
            </a:ext>
          </a:extLst>
        </xdr:cNvPr>
        <xdr:cNvSpPr/>
      </xdr:nvSpPr>
      <xdr:spPr>
        <a:xfrm>
          <a:off x="7772400" y="275996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F5368-441B-458F-A33B-E2DA7AF07C76}"/>
            </a:ext>
          </a:extLst>
        </xdr:cNvPr>
        <xdr:cNvSpPr/>
      </xdr:nvSpPr>
      <xdr:spPr>
        <a:xfrm>
          <a:off x="7772400" y="215722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8013CC-45E3-4025-9CBB-48574595A9D2}"/>
            </a:ext>
          </a:extLst>
        </xdr:cNvPr>
        <xdr:cNvSpPr/>
      </xdr:nvSpPr>
      <xdr:spPr>
        <a:xfrm>
          <a:off x="7772400" y="115214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145</xdr:row>
      <xdr:rowOff>0</xdr:rowOff>
    </xdr:from>
    <xdr:to>
      <xdr:col>12</xdr:col>
      <xdr:colOff>704850</xdr:colOff>
      <xdr:row>146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DE508E-8926-48EA-8D63-E3F5D18D0894}"/>
            </a:ext>
          </a:extLst>
        </xdr:cNvPr>
        <xdr:cNvSpPr/>
      </xdr:nvSpPr>
      <xdr:spPr>
        <a:xfrm>
          <a:off x="7772400" y="285140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1FA4D4-0CAF-47AA-AD3D-CB34CBAE5581}"/>
            </a:ext>
          </a:extLst>
        </xdr:cNvPr>
        <xdr:cNvSpPr/>
      </xdr:nvSpPr>
      <xdr:spPr>
        <a:xfrm>
          <a:off x="7772400" y="208407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704447-A1CE-4591-A81D-11D9FED6E65B}"/>
            </a:ext>
          </a:extLst>
        </xdr:cNvPr>
        <xdr:cNvSpPr/>
      </xdr:nvSpPr>
      <xdr:spPr>
        <a:xfrm>
          <a:off x="7772400" y="107899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145</xdr:row>
      <xdr:rowOff>0</xdr:rowOff>
    </xdr:from>
    <xdr:to>
      <xdr:col>12</xdr:col>
      <xdr:colOff>704850</xdr:colOff>
      <xdr:row>146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DA2931-B741-4888-AA61-A0725D8FD42B}"/>
            </a:ext>
          </a:extLst>
        </xdr:cNvPr>
        <xdr:cNvSpPr/>
      </xdr:nvSpPr>
      <xdr:spPr>
        <a:xfrm>
          <a:off x="7772400" y="268605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877E2B-EF17-42FC-BC6B-4D695FF7B103}"/>
            </a:ext>
          </a:extLst>
        </xdr:cNvPr>
        <xdr:cNvSpPr/>
      </xdr:nvSpPr>
      <xdr:spPr>
        <a:xfrm>
          <a:off x="7772400" y="195605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7CF2E7-5BAC-41B6-89E1-3DBFF95FB656}"/>
            </a:ext>
          </a:extLst>
        </xdr:cNvPr>
        <xdr:cNvSpPr/>
      </xdr:nvSpPr>
      <xdr:spPr>
        <a:xfrm>
          <a:off x="7772400" y="102412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145</xdr:row>
      <xdr:rowOff>0</xdr:rowOff>
    </xdr:from>
    <xdr:to>
      <xdr:col>12</xdr:col>
      <xdr:colOff>704850</xdr:colOff>
      <xdr:row>146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C50BE5-7C31-4B9C-A3E8-4790F062F5E4}"/>
            </a:ext>
          </a:extLst>
        </xdr:cNvPr>
        <xdr:cNvSpPr/>
      </xdr:nvSpPr>
      <xdr:spPr>
        <a:xfrm>
          <a:off x="7772400" y="252145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646049-1AC5-4A47-9BDE-FD083D431512}"/>
            </a:ext>
          </a:extLst>
        </xdr:cNvPr>
        <xdr:cNvSpPr/>
      </xdr:nvSpPr>
      <xdr:spPr>
        <a:xfrm>
          <a:off x="7772400" y="208407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42EE89-14EB-4251-A5C4-A5A4A30F265D}"/>
            </a:ext>
          </a:extLst>
        </xdr:cNvPr>
        <xdr:cNvSpPr/>
      </xdr:nvSpPr>
      <xdr:spPr>
        <a:xfrm>
          <a:off x="7772400" y="107899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145</xdr:row>
      <xdr:rowOff>0</xdr:rowOff>
    </xdr:from>
    <xdr:to>
      <xdr:col>12</xdr:col>
      <xdr:colOff>704850</xdr:colOff>
      <xdr:row>146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82A4D1-5A50-44D2-B9BD-926D135E8690}"/>
            </a:ext>
          </a:extLst>
        </xdr:cNvPr>
        <xdr:cNvSpPr/>
      </xdr:nvSpPr>
      <xdr:spPr>
        <a:xfrm>
          <a:off x="7772400" y="268605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109</xdr:row>
      <xdr:rowOff>0</xdr:rowOff>
    </xdr:from>
    <xdr:to>
      <xdr:col>12</xdr:col>
      <xdr:colOff>704850</xdr:colOff>
      <xdr:row>110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8E582E-2BA4-4962-8290-08FBDC0A0C80}"/>
            </a:ext>
          </a:extLst>
        </xdr:cNvPr>
        <xdr:cNvSpPr/>
      </xdr:nvSpPr>
      <xdr:spPr>
        <a:xfrm>
          <a:off x="7772400" y="208407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8C0A93-9075-4673-93C1-0ACD90957EA0}"/>
            </a:ext>
          </a:extLst>
        </xdr:cNvPr>
        <xdr:cNvSpPr/>
      </xdr:nvSpPr>
      <xdr:spPr>
        <a:xfrm>
          <a:off x="7772400" y="107899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146</xdr:row>
      <xdr:rowOff>0</xdr:rowOff>
    </xdr:from>
    <xdr:to>
      <xdr:col>12</xdr:col>
      <xdr:colOff>704850</xdr:colOff>
      <xdr:row>147</xdr:row>
      <xdr:rowOff>190500</xdr:rowOff>
    </xdr:to>
    <xdr:sp macro="" textlink="">
      <xdr:nvSpPr>
        <xdr:cNvPr id="4" name="Up Arrow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AAF518-03E4-4E9E-913C-A0D5126C980B}"/>
            </a:ext>
          </a:extLst>
        </xdr:cNvPr>
        <xdr:cNvSpPr/>
      </xdr:nvSpPr>
      <xdr:spPr>
        <a:xfrm>
          <a:off x="7772400" y="268605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109</xdr:row>
      <xdr:rowOff>0</xdr:rowOff>
    </xdr:from>
    <xdr:to>
      <xdr:col>12</xdr:col>
      <xdr:colOff>704850</xdr:colOff>
      <xdr:row>110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9C1A28-4D4E-433C-A617-6F58297B00C1}"/>
            </a:ext>
          </a:extLst>
        </xdr:cNvPr>
        <xdr:cNvSpPr/>
      </xdr:nvSpPr>
      <xdr:spPr>
        <a:xfrm>
          <a:off x="7772400" y="217551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972437-3495-4344-98D0-FEB3AA48ED7A}"/>
            </a:ext>
          </a:extLst>
        </xdr:cNvPr>
        <xdr:cNvSpPr/>
      </xdr:nvSpPr>
      <xdr:spPr>
        <a:xfrm>
          <a:off x="7772400" y="115214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146</xdr:row>
      <xdr:rowOff>0</xdr:rowOff>
    </xdr:from>
    <xdr:to>
      <xdr:col>12</xdr:col>
      <xdr:colOff>704850</xdr:colOff>
      <xdr:row>147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030A31-329D-4D2B-A394-27B6376D25CD}"/>
            </a:ext>
          </a:extLst>
        </xdr:cNvPr>
        <xdr:cNvSpPr/>
      </xdr:nvSpPr>
      <xdr:spPr>
        <a:xfrm>
          <a:off x="7772400" y="281482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206</xdr:row>
      <xdr:rowOff>0</xdr:rowOff>
    </xdr:from>
    <xdr:to>
      <xdr:col>12</xdr:col>
      <xdr:colOff>704850</xdr:colOff>
      <xdr:row>207</xdr:row>
      <xdr:rowOff>76200</xdr:rowOff>
    </xdr:to>
    <xdr:sp macro="" textlink="">
      <xdr:nvSpPr>
        <xdr:cNvPr id="5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E54849-474D-4FF3-9047-457C0617D86E}"/>
            </a:ext>
          </a:extLst>
        </xdr:cNvPr>
        <xdr:cNvSpPr/>
      </xdr:nvSpPr>
      <xdr:spPr>
        <a:xfrm>
          <a:off x="7772400" y="398449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174</xdr:row>
      <xdr:rowOff>0</xdr:rowOff>
    </xdr:from>
    <xdr:to>
      <xdr:col>12</xdr:col>
      <xdr:colOff>704850</xdr:colOff>
      <xdr:row>175</xdr:row>
      <xdr:rowOff>205740</xdr:rowOff>
    </xdr:to>
    <xdr:sp macro="" textlink="">
      <xdr:nvSpPr>
        <xdr:cNvPr id="6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5C2EB7-3415-4A36-90D8-A43670AB6631}"/>
            </a:ext>
          </a:extLst>
        </xdr:cNvPr>
        <xdr:cNvSpPr/>
      </xdr:nvSpPr>
      <xdr:spPr>
        <a:xfrm>
          <a:off x="7772400" y="336423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109</xdr:row>
      <xdr:rowOff>0</xdr:rowOff>
    </xdr:from>
    <xdr:to>
      <xdr:col>12</xdr:col>
      <xdr:colOff>704850</xdr:colOff>
      <xdr:row>110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78E504-68C8-4D24-87AE-16FA89D50AE6}"/>
            </a:ext>
          </a:extLst>
        </xdr:cNvPr>
        <xdr:cNvSpPr/>
      </xdr:nvSpPr>
      <xdr:spPr>
        <a:xfrm>
          <a:off x="7772400" y="168249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58E2BB-3DA3-408A-91FB-7364CEB4CBF3}"/>
            </a:ext>
          </a:extLst>
        </xdr:cNvPr>
        <xdr:cNvSpPr/>
      </xdr:nvSpPr>
      <xdr:spPr>
        <a:xfrm>
          <a:off x="7772400" y="89687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146</xdr:row>
      <xdr:rowOff>0</xdr:rowOff>
    </xdr:from>
    <xdr:to>
      <xdr:col>12</xdr:col>
      <xdr:colOff>704850</xdr:colOff>
      <xdr:row>147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FCDAD6-6678-4695-8909-1B000DF0EA6F}"/>
            </a:ext>
          </a:extLst>
        </xdr:cNvPr>
        <xdr:cNvSpPr/>
      </xdr:nvSpPr>
      <xdr:spPr>
        <a:xfrm>
          <a:off x="7772400" y="219303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206</xdr:row>
      <xdr:rowOff>0</xdr:rowOff>
    </xdr:from>
    <xdr:to>
      <xdr:col>12</xdr:col>
      <xdr:colOff>704850</xdr:colOff>
      <xdr:row>207</xdr:row>
      <xdr:rowOff>76200</xdr:rowOff>
    </xdr:to>
    <xdr:sp macro="" textlink="">
      <xdr:nvSpPr>
        <xdr:cNvPr id="5" name="Up Arrow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774FF4-6A04-4210-869B-F94CBACF5490}"/>
            </a:ext>
          </a:extLst>
        </xdr:cNvPr>
        <xdr:cNvSpPr/>
      </xdr:nvSpPr>
      <xdr:spPr>
        <a:xfrm>
          <a:off x="7772400" y="303276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174</xdr:row>
      <xdr:rowOff>0</xdr:rowOff>
    </xdr:from>
    <xdr:to>
      <xdr:col>12</xdr:col>
      <xdr:colOff>704850</xdr:colOff>
      <xdr:row>175</xdr:row>
      <xdr:rowOff>205740</xdr:rowOff>
    </xdr:to>
    <xdr:sp macro="" textlink="">
      <xdr:nvSpPr>
        <xdr:cNvPr id="6" name="Up Arrow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E1DB94-4623-4011-B443-F68ABD5DA66F}"/>
            </a:ext>
          </a:extLst>
        </xdr:cNvPr>
        <xdr:cNvSpPr/>
      </xdr:nvSpPr>
      <xdr:spPr>
        <a:xfrm>
          <a:off x="7772400" y="263194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109</xdr:row>
      <xdr:rowOff>0</xdr:rowOff>
    </xdr:from>
    <xdr:to>
      <xdr:col>12</xdr:col>
      <xdr:colOff>704850</xdr:colOff>
      <xdr:row>110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9184C4-B626-48FE-B64D-E01F5A80BD83}"/>
            </a:ext>
          </a:extLst>
        </xdr:cNvPr>
        <xdr:cNvSpPr/>
      </xdr:nvSpPr>
      <xdr:spPr>
        <a:xfrm>
          <a:off x="7932420" y="217627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1F165D-1CD9-4629-A24F-8A8FF683DAED}"/>
            </a:ext>
          </a:extLst>
        </xdr:cNvPr>
        <xdr:cNvSpPr/>
      </xdr:nvSpPr>
      <xdr:spPr>
        <a:xfrm>
          <a:off x="7932420" y="115290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146</xdr:row>
      <xdr:rowOff>0</xdr:rowOff>
    </xdr:from>
    <xdr:to>
      <xdr:col>12</xdr:col>
      <xdr:colOff>704850</xdr:colOff>
      <xdr:row>147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EF79D9-AF37-40D9-AC16-F273648EAB37}"/>
            </a:ext>
          </a:extLst>
        </xdr:cNvPr>
        <xdr:cNvSpPr/>
      </xdr:nvSpPr>
      <xdr:spPr>
        <a:xfrm>
          <a:off x="7932420" y="277825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206</xdr:row>
      <xdr:rowOff>0</xdr:rowOff>
    </xdr:from>
    <xdr:to>
      <xdr:col>12</xdr:col>
      <xdr:colOff>704850</xdr:colOff>
      <xdr:row>207</xdr:row>
      <xdr:rowOff>76200</xdr:rowOff>
    </xdr:to>
    <xdr:sp macro="" textlink="">
      <xdr:nvSpPr>
        <xdr:cNvPr id="5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2F4E46-E0E5-4F1A-8033-69410C4E1995}"/>
            </a:ext>
          </a:extLst>
        </xdr:cNvPr>
        <xdr:cNvSpPr/>
      </xdr:nvSpPr>
      <xdr:spPr>
        <a:xfrm>
          <a:off x="7932420" y="361797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174</xdr:row>
      <xdr:rowOff>0</xdr:rowOff>
    </xdr:from>
    <xdr:to>
      <xdr:col>12</xdr:col>
      <xdr:colOff>704850</xdr:colOff>
      <xdr:row>175</xdr:row>
      <xdr:rowOff>205740</xdr:rowOff>
    </xdr:to>
    <xdr:sp macro="" textlink="">
      <xdr:nvSpPr>
        <xdr:cNvPr id="6" name="Up Arrow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63269B-FC3A-4764-8D93-D524A59D32BD}"/>
            </a:ext>
          </a:extLst>
        </xdr:cNvPr>
        <xdr:cNvSpPr/>
      </xdr:nvSpPr>
      <xdr:spPr>
        <a:xfrm>
          <a:off x="7932420" y="332689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65</xdr:row>
      <xdr:rowOff>0</xdr:rowOff>
    </xdr:from>
    <xdr:to>
      <xdr:col>12</xdr:col>
      <xdr:colOff>704850</xdr:colOff>
      <xdr:row>66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2740F8-BE23-4255-A4E2-54136572BA2D}"/>
            </a:ext>
          </a:extLst>
        </xdr:cNvPr>
        <xdr:cNvSpPr/>
      </xdr:nvSpPr>
      <xdr:spPr>
        <a:xfrm>
          <a:off x="8039100" y="157124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34</xdr:row>
      <xdr:rowOff>0</xdr:rowOff>
    </xdr:from>
    <xdr:to>
      <xdr:col>12</xdr:col>
      <xdr:colOff>704850</xdr:colOff>
      <xdr:row>35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87042E-6660-40AC-838F-87575C99C3C5}"/>
            </a:ext>
          </a:extLst>
        </xdr:cNvPr>
        <xdr:cNvSpPr/>
      </xdr:nvSpPr>
      <xdr:spPr>
        <a:xfrm>
          <a:off x="8039100" y="54787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96</xdr:row>
      <xdr:rowOff>0</xdr:rowOff>
    </xdr:from>
    <xdr:to>
      <xdr:col>12</xdr:col>
      <xdr:colOff>704850</xdr:colOff>
      <xdr:row>97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297FCA-ED3A-4734-8168-CD273DD1E471}"/>
            </a:ext>
          </a:extLst>
        </xdr:cNvPr>
        <xdr:cNvSpPr/>
      </xdr:nvSpPr>
      <xdr:spPr>
        <a:xfrm>
          <a:off x="8039100" y="221056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156</xdr:row>
      <xdr:rowOff>0</xdr:rowOff>
    </xdr:from>
    <xdr:to>
      <xdr:col>12</xdr:col>
      <xdr:colOff>704850</xdr:colOff>
      <xdr:row>157</xdr:row>
      <xdr:rowOff>76200</xdr:rowOff>
    </xdr:to>
    <xdr:sp macro="" textlink="">
      <xdr:nvSpPr>
        <xdr:cNvPr id="5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7F771C-9B99-42E6-809C-B5B626D3DC98}"/>
            </a:ext>
          </a:extLst>
        </xdr:cNvPr>
        <xdr:cNvSpPr/>
      </xdr:nvSpPr>
      <xdr:spPr>
        <a:xfrm>
          <a:off x="8039100" y="337947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125</xdr:row>
      <xdr:rowOff>205740</xdr:rowOff>
    </xdr:to>
    <xdr:sp macro="" textlink="">
      <xdr:nvSpPr>
        <xdr:cNvPr id="6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66B261-4E28-4978-8BBE-193FECFBD64B}"/>
            </a:ext>
          </a:extLst>
        </xdr:cNvPr>
        <xdr:cNvSpPr/>
      </xdr:nvSpPr>
      <xdr:spPr>
        <a:xfrm>
          <a:off x="8039100" y="275920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65</xdr:row>
      <xdr:rowOff>0</xdr:rowOff>
    </xdr:from>
    <xdr:to>
      <xdr:col>12</xdr:col>
      <xdr:colOff>704850</xdr:colOff>
      <xdr:row>66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D35B25-985F-4A56-9EC4-6DFE22FA2C0A}"/>
            </a:ext>
          </a:extLst>
        </xdr:cNvPr>
        <xdr:cNvSpPr/>
      </xdr:nvSpPr>
      <xdr:spPr>
        <a:xfrm>
          <a:off x="8039100" y="122453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34</xdr:row>
      <xdr:rowOff>0</xdr:rowOff>
    </xdr:from>
    <xdr:to>
      <xdr:col>12</xdr:col>
      <xdr:colOff>704850</xdr:colOff>
      <xdr:row>35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6B9B3E-EE28-4365-81CA-DB3E0C05318A}"/>
            </a:ext>
          </a:extLst>
        </xdr:cNvPr>
        <xdr:cNvSpPr/>
      </xdr:nvSpPr>
      <xdr:spPr>
        <a:xfrm>
          <a:off x="8039100" y="65836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96</xdr:row>
      <xdr:rowOff>0</xdr:rowOff>
    </xdr:from>
    <xdr:to>
      <xdr:col>12</xdr:col>
      <xdr:colOff>704850</xdr:colOff>
      <xdr:row>97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ACD126-20F3-4FF2-88B0-16E285E784D9}"/>
            </a:ext>
          </a:extLst>
        </xdr:cNvPr>
        <xdr:cNvSpPr/>
      </xdr:nvSpPr>
      <xdr:spPr>
        <a:xfrm>
          <a:off x="8039100" y="178993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156</xdr:row>
      <xdr:rowOff>0</xdr:rowOff>
    </xdr:from>
    <xdr:to>
      <xdr:col>12</xdr:col>
      <xdr:colOff>704850</xdr:colOff>
      <xdr:row>157</xdr:row>
      <xdr:rowOff>76200</xdr:rowOff>
    </xdr:to>
    <xdr:sp macro="" textlink="">
      <xdr:nvSpPr>
        <xdr:cNvPr id="5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A8788E-3F01-4B08-AB21-D872A27B47FE}"/>
            </a:ext>
          </a:extLst>
        </xdr:cNvPr>
        <xdr:cNvSpPr/>
      </xdr:nvSpPr>
      <xdr:spPr>
        <a:xfrm>
          <a:off x="8039100" y="281254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125</xdr:row>
      <xdr:rowOff>205740</xdr:rowOff>
    </xdr:to>
    <xdr:sp macro="" textlink="">
      <xdr:nvSpPr>
        <xdr:cNvPr id="6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6FFAAC-AF5E-4321-84FD-6F151F760D6F}"/>
            </a:ext>
          </a:extLst>
        </xdr:cNvPr>
        <xdr:cNvSpPr/>
      </xdr:nvSpPr>
      <xdr:spPr>
        <a:xfrm>
          <a:off x="8039100" y="226542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65</xdr:row>
      <xdr:rowOff>0</xdr:rowOff>
    </xdr:from>
    <xdr:to>
      <xdr:col>12</xdr:col>
      <xdr:colOff>704850</xdr:colOff>
      <xdr:row>66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099C32-C3CD-41D5-AD4A-88252B2BA70F}"/>
            </a:ext>
          </a:extLst>
        </xdr:cNvPr>
        <xdr:cNvSpPr/>
      </xdr:nvSpPr>
      <xdr:spPr>
        <a:xfrm>
          <a:off x="8161020" y="120624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34</xdr:row>
      <xdr:rowOff>0</xdr:rowOff>
    </xdr:from>
    <xdr:to>
      <xdr:col>12</xdr:col>
      <xdr:colOff>704850</xdr:colOff>
      <xdr:row>35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F2042F-2FA6-419C-84D0-08CC0BC1F0B8}"/>
            </a:ext>
          </a:extLst>
        </xdr:cNvPr>
        <xdr:cNvSpPr/>
      </xdr:nvSpPr>
      <xdr:spPr>
        <a:xfrm>
          <a:off x="8161020" y="65836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96</xdr:row>
      <xdr:rowOff>0</xdr:rowOff>
    </xdr:from>
    <xdr:to>
      <xdr:col>12</xdr:col>
      <xdr:colOff>704850</xdr:colOff>
      <xdr:row>97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B7DBC0-2AF3-440E-BD8C-987D6215ABE4}"/>
            </a:ext>
          </a:extLst>
        </xdr:cNvPr>
        <xdr:cNvSpPr/>
      </xdr:nvSpPr>
      <xdr:spPr>
        <a:xfrm>
          <a:off x="8161020" y="175336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156</xdr:row>
      <xdr:rowOff>0</xdr:rowOff>
    </xdr:from>
    <xdr:to>
      <xdr:col>12</xdr:col>
      <xdr:colOff>704850</xdr:colOff>
      <xdr:row>157</xdr:row>
      <xdr:rowOff>76200</xdr:rowOff>
    </xdr:to>
    <xdr:sp macro="" textlink="">
      <xdr:nvSpPr>
        <xdr:cNvPr id="5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D7803F-BFAF-476F-9D4E-8E6CA7E64D70}"/>
            </a:ext>
          </a:extLst>
        </xdr:cNvPr>
        <xdr:cNvSpPr/>
      </xdr:nvSpPr>
      <xdr:spPr>
        <a:xfrm>
          <a:off x="8161020" y="277596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125</xdr:row>
      <xdr:rowOff>205740</xdr:rowOff>
    </xdr:to>
    <xdr:sp macro="" textlink="">
      <xdr:nvSpPr>
        <xdr:cNvPr id="6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9A57BD-1F09-4A48-8F6C-5B4F5874B627}"/>
            </a:ext>
          </a:extLst>
        </xdr:cNvPr>
        <xdr:cNvSpPr/>
      </xdr:nvSpPr>
      <xdr:spPr>
        <a:xfrm>
          <a:off x="8161020" y="222885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65</xdr:row>
      <xdr:rowOff>0</xdr:rowOff>
    </xdr:from>
    <xdr:to>
      <xdr:col>12</xdr:col>
      <xdr:colOff>704850</xdr:colOff>
      <xdr:row>66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FC9E98-8071-4280-B3BB-7476DFC2D58A}"/>
            </a:ext>
          </a:extLst>
        </xdr:cNvPr>
        <xdr:cNvSpPr/>
      </xdr:nvSpPr>
      <xdr:spPr>
        <a:xfrm>
          <a:off x="8161020" y="122453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34</xdr:row>
      <xdr:rowOff>0</xdr:rowOff>
    </xdr:from>
    <xdr:to>
      <xdr:col>12</xdr:col>
      <xdr:colOff>704850</xdr:colOff>
      <xdr:row>35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8B0F2D-AC0B-4C02-BEBD-2CC7EEAC4C70}"/>
            </a:ext>
          </a:extLst>
        </xdr:cNvPr>
        <xdr:cNvSpPr/>
      </xdr:nvSpPr>
      <xdr:spPr>
        <a:xfrm>
          <a:off x="8161020" y="65836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96</xdr:row>
      <xdr:rowOff>0</xdr:rowOff>
    </xdr:from>
    <xdr:to>
      <xdr:col>12</xdr:col>
      <xdr:colOff>704850</xdr:colOff>
      <xdr:row>97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81F11E-ABBF-49AA-AEEB-D2D7926AF271}"/>
            </a:ext>
          </a:extLst>
        </xdr:cNvPr>
        <xdr:cNvSpPr/>
      </xdr:nvSpPr>
      <xdr:spPr>
        <a:xfrm>
          <a:off x="8161020" y="178993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156</xdr:row>
      <xdr:rowOff>0</xdr:rowOff>
    </xdr:from>
    <xdr:to>
      <xdr:col>12</xdr:col>
      <xdr:colOff>704850</xdr:colOff>
      <xdr:row>157</xdr:row>
      <xdr:rowOff>76200</xdr:rowOff>
    </xdr:to>
    <xdr:sp macro="" textlink="">
      <xdr:nvSpPr>
        <xdr:cNvPr id="5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046DD5-4B5A-43BF-88D4-92DDE53D8635}"/>
            </a:ext>
          </a:extLst>
        </xdr:cNvPr>
        <xdr:cNvSpPr/>
      </xdr:nvSpPr>
      <xdr:spPr>
        <a:xfrm>
          <a:off x="8161020" y="279425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125</xdr:row>
      <xdr:rowOff>205740</xdr:rowOff>
    </xdr:to>
    <xdr:sp macro="" textlink="">
      <xdr:nvSpPr>
        <xdr:cNvPr id="6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04D7BD-7D41-49F9-8B5E-B2A7DFE57442}"/>
            </a:ext>
          </a:extLst>
        </xdr:cNvPr>
        <xdr:cNvSpPr/>
      </xdr:nvSpPr>
      <xdr:spPr>
        <a:xfrm>
          <a:off x="8161020" y="226542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65</xdr:row>
      <xdr:rowOff>0</xdr:rowOff>
    </xdr:from>
    <xdr:to>
      <xdr:col>12</xdr:col>
      <xdr:colOff>704850</xdr:colOff>
      <xdr:row>66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7B9F9F-B302-4D78-8A76-EBC753E9EBA6}"/>
            </a:ext>
          </a:extLst>
        </xdr:cNvPr>
        <xdr:cNvSpPr/>
      </xdr:nvSpPr>
      <xdr:spPr>
        <a:xfrm>
          <a:off x="8161020" y="129768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34</xdr:row>
      <xdr:rowOff>0</xdr:rowOff>
    </xdr:from>
    <xdr:to>
      <xdr:col>12</xdr:col>
      <xdr:colOff>704850</xdr:colOff>
      <xdr:row>35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BDA999-AE9C-48DB-8B30-B885AF81D315}"/>
            </a:ext>
          </a:extLst>
        </xdr:cNvPr>
        <xdr:cNvSpPr/>
      </xdr:nvSpPr>
      <xdr:spPr>
        <a:xfrm>
          <a:off x="8161020" y="69494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96</xdr:row>
      <xdr:rowOff>0</xdr:rowOff>
    </xdr:from>
    <xdr:to>
      <xdr:col>12</xdr:col>
      <xdr:colOff>704850</xdr:colOff>
      <xdr:row>97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2EF3FB-4B31-45C5-B44A-F3935760D9FA}"/>
            </a:ext>
          </a:extLst>
        </xdr:cNvPr>
        <xdr:cNvSpPr/>
      </xdr:nvSpPr>
      <xdr:spPr>
        <a:xfrm>
          <a:off x="8161020" y="1899666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156</xdr:row>
      <xdr:rowOff>0</xdr:rowOff>
    </xdr:from>
    <xdr:to>
      <xdr:col>12</xdr:col>
      <xdr:colOff>704850</xdr:colOff>
      <xdr:row>157</xdr:row>
      <xdr:rowOff>76200</xdr:rowOff>
    </xdr:to>
    <xdr:sp macro="" textlink="">
      <xdr:nvSpPr>
        <xdr:cNvPr id="5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322188-50E5-417F-9791-825A6CC60CB2}"/>
            </a:ext>
          </a:extLst>
        </xdr:cNvPr>
        <xdr:cNvSpPr/>
      </xdr:nvSpPr>
      <xdr:spPr>
        <a:xfrm>
          <a:off x="8161020" y="299542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125</xdr:row>
      <xdr:rowOff>205740</xdr:rowOff>
    </xdr:to>
    <xdr:sp macro="" textlink="">
      <xdr:nvSpPr>
        <xdr:cNvPr id="6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C45E36-C93A-4DDF-8A50-A23F04C783C4}"/>
            </a:ext>
          </a:extLst>
        </xdr:cNvPr>
        <xdr:cNvSpPr/>
      </xdr:nvSpPr>
      <xdr:spPr>
        <a:xfrm>
          <a:off x="8161020" y="241173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65</xdr:row>
      <xdr:rowOff>0</xdr:rowOff>
    </xdr:from>
    <xdr:to>
      <xdr:col>12</xdr:col>
      <xdr:colOff>704850</xdr:colOff>
      <xdr:row>66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BFEE0B-78F2-485E-888D-E273B715305A}"/>
            </a:ext>
          </a:extLst>
        </xdr:cNvPr>
        <xdr:cNvSpPr/>
      </xdr:nvSpPr>
      <xdr:spPr>
        <a:xfrm>
          <a:off x="8161020" y="127939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34</xdr:row>
      <xdr:rowOff>0</xdr:rowOff>
    </xdr:from>
    <xdr:to>
      <xdr:col>12</xdr:col>
      <xdr:colOff>704850</xdr:colOff>
      <xdr:row>35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C61A71-F3CE-46B6-BD7C-25571945982E}"/>
            </a:ext>
          </a:extLst>
        </xdr:cNvPr>
        <xdr:cNvSpPr/>
      </xdr:nvSpPr>
      <xdr:spPr>
        <a:xfrm>
          <a:off x="8161020" y="69494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96</xdr:row>
      <xdr:rowOff>0</xdr:rowOff>
    </xdr:from>
    <xdr:to>
      <xdr:col>12</xdr:col>
      <xdr:colOff>704850</xdr:colOff>
      <xdr:row>97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877857-4DC3-4B5F-AFAE-273619B9613B}"/>
            </a:ext>
          </a:extLst>
        </xdr:cNvPr>
        <xdr:cNvSpPr/>
      </xdr:nvSpPr>
      <xdr:spPr>
        <a:xfrm>
          <a:off x="8161020" y="188137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156</xdr:row>
      <xdr:rowOff>0</xdr:rowOff>
    </xdr:from>
    <xdr:to>
      <xdr:col>12</xdr:col>
      <xdr:colOff>704850</xdr:colOff>
      <xdr:row>157</xdr:row>
      <xdr:rowOff>76200</xdr:rowOff>
    </xdr:to>
    <xdr:sp macro="" textlink="">
      <xdr:nvSpPr>
        <xdr:cNvPr id="5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D3DF61-07D0-44BA-A12A-26A1B700D13B}"/>
            </a:ext>
          </a:extLst>
        </xdr:cNvPr>
        <xdr:cNvSpPr/>
      </xdr:nvSpPr>
      <xdr:spPr>
        <a:xfrm>
          <a:off x="8161020" y="297713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125</xdr:row>
      <xdr:rowOff>205740</xdr:rowOff>
    </xdr:to>
    <xdr:sp macro="" textlink="">
      <xdr:nvSpPr>
        <xdr:cNvPr id="6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61290D-7792-4904-BDB6-DDFE17B450BD}"/>
            </a:ext>
          </a:extLst>
        </xdr:cNvPr>
        <xdr:cNvSpPr/>
      </xdr:nvSpPr>
      <xdr:spPr>
        <a:xfrm>
          <a:off x="8161020" y="2393442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10574</xdr:colOff>
      <xdr:row>1</xdr:row>
      <xdr:rowOff>10585</xdr:rowOff>
    </xdr:from>
    <xdr:to>
      <xdr:col>5</xdr:col>
      <xdr:colOff>941917</xdr:colOff>
      <xdr:row>10</xdr:row>
      <xdr:rowOff>169335</xdr:rowOff>
    </xdr:to>
    <xdr:pic>
      <xdr:nvPicPr>
        <xdr:cNvPr id="6" name="Picture 5" descr="logo.jpg">
          <a:extLst>
            <a:ext uri="{FF2B5EF4-FFF2-40B4-BE49-F238E27FC236}">
              <a16:creationId xmlns:a16="http://schemas.microsoft.com/office/drawing/2014/main" id="{00000000-0008-0000-8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074" y="211668"/>
          <a:ext cx="3164426" cy="1778000"/>
        </a:xfrm>
        <a:prstGeom prst="rect">
          <a:avLst/>
        </a:prstGeom>
      </xdr:spPr>
    </xdr:pic>
    <xdr:clientData/>
  </xdr:twoCellAnchor>
  <xdr:oneCellAnchor>
    <xdr:from>
      <xdr:col>6</xdr:col>
      <xdr:colOff>63500</xdr:colOff>
      <xdr:row>1</xdr:row>
      <xdr:rowOff>10583</xdr:rowOff>
    </xdr:from>
    <xdr:ext cx="8180916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8700-000007000000}"/>
            </a:ext>
          </a:extLst>
        </xdr:cNvPr>
        <xdr:cNvSpPr/>
      </xdr:nvSpPr>
      <xdr:spPr>
        <a:xfrm>
          <a:off x="4328583" y="211666"/>
          <a:ext cx="8180916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Winners</a:t>
          </a:r>
          <a:r>
            <a:rPr lang="en-U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Capital Line</a:t>
          </a:r>
          <a:endParaRPr lang="en-US" sz="54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glow rad="101600">
                <a:schemeClr val="accent2">
                  <a:satMod val="175000"/>
                  <a:alpha val="4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6</xdr:col>
      <xdr:colOff>31750</xdr:colOff>
      <xdr:row>5</xdr:row>
      <xdr:rowOff>126989</xdr:rowOff>
    </xdr:from>
    <xdr:ext cx="8191500" cy="843757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8700-000008000000}"/>
            </a:ext>
          </a:extLst>
        </xdr:cNvPr>
        <xdr:cNvSpPr/>
      </xdr:nvSpPr>
      <xdr:spPr>
        <a:xfrm>
          <a:off x="4296833" y="1047739"/>
          <a:ext cx="8191500" cy="843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n-US" sz="4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Grow With</a:t>
          </a:r>
          <a:r>
            <a:rPr lang="en-US" sz="48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Experts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78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79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80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8.xml"/><Relationship Id="rId4" Type="http://schemas.openxmlformats.org/officeDocument/2006/relationships/printerSettings" Target="../printerSettings/printerSettings81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82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0.xml"/><Relationship Id="rId4" Type="http://schemas.openxmlformats.org/officeDocument/2006/relationships/printerSettings" Target="../printerSettings/printerSettings83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1.xml"/><Relationship Id="rId4" Type="http://schemas.openxmlformats.org/officeDocument/2006/relationships/printerSettings" Target="../printerSettings/printerSettings84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2.xml"/><Relationship Id="rId4" Type="http://schemas.openxmlformats.org/officeDocument/2006/relationships/printerSettings" Target="../printerSettings/printerSettings85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86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4.xml"/><Relationship Id="rId4" Type="http://schemas.openxmlformats.org/officeDocument/2006/relationships/printerSettings" Target="../printerSettings/printerSettings8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5.xml"/><Relationship Id="rId4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6.xml"/><Relationship Id="rId4" Type="http://schemas.openxmlformats.org/officeDocument/2006/relationships/printerSettings" Target="../printerSettings/printerSettings89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7.xml"/><Relationship Id="rId4" Type="http://schemas.openxmlformats.org/officeDocument/2006/relationships/printerSettings" Target="../printerSettings/printerSettings90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8.xml"/><Relationship Id="rId4" Type="http://schemas.openxmlformats.org/officeDocument/2006/relationships/printerSettings" Target="../printerSettings/printerSettings91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9.xml"/><Relationship Id="rId4" Type="http://schemas.openxmlformats.org/officeDocument/2006/relationships/printerSettings" Target="../printerSettings/printerSettings92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0.xml"/><Relationship Id="rId4" Type="http://schemas.openxmlformats.org/officeDocument/2006/relationships/printerSettings" Target="../printerSettings/printerSettings93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1.xml"/><Relationship Id="rId4" Type="http://schemas.openxmlformats.org/officeDocument/2006/relationships/printerSettings" Target="../printerSettings/printerSettings94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2.xml"/><Relationship Id="rId4" Type="http://schemas.openxmlformats.org/officeDocument/2006/relationships/printerSettings" Target="../printerSettings/printerSettings95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3.xml"/><Relationship Id="rId4" Type="http://schemas.openxmlformats.org/officeDocument/2006/relationships/printerSettings" Target="../printerSettings/printerSettings96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4.xml"/><Relationship Id="rId4" Type="http://schemas.openxmlformats.org/officeDocument/2006/relationships/printerSettings" Target="../printerSettings/printerSettings9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5.xml"/><Relationship Id="rId4" Type="http://schemas.openxmlformats.org/officeDocument/2006/relationships/printerSettings" Target="../printerSettings/printerSettings98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6.xml"/><Relationship Id="rId4" Type="http://schemas.openxmlformats.org/officeDocument/2006/relationships/printerSettings" Target="../printerSettings/printerSettings99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67.xml"/><Relationship Id="rId5" Type="http://schemas.openxmlformats.org/officeDocument/2006/relationships/printerSettings" Target="../printerSettings/printerSettings100.bin"/><Relationship Id="rId4" Type="http://schemas.openxmlformats.org/officeDocument/2006/relationships/hyperlink" Target="http://www.winnerscapitalline.com/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68.xml"/><Relationship Id="rId5" Type="http://schemas.openxmlformats.org/officeDocument/2006/relationships/printerSettings" Target="../printerSettings/printerSettings101.bin"/><Relationship Id="rId4" Type="http://schemas.openxmlformats.org/officeDocument/2006/relationships/hyperlink" Target="http://www.winnerscapitalline.com/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69.xml"/><Relationship Id="rId5" Type="http://schemas.openxmlformats.org/officeDocument/2006/relationships/printerSettings" Target="../printerSettings/printerSettings102.bin"/><Relationship Id="rId4" Type="http://schemas.openxmlformats.org/officeDocument/2006/relationships/hyperlink" Target="http://www.winnerscapitalline.com/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0.xml"/><Relationship Id="rId5" Type="http://schemas.openxmlformats.org/officeDocument/2006/relationships/printerSettings" Target="../printerSettings/printerSettings103.bin"/><Relationship Id="rId4" Type="http://schemas.openxmlformats.org/officeDocument/2006/relationships/hyperlink" Target="http://www.winnerscapitalline.com/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1.xml"/><Relationship Id="rId5" Type="http://schemas.openxmlformats.org/officeDocument/2006/relationships/printerSettings" Target="../printerSettings/printerSettings104.bin"/><Relationship Id="rId4" Type="http://schemas.openxmlformats.org/officeDocument/2006/relationships/hyperlink" Target="http://www.winnerscapitalline.com/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2.xml"/><Relationship Id="rId5" Type="http://schemas.openxmlformats.org/officeDocument/2006/relationships/printerSettings" Target="../printerSettings/printerSettings105.bin"/><Relationship Id="rId4" Type="http://schemas.openxmlformats.org/officeDocument/2006/relationships/hyperlink" Target="http://www.winnerscapitalline.com/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3.xml"/><Relationship Id="rId5" Type="http://schemas.openxmlformats.org/officeDocument/2006/relationships/printerSettings" Target="../printerSettings/printerSettings106.bin"/><Relationship Id="rId4" Type="http://schemas.openxmlformats.org/officeDocument/2006/relationships/hyperlink" Target="http://www.winnerscapitalline.com/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4.xml"/><Relationship Id="rId5" Type="http://schemas.openxmlformats.org/officeDocument/2006/relationships/printerSettings" Target="../printerSettings/printerSettings107.bin"/><Relationship Id="rId4" Type="http://schemas.openxmlformats.org/officeDocument/2006/relationships/hyperlink" Target="http://www.winnerscapitalline.com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5.xml"/><Relationship Id="rId5" Type="http://schemas.openxmlformats.org/officeDocument/2006/relationships/printerSettings" Target="../printerSettings/printerSettings108.bin"/><Relationship Id="rId4" Type="http://schemas.openxmlformats.org/officeDocument/2006/relationships/hyperlink" Target="http://www.winnerscapitalline.com/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6.xml"/><Relationship Id="rId5" Type="http://schemas.openxmlformats.org/officeDocument/2006/relationships/printerSettings" Target="../printerSettings/printerSettings109.bin"/><Relationship Id="rId4" Type="http://schemas.openxmlformats.org/officeDocument/2006/relationships/hyperlink" Target="http://www.winnerscapitalline.com/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7.xml"/><Relationship Id="rId5" Type="http://schemas.openxmlformats.org/officeDocument/2006/relationships/printerSettings" Target="../printerSettings/printerSettings110.bin"/><Relationship Id="rId4" Type="http://schemas.openxmlformats.org/officeDocument/2006/relationships/hyperlink" Target="http://www.winnerscapitalline.com/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8.xml"/><Relationship Id="rId5" Type="http://schemas.openxmlformats.org/officeDocument/2006/relationships/printerSettings" Target="../printerSettings/printerSettings111.bin"/><Relationship Id="rId4" Type="http://schemas.openxmlformats.org/officeDocument/2006/relationships/hyperlink" Target="http://www.winnerscapitalline.com/" TargetMode="External"/></Relationships>
</file>

<file path=xl/worksheets/_rels/sheet134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9.xml"/><Relationship Id="rId5" Type="http://schemas.openxmlformats.org/officeDocument/2006/relationships/printerSettings" Target="../printerSettings/printerSettings112.bin"/><Relationship Id="rId4" Type="http://schemas.openxmlformats.org/officeDocument/2006/relationships/hyperlink" Target="http://www.winnerscapitalline.com/" TargetMode="External"/></Relationships>
</file>

<file path=xl/worksheets/_rels/sheet135.xml.rels><?xml version="1.0" encoding="UTF-8" standalone="yes"?>
<Relationships xmlns="http://schemas.openxmlformats.org/package/2006/relationships"><Relationship Id="rId8" Type="http://schemas.openxmlformats.org/officeDocument/2006/relationships/comments" Target="../comments4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4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80.xml"/><Relationship Id="rId5" Type="http://schemas.openxmlformats.org/officeDocument/2006/relationships/printerSettings" Target="../printerSettings/printerSettings113.bin"/><Relationship Id="rId4" Type="http://schemas.openxmlformats.org/officeDocument/2006/relationships/hyperlink" Target="http://www.winnerscapitalline.com/" TargetMode="External"/></Relationships>
</file>

<file path=xl/worksheets/_rels/sheet136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5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81.xml"/><Relationship Id="rId5" Type="http://schemas.openxmlformats.org/officeDocument/2006/relationships/printerSettings" Target="../printerSettings/printerSettings114.bin"/><Relationship Id="rId4" Type="http://schemas.openxmlformats.org/officeDocument/2006/relationships/hyperlink" Target="http://www.winnerscapitalline.com/" TargetMode="External"/></Relationships>
</file>

<file path=xl/worksheets/_rels/sheet137.xml.rels><?xml version="1.0" encoding="UTF-8" standalone="yes"?>
<Relationships xmlns="http://schemas.openxmlformats.org/package/2006/relationships"><Relationship Id="rId8" Type="http://schemas.openxmlformats.org/officeDocument/2006/relationships/comments" Target="../comments6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6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82.xml"/><Relationship Id="rId5" Type="http://schemas.openxmlformats.org/officeDocument/2006/relationships/printerSettings" Target="../printerSettings/printerSettings115.bin"/><Relationship Id="rId4" Type="http://schemas.openxmlformats.org/officeDocument/2006/relationships/hyperlink" Target="http://www.winnerscapitalline.com/" TargetMode="External"/></Relationships>
</file>

<file path=xl/worksheets/_rels/sheet138.xml.rels><?xml version="1.0" encoding="UTF-8" standalone="yes"?>
<Relationships xmlns="http://schemas.openxmlformats.org/package/2006/relationships"><Relationship Id="rId8" Type="http://schemas.openxmlformats.org/officeDocument/2006/relationships/comments" Target="../comments7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7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83.xml"/><Relationship Id="rId5" Type="http://schemas.openxmlformats.org/officeDocument/2006/relationships/printerSettings" Target="../printerSettings/printerSettings116.bin"/><Relationship Id="rId4" Type="http://schemas.openxmlformats.org/officeDocument/2006/relationships/hyperlink" Target="http://www.winnerscapitalline.com/" TargetMode="External"/></Relationships>
</file>

<file path=xl/worksheets/_rels/sheet139.xml.rels><?xml version="1.0" encoding="UTF-8" standalone="yes"?>
<Relationships xmlns="http://schemas.openxmlformats.org/package/2006/relationships"><Relationship Id="rId8" Type="http://schemas.openxmlformats.org/officeDocument/2006/relationships/comments" Target="../comments8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8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84.xml"/><Relationship Id="rId5" Type="http://schemas.openxmlformats.org/officeDocument/2006/relationships/printerSettings" Target="../printerSettings/printerSettings117.bin"/><Relationship Id="rId4" Type="http://schemas.openxmlformats.org/officeDocument/2006/relationships/hyperlink" Target="http://www.winnerscapitalline.com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0.xml.rels><?xml version="1.0" encoding="UTF-8" standalone="yes"?>
<Relationships xmlns="http://schemas.openxmlformats.org/package/2006/relationships"><Relationship Id="rId8" Type="http://schemas.openxmlformats.org/officeDocument/2006/relationships/comments" Target="../comments9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9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85.xml"/><Relationship Id="rId5" Type="http://schemas.openxmlformats.org/officeDocument/2006/relationships/printerSettings" Target="../printerSettings/printerSettings118.bin"/><Relationship Id="rId4" Type="http://schemas.openxmlformats.org/officeDocument/2006/relationships/hyperlink" Target="http://www.winnerscapitalline.com/" TargetMode="External"/></Relationships>
</file>

<file path=xl/worksheets/_rels/sheet14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0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10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86.xml"/><Relationship Id="rId5" Type="http://schemas.openxmlformats.org/officeDocument/2006/relationships/printerSettings" Target="../printerSettings/printerSettings119.bin"/><Relationship Id="rId4" Type="http://schemas.openxmlformats.org/officeDocument/2006/relationships/hyperlink" Target="http://www.winnerscapitalline.com/" TargetMode="External"/></Relationships>
</file>

<file path=xl/worksheets/_rels/sheet14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1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11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87.xml"/><Relationship Id="rId5" Type="http://schemas.openxmlformats.org/officeDocument/2006/relationships/printerSettings" Target="../printerSettings/printerSettings120.bin"/><Relationship Id="rId4" Type="http://schemas.openxmlformats.org/officeDocument/2006/relationships/hyperlink" Target="http://www.winnerscapitalline.com/" TargetMode="External"/></Relationships>
</file>

<file path=xl/worksheets/_rels/sheet143.xml.rels><?xml version="1.0" encoding="UTF-8" standalone="yes"?>
<Relationships xmlns="http://schemas.openxmlformats.org/package/2006/relationships"><Relationship Id="rId8" Type="http://schemas.openxmlformats.org/officeDocument/2006/relationships/comments" Target="../comments12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12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88.xml"/><Relationship Id="rId5" Type="http://schemas.openxmlformats.org/officeDocument/2006/relationships/printerSettings" Target="../printerSettings/printerSettings121.bin"/><Relationship Id="rId4" Type="http://schemas.openxmlformats.org/officeDocument/2006/relationships/hyperlink" Target="http://www.winnerscapitalline.com/" TargetMode="External"/></Relationships>
</file>

<file path=xl/worksheets/_rels/sheet14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9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printerSettings" Target="../printerSettings/printerSettings122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10" Type="http://schemas.openxmlformats.org/officeDocument/2006/relationships/comments" Target="../comments13.xml"/><Relationship Id="rId4" Type="http://schemas.openxmlformats.org/officeDocument/2006/relationships/hyperlink" Target="http://www.winnerscapitalline.com/" TargetMode="External"/><Relationship Id="rId9" Type="http://schemas.openxmlformats.org/officeDocument/2006/relationships/vmlDrawing" Target="../drawings/vmlDrawing13.vml"/></Relationships>
</file>

<file path=xl/worksheets/_rels/sheet14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0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printerSettings" Target="../printerSettings/printerSettings123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10" Type="http://schemas.openxmlformats.org/officeDocument/2006/relationships/comments" Target="../comments14.xml"/><Relationship Id="rId4" Type="http://schemas.openxmlformats.org/officeDocument/2006/relationships/hyperlink" Target="http://www.winnerscapitalline.com/" TargetMode="External"/><Relationship Id="rId9" Type="http://schemas.openxmlformats.org/officeDocument/2006/relationships/vmlDrawing" Target="../drawings/vmlDrawing14.vml"/></Relationships>
</file>

<file path=xl/worksheets/_rels/sheet14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1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printerSettings" Target="../printerSettings/printerSettings124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10" Type="http://schemas.openxmlformats.org/officeDocument/2006/relationships/comments" Target="../comments15.xml"/><Relationship Id="rId4" Type="http://schemas.openxmlformats.org/officeDocument/2006/relationships/hyperlink" Target="http://www.winnerscapitalline.com/" TargetMode="External"/><Relationship Id="rId9" Type="http://schemas.openxmlformats.org/officeDocument/2006/relationships/vmlDrawing" Target="../drawings/vmlDrawing15.vml"/></Relationships>
</file>

<file path=xl/worksheets/_rels/sheet14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2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printerSettings" Target="../printerSettings/printerSettings125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/Relationships>
</file>

<file path=xl/worksheets/_rels/sheet14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3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printerSettings" Target="../printerSettings/printerSettings126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/Relationships>
</file>

<file path=xl/worksheets/_rels/sheet14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4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printerSettings" Target="../printerSettings/printerSettings127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5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printerSettings" Target="../printerSettings/printerSettings128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/Relationships>
</file>

<file path=xl/worksheets/_rels/sheet15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6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printerSettings" Target="../printerSettings/printerSettings129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/Relationships>
</file>

<file path=xl/worksheets/_rels/sheet15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7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printerSettings" Target="../printerSettings/printerSettings130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3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3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5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6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7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3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3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4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4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42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43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44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45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46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4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48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49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50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51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52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53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54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55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56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5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58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59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60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61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62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6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65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66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6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68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6.xml"/><Relationship Id="rId4" Type="http://schemas.openxmlformats.org/officeDocument/2006/relationships/printerSettings" Target="../printerSettings/printerSettings69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70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8.xml"/><Relationship Id="rId4" Type="http://schemas.openxmlformats.org/officeDocument/2006/relationships/printerSettings" Target="../printerSettings/printerSettings71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72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0.xml"/><Relationship Id="rId4" Type="http://schemas.openxmlformats.org/officeDocument/2006/relationships/printerSettings" Target="../printerSettings/printerSettings73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74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2.xml"/><Relationship Id="rId4" Type="http://schemas.openxmlformats.org/officeDocument/2006/relationships/printerSettings" Target="../printerSettings/printerSettings75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76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4.xml"/><Relationship Id="rId4" Type="http://schemas.openxmlformats.org/officeDocument/2006/relationships/printerSettings" Target="../printerSettings/printerSettings7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3"/>
  <sheetViews>
    <sheetView workbookViewId="0">
      <selection activeCell="J2" sqref="J2"/>
    </sheetView>
  </sheetViews>
  <sheetFormatPr defaultColWidth="9.109375" defaultRowHeight="14.4" x14ac:dyDescent="0.3"/>
  <cols>
    <col min="1" max="1" width="8.88671875" style="4" customWidth="1"/>
    <col min="2" max="2" width="16.88671875" customWidth="1"/>
    <col min="3" max="3" width="16.109375" customWidth="1"/>
    <col min="4" max="4" width="22.88671875" customWidth="1"/>
    <col min="5" max="5" width="18.6640625" customWidth="1"/>
    <col min="6" max="6" width="13.109375" customWidth="1"/>
    <col min="7" max="7" width="13.6640625" customWidth="1"/>
    <col min="8" max="8" width="15.44140625" customWidth="1"/>
    <col min="9" max="9" width="9.109375" style="4"/>
    <col min="10" max="10" width="13.109375" customWidth="1"/>
  </cols>
  <sheetData>
    <row r="1" spans="1:10" ht="15" thickBot="1" x14ac:dyDescent="0.35">
      <c r="A1" s="1"/>
      <c r="B1" s="291"/>
      <c r="C1" s="291"/>
      <c r="D1" s="291"/>
      <c r="E1" s="291"/>
      <c r="F1" s="291"/>
      <c r="G1" s="291"/>
      <c r="H1" s="291"/>
      <c r="I1" s="1"/>
    </row>
    <row r="2" spans="1:10" ht="29.4" thickBot="1" x14ac:dyDescent="0.35">
      <c r="A2" s="1" t="s">
        <v>0</v>
      </c>
      <c r="B2" s="292" t="s">
        <v>128</v>
      </c>
      <c r="C2" s="292"/>
      <c r="D2" s="292"/>
      <c r="E2" s="292"/>
      <c r="F2" s="292"/>
      <c r="G2" s="292"/>
      <c r="H2" s="292"/>
      <c r="I2" s="1"/>
      <c r="J2" s="257" t="s">
        <v>872</v>
      </c>
    </row>
    <row r="3" spans="1:10" ht="15.6" x14ac:dyDescent="0.3">
      <c r="A3" s="2"/>
      <c r="B3" s="293" t="s">
        <v>12</v>
      </c>
      <c r="C3" s="293"/>
      <c r="D3" s="293"/>
      <c r="E3" s="293"/>
      <c r="F3" s="293"/>
      <c r="G3" s="293"/>
      <c r="H3" s="293"/>
      <c r="I3" s="2"/>
    </row>
    <row r="4" spans="1:10" x14ac:dyDescent="0.3"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</row>
    <row r="5" spans="1:10" x14ac:dyDescent="0.3">
      <c r="B5" s="5">
        <v>41246</v>
      </c>
      <c r="C5" s="3" t="s">
        <v>8</v>
      </c>
      <c r="D5" s="3" t="s">
        <v>9</v>
      </c>
      <c r="E5" s="3">
        <v>31690</v>
      </c>
      <c r="F5" s="3">
        <v>31738</v>
      </c>
      <c r="G5" s="3">
        <v>100</v>
      </c>
      <c r="H5" s="3">
        <v>4800</v>
      </c>
    </row>
    <row r="6" spans="1:10" x14ac:dyDescent="0.3">
      <c r="B6" s="5">
        <v>41247</v>
      </c>
      <c r="C6" s="3" t="s">
        <v>10</v>
      </c>
      <c r="D6" s="3" t="s">
        <v>11</v>
      </c>
      <c r="E6" s="3">
        <v>63540</v>
      </c>
      <c r="F6" s="3">
        <v>62810</v>
      </c>
      <c r="G6" s="3">
        <v>30</v>
      </c>
      <c r="H6" s="3">
        <v>21900</v>
      </c>
    </row>
    <row r="7" spans="1:10" x14ac:dyDescent="0.3">
      <c r="B7" s="5">
        <v>41248</v>
      </c>
      <c r="C7" s="3" t="s">
        <v>8</v>
      </c>
      <c r="D7" s="3" t="s">
        <v>11</v>
      </c>
      <c r="E7" s="3">
        <v>62800</v>
      </c>
      <c r="F7" s="3">
        <v>62990</v>
      </c>
      <c r="G7" s="3">
        <v>30</v>
      </c>
      <c r="H7" s="3">
        <v>5700</v>
      </c>
    </row>
    <row r="8" spans="1:10" x14ac:dyDescent="0.3">
      <c r="B8" s="5">
        <v>41249</v>
      </c>
      <c r="C8" s="3" t="s">
        <v>8</v>
      </c>
      <c r="D8" s="3" t="s">
        <v>11</v>
      </c>
      <c r="E8" s="3">
        <v>62250</v>
      </c>
      <c r="F8" s="3">
        <v>62725</v>
      </c>
      <c r="G8" s="3">
        <v>30</v>
      </c>
      <c r="H8" s="3">
        <v>14250</v>
      </c>
    </row>
    <row r="9" spans="1:10" x14ac:dyDescent="0.3">
      <c r="B9" s="5">
        <v>41250</v>
      </c>
      <c r="C9" s="3" t="s">
        <v>8</v>
      </c>
      <c r="D9" s="3" t="s">
        <v>11</v>
      </c>
      <c r="E9" s="3">
        <v>62360</v>
      </c>
      <c r="F9" s="3">
        <v>62200</v>
      </c>
      <c r="G9" s="3">
        <v>30</v>
      </c>
      <c r="H9" s="6">
        <v>-4800</v>
      </c>
    </row>
    <row r="10" spans="1:10" x14ac:dyDescent="0.3">
      <c r="B10" s="5">
        <v>41253</v>
      </c>
      <c r="C10" s="3" t="s">
        <v>10</v>
      </c>
      <c r="D10" s="3" t="s">
        <v>9</v>
      </c>
      <c r="E10" s="3">
        <v>31386</v>
      </c>
      <c r="F10" s="3">
        <v>31331</v>
      </c>
      <c r="G10" s="3">
        <v>100</v>
      </c>
      <c r="H10" s="3">
        <v>5500</v>
      </c>
    </row>
    <row r="11" spans="1:10" x14ac:dyDescent="0.3">
      <c r="B11" s="5">
        <v>41254</v>
      </c>
      <c r="C11" s="3" t="s">
        <v>10</v>
      </c>
      <c r="D11" s="3" t="s">
        <v>11</v>
      </c>
      <c r="E11" s="3">
        <v>62660</v>
      </c>
      <c r="F11" s="3">
        <v>62506</v>
      </c>
      <c r="G11" s="3">
        <v>30</v>
      </c>
      <c r="H11" s="3">
        <v>4620</v>
      </c>
    </row>
    <row r="12" spans="1:10" x14ac:dyDescent="0.3">
      <c r="B12" s="5">
        <v>41255</v>
      </c>
      <c r="C12" s="3" t="s">
        <v>10</v>
      </c>
      <c r="D12" s="3" t="s">
        <v>9</v>
      </c>
      <c r="E12" s="3">
        <v>31450</v>
      </c>
      <c r="F12" s="3">
        <v>31300</v>
      </c>
      <c r="G12" s="3">
        <v>100</v>
      </c>
      <c r="H12" s="3">
        <v>15000</v>
      </c>
    </row>
    <row r="13" spans="1:10" x14ac:dyDescent="0.3">
      <c r="B13" s="5">
        <v>41256</v>
      </c>
      <c r="C13" s="3" t="s">
        <v>10</v>
      </c>
      <c r="D13" s="3" t="s">
        <v>11</v>
      </c>
      <c r="E13" s="3">
        <v>62120</v>
      </c>
      <c r="F13" s="3">
        <v>61930</v>
      </c>
      <c r="G13" s="3">
        <v>30</v>
      </c>
      <c r="H13" s="3">
        <v>5700</v>
      </c>
    </row>
    <row r="14" spans="1:10" x14ac:dyDescent="0.3">
      <c r="B14" s="5">
        <v>41257</v>
      </c>
      <c r="C14" s="3" t="s">
        <v>8</v>
      </c>
      <c r="D14" s="3" t="s">
        <v>9</v>
      </c>
      <c r="E14" s="3">
        <v>31155</v>
      </c>
      <c r="F14" s="3">
        <v>31207</v>
      </c>
      <c r="G14" s="3">
        <v>100</v>
      </c>
      <c r="H14" s="3">
        <v>5200</v>
      </c>
    </row>
    <row r="15" spans="1:10" x14ac:dyDescent="0.3">
      <c r="B15" s="5">
        <v>41260</v>
      </c>
      <c r="C15" s="3" t="s">
        <v>8</v>
      </c>
      <c r="D15" s="3" t="s">
        <v>9</v>
      </c>
      <c r="E15" s="3">
        <v>31140</v>
      </c>
      <c r="F15" s="3">
        <v>31270</v>
      </c>
      <c r="G15" s="3">
        <v>100</v>
      </c>
      <c r="H15" s="3">
        <v>13000</v>
      </c>
    </row>
    <row r="16" spans="1:10" x14ac:dyDescent="0.3">
      <c r="B16" s="5">
        <v>41261</v>
      </c>
      <c r="C16" s="3" t="s">
        <v>10</v>
      </c>
      <c r="D16" s="3" t="s">
        <v>11</v>
      </c>
      <c r="E16" s="3">
        <v>61980</v>
      </c>
      <c r="F16" s="3">
        <v>60900</v>
      </c>
      <c r="G16" s="3">
        <v>30</v>
      </c>
      <c r="H16" s="3">
        <v>32400</v>
      </c>
    </row>
    <row r="17" spans="2:8" x14ac:dyDescent="0.3">
      <c r="B17" s="5">
        <v>41262</v>
      </c>
      <c r="C17" s="3" t="s">
        <v>8</v>
      </c>
      <c r="D17" s="3" t="s">
        <v>9</v>
      </c>
      <c r="E17" s="3">
        <v>30980</v>
      </c>
      <c r="F17" s="3">
        <v>30860</v>
      </c>
      <c r="G17" s="3">
        <v>100</v>
      </c>
      <c r="H17" s="6">
        <v>-12000</v>
      </c>
    </row>
    <row r="18" spans="2:8" x14ac:dyDescent="0.3">
      <c r="B18" s="5">
        <v>41263</v>
      </c>
      <c r="C18" s="3" t="s">
        <v>10</v>
      </c>
      <c r="D18" s="3" t="s">
        <v>11</v>
      </c>
      <c r="E18" s="3">
        <v>59450</v>
      </c>
      <c r="F18" s="3">
        <v>58350</v>
      </c>
      <c r="G18" s="3">
        <v>30</v>
      </c>
      <c r="H18" s="3">
        <v>33000</v>
      </c>
    </row>
    <row r="19" spans="2:8" x14ac:dyDescent="0.3">
      <c r="B19" s="5">
        <v>41264</v>
      </c>
      <c r="C19" s="3" t="s">
        <v>10</v>
      </c>
      <c r="D19" s="3" t="s">
        <v>11</v>
      </c>
      <c r="E19" s="3">
        <v>57640</v>
      </c>
      <c r="F19" s="3">
        <v>57900</v>
      </c>
      <c r="G19" s="3">
        <v>30</v>
      </c>
      <c r="H19" s="6">
        <v>-7800</v>
      </c>
    </row>
    <row r="20" spans="2:8" x14ac:dyDescent="0.3">
      <c r="B20" s="5">
        <v>41267</v>
      </c>
      <c r="C20" s="3" t="s">
        <v>10</v>
      </c>
      <c r="D20" s="3" t="s">
        <v>11</v>
      </c>
      <c r="E20" s="3">
        <v>58148</v>
      </c>
      <c r="F20" s="3">
        <v>57980</v>
      </c>
      <c r="G20" s="3">
        <v>30</v>
      </c>
      <c r="H20" s="3">
        <v>5040</v>
      </c>
    </row>
    <row r="21" spans="2:8" x14ac:dyDescent="0.3">
      <c r="B21" s="5">
        <v>41269</v>
      </c>
      <c r="C21" s="3" t="s">
        <v>8</v>
      </c>
      <c r="D21" s="3" t="s">
        <v>9</v>
      </c>
      <c r="E21" s="3">
        <v>30730</v>
      </c>
      <c r="F21" s="3">
        <v>30800</v>
      </c>
      <c r="G21" s="3">
        <v>100</v>
      </c>
      <c r="H21" s="3">
        <v>7000</v>
      </c>
    </row>
    <row r="22" spans="2:8" x14ac:dyDescent="0.3">
      <c r="B22" s="5">
        <v>41270</v>
      </c>
      <c r="C22" s="3" t="s">
        <v>8</v>
      </c>
      <c r="D22" s="3" t="s">
        <v>9</v>
      </c>
      <c r="E22" s="3">
        <v>30640</v>
      </c>
      <c r="F22" s="3">
        <v>30745</v>
      </c>
      <c r="G22" s="3">
        <v>100</v>
      </c>
      <c r="H22" s="3">
        <v>10500</v>
      </c>
    </row>
    <row r="23" spans="2:8" x14ac:dyDescent="0.3">
      <c r="B23" s="5">
        <v>41271</v>
      </c>
      <c r="C23" s="3" t="s">
        <v>8</v>
      </c>
      <c r="D23" s="3" t="s">
        <v>9</v>
      </c>
      <c r="E23" s="3">
        <v>30730</v>
      </c>
      <c r="F23" s="3">
        <v>30752</v>
      </c>
      <c r="G23" s="3">
        <v>100</v>
      </c>
      <c r="H23" s="3">
        <v>2200</v>
      </c>
    </row>
    <row r="24" spans="2:8" x14ac:dyDescent="0.3">
      <c r="B24" s="5">
        <v>41274</v>
      </c>
      <c r="C24" s="3" t="s">
        <v>10</v>
      </c>
      <c r="D24" s="3" t="s">
        <v>11</v>
      </c>
      <c r="E24" s="3">
        <v>57750</v>
      </c>
      <c r="F24" s="3">
        <v>57700</v>
      </c>
      <c r="G24" s="3">
        <v>30</v>
      </c>
      <c r="H24" s="3">
        <v>1500</v>
      </c>
    </row>
    <row r="25" spans="2:8" x14ac:dyDescent="0.3">
      <c r="H25" s="7">
        <v>162710</v>
      </c>
    </row>
    <row r="28" spans="2:8" ht="15.6" x14ac:dyDescent="0.3">
      <c r="B28" s="293" t="s">
        <v>13</v>
      </c>
      <c r="C28" s="293"/>
      <c r="D28" s="293"/>
      <c r="E28" s="293"/>
      <c r="F28" s="293"/>
      <c r="G28" s="293"/>
      <c r="H28" s="293"/>
    </row>
    <row r="29" spans="2:8" x14ac:dyDescent="0.3">
      <c r="B29" s="5">
        <v>41246</v>
      </c>
      <c r="C29" s="3" t="s">
        <v>10</v>
      </c>
      <c r="D29" s="3" t="s">
        <v>14</v>
      </c>
      <c r="E29" s="3">
        <v>198.9</v>
      </c>
      <c r="F29" s="3">
        <v>195</v>
      </c>
      <c r="G29" s="3">
        <v>1250</v>
      </c>
      <c r="H29" s="3">
        <v>4875</v>
      </c>
    </row>
    <row r="30" spans="2:8" x14ac:dyDescent="0.3">
      <c r="B30" s="5">
        <v>41247</v>
      </c>
      <c r="C30" s="3" t="s">
        <v>10</v>
      </c>
      <c r="D30" s="3" t="s">
        <v>15</v>
      </c>
      <c r="E30" s="3">
        <v>4884</v>
      </c>
      <c r="F30" s="3">
        <v>4871</v>
      </c>
      <c r="G30" s="3">
        <v>100</v>
      </c>
      <c r="H30" s="3">
        <v>1300</v>
      </c>
    </row>
    <row r="31" spans="2:8" x14ac:dyDescent="0.3">
      <c r="B31" s="5">
        <v>41248</v>
      </c>
      <c r="C31" s="3" t="s">
        <v>8</v>
      </c>
      <c r="D31" s="3" t="s">
        <v>15</v>
      </c>
      <c r="E31" s="3">
        <v>4855</v>
      </c>
      <c r="F31" s="3">
        <v>4868</v>
      </c>
      <c r="G31" s="3">
        <v>100</v>
      </c>
      <c r="H31" s="3">
        <v>1300</v>
      </c>
    </row>
    <row r="32" spans="2:8" x14ac:dyDescent="0.3">
      <c r="B32" s="5">
        <v>41249</v>
      </c>
      <c r="C32" s="3" t="s">
        <v>10</v>
      </c>
      <c r="D32" s="3" t="s">
        <v>14</v>
      </c>
      <c r="E32" s="3">
        <v>202.2</v>
      </c>
      <c r="F32" s="3">
        <v>201.1</v>
      </c>
      <c r="G32" s="3">
        <v>1250</v>
      </c>
      <c r="H32" s="3">
        <v>1375</v>
      </c>
    </row>
    <row r="33" spans="2:8" x14ac:dyDescent="0.3">
      <c r="B33" s="5">
        <v>41250</v>
      </c>
      <c r="C33" s="3" t="s">
        <v>8</v>
      </c>
      <c r="D33" s="3" t="s">
        <v>15</v>
      </c>
      <c r="E33" s="3">
        <v>4699</v>
      </c>
      <c r="F33" s="3">
        <v>4712</v>
      </c>
      <c r="G33" s="3">
        <v>100</v>
      </c>
      <c r="H33" s="3">
        <v>1300</v>
      </c>
    </row>
    <row r="34" spans="2:8" x14ac:dyDescent="0.3">
      <c r="B34" s="5">
        <v>41253</v>
      </c>
      <c r="C34" s="3" t="s">
        <v>16</v>
      </c>
      <c r="D34" s="3" t="s">
        <v>15</v>
      </c>
      <c r="E34" s="3">
        <v>4718</v>
      </c>
      <c r="F34" s="3">
        <v>4707</v>
      </c>
      <c r="G34" s="3">
        <v>100</v>
      </c>
      <c r="H34" s="6">
        <v>-1100</v>
      </c>
    </row>
    <row r="35" spans="2:8" x14ac:dyDescent="0.3">
      <c r="B35" s="5">
        <v>41254</v>
      </c>
      <c r="C35" s="3" t="s">
        <v>8</v>
      </c>
      <c r="D35" s="3" t="s">
        <v>15</v>
      </c>
      <c r="E35" s="3">
        <v>4660</v>
      </c>
      <c r="F35" s="3">
        <v>4691</v>
      </c>
      <c r="G35" s="3">
        <v>100</v>
      </c>
      <c r="H35" s="3">
        <v>3100</v>
      </c>
    </row>
    <row r="36" spans="2:8" x14ac:dyDescent="0.3">
      <c r="B36" s="5">
        <v>41255</v>
      </c>
      <c r="C36" s="3" t="s">
        <v>10</v>
      </c>
      <c r="D36" s="3" t="s">
        <v>15</v>
      </c>
      <c r="E36" s="3">
        <v>4714</v>
      </c>
      <c r="F36" s="3">
        <v>4682</v>
      </c>
      <c r="G36" s="3">
        <v>100</v>
      </c>
      <c r="H36" s="3">
        <v>3200</v>
      </c>
    </row>
    <row r="37" spans="2:8" x14ac:dyDescent="0.3">
      <c r="B37" s="5">
        <v>41256</v>
      </c>
      <c r="C37" s="3" t="s">
        <v>10</v>
      </c>
      <c r="D37" s="3" t="s">
        <v>15</v>
      </c>
      <c r="E37" s="3">
        <v>4715</v>
      </c>
      <c r="F37" s="3">
        <v>4700</v>
      </c>
      <c r="G37" s="3">
        <v>100</v>
      </c>
      <c r="H37" s="3">
        <v>1500</v>
      </c>
    </row>
    <row r="38" spans="2:8" x14ac:dyDescent="0.3">
      <c r="B38" s="5">
        <v>41257</v>
      </c>
      <c r="C38" s="3" t="s">
        <v>16</v>
      </c>
      <c r="D38" s="3" t="s">
        <v>15</v>
      </c>
      <c r="E38" s="3">
        <v>4726</v>
      </c>
      <c r="F38" s="3">
        <v>4711</v>
      </c>
      <c r="G38" s="3">
        <v>100</v>
      </c>
      <c r="H38" s="6">
        <v>-1500</v>
      </c>
    </row>
    <row r="39" spans="2:8" x14ac:dyDescent="0.3">
      <c r="B39" s="5">
        <v>41260</v>
      </c>
      <c r="C39" s="3" t="s">
        <v>8</v>
      </c>
      <c r="D39" s="3" t="s">
        <v>15</v>
      </c>
      <c r="E39" s="3">
        <v>4745</v>
      </c>
      <c r="F39" s="3">
        <v>4796</v>
      </c>
      <c r="G39" s="3">
        <v>100</v>
      </c>
      <c r="H39" s="3">
        <v>5100</v>
      </c>
    </row>
    <row r="40" spans="2:8" x14ac:dyDescent="0.3">
      <c r="B40" s="5">
        <v>41261</v>
      </c>
      <c r="C40" s="3" t="s">
        <v>10</v>
      </c>
      <c r="D40" s="3" t="s">
        <v>15</v>
      </c>
      <c r="E40" s="3">
        <v>4873</v>
      </c>
      <c r="F40" s="3">
        <v>4857</v>
      </c>
      <c r="G40" s="3">
        <v>100</v>
      </c>
      <c r="H40" s="3">
        <v>1600</v>
      </c>
    </row>
    <row r="41" spans="2:8" x14ac:dyDescent="0.3">
      <c r="B41" s="5">
        <v>41262</v>
      </c>
      <c r="C41" s="3" t="s">
        <v>10</v>
      </c>
      <c r="D41" s="3" t="s">
        <v>14</v>
      </c>
      <c r="E41" s="3">
        <v>186.3</v>
      </c>
      <c r="F41" s="3">
        <v>183.8</v>
      </c>
      <c r="G41" s="3">
        <v>1250</v>
      </c>
      <c r="H41" s="3">
        <v>3125</v>
      </c>
    </row>
    <row r="42" spans="2:8" x14ac:dyDescent="0.3">
      <c r="B42" s="5">
        <v>41263</v>
      </c>
      <c r="C42" s="3" t="s">
        <v>10</v>
      </c>
      <c r="D42" s="3" t="s">
        <v>15</v>
      </c>
      <c r="E42" s="3">
        <v>4939</v>
      </c>
      <c r="F42" s="3">
        <v>4937</v>
      </c>
      <c r="G42" s="3">
        <v>100</v>
      </c>
      <c r="H42" s="3">
        <v>200</v>
      </c>
    </row>
    <row r="43" spans="2:8" x14ac:dyDescent="0.3">
      <c r="B43" s="5">
        <v>41267</v>
      </c>
      <c r="C43" s="3" t="s">
        <v>8</v>
      </c>
      <c r="D43" s="3" t="s">
        <v>15</v>
      </c>
      <c r="E43" s="3">
        <v>4898</v>
      </c>
      <c r="F43" s="3">
        <v>4900</v>
      </c>
      <c r="G43" s="3">
        <v>100</v>
      </c>
      <c r="H43" s="3">
        <v>200</v>
      </c>
    </row>
    <row r="44" spans="2:8" x14ac:dyDescent="0.3">
      <c r="B44" s="5">
        <v>41269</v>
      </c>
      <c r="C44" s="3" t="s">
        <v>8</v>
      </c>
      <c r="D44" s="3" t="s">
        <v>15</v>
      </c>
      <c r="E44" s="3">
        <v>4909</v>
      </c>
      <c r="F44" s="3">
        <v>5000</v>
      </c>
      <c r="G44" s="3">
        <v>100</v>
      </c>
      <c r="H44" s="3">
        <v>9100</v>
      </c>
    </row>
    <row r="45" spans="2:8" x14ac:dyDescent="0.3">
      <c r="B45" s="5">
        <v>41270</v>
      </c>
      <c r="C45" s="3" t="s">
        <v>10</v>
      </c>
      <c r="D45" s="3" t="s">
        <v>15</v>
      </c>
      <c r="E45" s="3">
        <v>5032</v>
      </c>
      <c r="F45" s="3">
        <v>5015</v>
      </c>
      <c r="G45" s="3">
        <v>100</v>
      </c>
      <c r="H45" s="3">
        <v>1700</v>
      </c>
    </row>
    <row r="46" spans="2:8" x14ac:dyDescent="0.3">
      <c r="B46" s="5">
        <v>41271</v>
      </c>
      <c r="C46" s="3" t="s">
        <v>10</v>
      </c>
      <c r="D46" s="3" t="s">
        <v>14</v>
      </c>
      <c r="E46" s="3">
        <v>188.6</v>
      </c>
      <c r="F46" s="3">
        <v>186.6</v>
      </c>
      <c r="G46" s="3">
        <v>1250</v>
      </c>
      <c r="H46" s="3">
        <v>2500</v>
      </c>
    </row>
    <row r="47" spans="2:8" x14ac:dyDescent="0.3">
      <c r="B47" s="5">
        <v>41274</v>
      </c>
      <c r="C47" s="3" t="s">
        <v>16</v>
      </c>
      <c r="D47" s="3" t="s">
        <v>15</v>
      </c>
      <c r="E47" s="3">
        <v>4978</v>
      </c>
      <c r="F47" s="3">
        <v>4963</v>
      </c>
      <c r="G47" s="3">
        <v>100</v>
      </c>
      <c r="H47" s="6">
        <v>-1500</v>
      </c>
    </row>
    <row r="48" spans="2:8" x14ac:dyDescent="0.3">
      <c r="H48" s="7">
        <v>37375</v>
      </c>
    </row>
    <row r="52" spans="2:8" ht="15.6" x14ac:dyDescent="0.3">
      <c r="B52" s="293" t="s">
        <v>17</v>
      </c>
      <c r="C52" s="293"/>
      <c r="D52" s="293"/>
      <c r="E52" s="293"/>
      <c r="F52" s="293"/>
      <c r="G52" s="293"/>
      <c r="H52" s="293"/>
    </row>
    <row r="53" spans="2:8" x14ac:dyDescent="0.3">
      <c r="B53" s="5">
        <v>41246</v>
      </c>
      <c r="C53" s="3" t="s">
        <v>10</v>
      </c>
      <c r="D53" s="3" t="s">
        <v>18</v>
      </c>
      <c r="E53" s="3">
        <v>444.4</v>
      </c>
      <c r="F53" s="3">
        <v>443</v>
      </c>
      <c r="G53" s="3">
        <v>1000</v>
      </c>
      <c r="H53" s="3">
        <v>1400</v>
      </c>
    </row>
    <row r="54" spans="2:8" x14ac:dyDescent="0.3">
      <c r="B54" s="5">
        <v>41247</v>
      </c>
      <c r="C54" s="3" t="s">
        <v>16</v>
      </c>
      <c r="D54" s="3" t="s">
        <v>19</v>
      </c>
      <c r="E54" s="3">
        <v>957.5</v>
      </c>
      <c r="F54" s="3">
        <v>952.5</v>
      </c>
      <c r="G54" s="3">
        <v>250</v>
      </c>
      <c r="H54" s="6">
        <v>-1250</v>
      </c>
    </row>
    <row r="55" spans="2:8" x14ac:dyDescent="0.3">
      <c r="B55" s="5">
        <v>41248</v>
      </c>
      <c r="C55" s="3" t="s">
        <v>10</v>
      </c>
      <c r="D55" s="3" t="s">
        <v>18</v>
      </c>
      <c r="E55" s="3">
        <v>446</v>
      </c>
      <c r="F55" s="3">
        <v>444.45</v>
      </c>
      <c r="G55" s="3">
        <v>1000</v>
      </c>
      <c r="H55" s="3">
        <v>1550</v>
      </c>
    </row>
    <row r="56" spans="2:8" x14ac:dyDescent="0.3">
      <c r="B56" s="5">
        <v>41249</v>
      </c>
      <c r="C56" s="3" t="s">
        <v>10</v>
      </c>
      <c r="D56" s="3" t="s">
        <v>20</v>
      </c>
      <c r="E56" s="3">
        <v>121.6</v>
      </c>
      <c r="F56" s="3">
        <v>120.1</v>
      </c>
      <c r="G56" s="3">
        <v>5000</v>
      </c>
      <c r="H56" s="3">
        <v>7500</v>
      </c>
    </row>
    <row r="57" spans="2:8" x14ac:dyDescent="0.3">
      <c r="B57" s="5">
        <v>41250</v>
      </c>
      <c r="C57" s="3" t="s">
        <v>10</v>
      </c>
      <c r="D57" s="3" t="s">
        <v>20</v>
      </c>
      <c r="E57" s="3">
        <v>120</v>
      </c>
      <c r="F57" s="3">
        <v>119.25</v>
      </c>
      <c r="G57" s="3">
        <v>5000</v>
      </c>
      <c r="H57" s="3">
        <v>4000</v>
      </c>
    </row>
    <row r="58" spans="2:8" x14ac:dyDescent="0.3">
      <c r="B58" s="5">
        <v>41253</v>
      </c>
      <c r="C58" s="3" t="s">
        <v>10</v>
      </c>
      <c r="D58" s="3" t="s">
        <v>20</v>
      </c>
      <c r="E58" s="3">
        <v>121.95</v>
      </c>
      <c r="F58" s="3">
        <v>123</v>
      </c>
      <c r="G58" s="3">
        <v>5000</v>
      </c>
      <c r="H58" s="6">
        <v>-5250</v>
      </c>
    </row>
    <row r="59" spans="2:8" x14ac:dyDescent="0.3">
      <c r="B59" s="5">
        <v>41254</v>
      </c>
      <c r="C59" s="3" t="s">
        <v>10</v>
      </c>
      <c r="D59" s="3" t="s">
        <v>20</v>
      </c>
      <c r="E59" s="3">
        <v>124.1</v>
      </c>
      <c r="F59" s="3">
        <v>123.6</v>
      </c>
      <c r="G59" s="3">
        <v>5000</v>
      </c>
      <c r="H59" s="3">
        <v>2500</v>
      </c>
    </row>
    <row r="60" spans="2:8" x14ac:dyDescent="0.3">
      <c r="B60" s="5">
        <v>41255</v>
      </c>
      <c r="C60" s="3" t="s">
        <v>10</v>
      </c>
      <c r="D60" s="3" t="s">
        <v>18</v>
      </c>
      <c r="E60" s="3">
        <v>446.75</v>
      </c>
      <c r="F60" s="3">
        <v>445.1</v>
      </c>
      <c r="G60" s="3">
        <v>1000</v>
      </c>
      <c r="H60" s="3">
        <v>1650</v>
      </c>
    </row>
    <row r="61" spans="2:8" x14ac:dyDescent="0.3">
      <c r="B61" s="5">
        <v>41256</v>
      </c>
      <c r="C61" s="3" t="s">
        <v>10</v>
      </c>
      <c r="D61" s="3" t="s">
        <v>21</v>
      </c>
      <c r="E61" s="3">
        <v>112</v>
      </c>
      <c r="F61" s="3">
        <v>111.4</v>
      </c>
      <c r="G61" s="3">
        <v>5000</v>
      </c>
      <c r="H61" s="3">
        <v>3000</v>
      </c>
    </row>
    <row r="62" spans="2:8" x14ac:dyDescent="0.3">
      <c r="B62" s="5">
        <v>41257</v>
      </c>
      <c r="C62" s="3" t="s">
        <v>8</v>
      </c>
      <c r="D62" s="3" t="s">
        <v>20</v>
      </c>
      <c r="E62" s="3">
        <v>124.45</v>
      </c>
      <c r="F62" s="3">
        <v>124.85</v>
      </c>
      <c r="G62" s="3">
        <v>5000</v>
      </c>
      <c r="H62" s="3">
        <v>2000</v>
      </c>
    </row>
    <row r="63" spans="2:8" x14ac:dyDescent="0.3">
      <c r="B63" s="5">
        <v>41260</v>
      </c>
      <c r="C63" s="3" t="s">
        <v>8</v>
      </c>
      <c r="D63" s="3" t="s">
        <v>20</v>
      </c>
      <c r="E63" s="3">
        <v>123.8</v>
      </c>
      <c r="F63" s="3">
        <v>124.25</v>
      </c>
      <c r="G63" s="3">
        <v>5000</v>
      </c>
      <c r="H63" s="3">
        <v>2250</v>
      </c>
    </row>
    <row r="64" spans="2:8" x14ac:dyDescent="0.3">
      <c r="B64" s="5">
        <v>41261</v>
      </c>
      <c r="C64" s="3" t="s">
        <v>10</v>
      </c>
      <c r="D64" s="3" t="s">
        <v>18</v>
      </c>
      <c r="E64" s="3">
        <v>449.05</v>
      </c>
      <c r="F64" s="3">
        <v>447.7</v>
      </c>
      <c r="G64" s="3">
        <v>1000</v>
      </c>
      <c r="H64" s="3">
        <v>1350</v>
      </c>
    </row>
    <row r="65" spans="2:8" x14ac:dyDescent="0.3">
      <c r="B65" s="5">
        <v>41262</v>
      </c>
      <c r="C65" s="3" t="s">
        <v>8</v>
      </c>
      <c r="D65" s="3" t="s">
        <v>21</v>
      </c>
      <c r="E65" s="3">
        <v>112.5</v>
      </c>
      <c r="F65" s="3">
        <v>113</v>
      </c>
      <c r="G65" s="3">
        <v>5000</v>
      </c>
      <c r="H65" s="3">
        <v>2500</v>
      </c>
    </row>
    <row r="66" spans="2:8" x14ac:dyDescent="0.3">
      <c r="B66" s="5">
        <v>41263</v>
      </c>
      <c r="C66" s="3" t="s">
        <v>8</v>
      </c>
      <c r="D66" s="3" t="s">
        <v>21</v>
      </c>
      <c r="E66" s="3">
        <v>111.5</v>
      </c>
      <c r="F66" s="3">
        <v>111.9</v>
      </c>
      <c r="G66" s="3">
        <v>5000</v>
      </c>
      <c r="H66" s="3">
        <v>2000</v>
      </c>
    </row>
    <row r="67" spans="2:8" x14ac:dyDescent="0.3">
      <c r="B67" s="5">
        <v>41264</v>
      </c>
      <c r="C67" s="3" t="s">
        <v>10</v>
      </c>
      <c r="D67" s="3" t="s">
        <v>19</v>
      </c>
      <c r="E67" s="3">
        <v>965</v>
      </c>
      <c r="F67" s="3">
        <v>945</v>
      </c>
      <c r="G67" s="3">
        <v>250</v>
      </c>
      <c r="H67" s="3">
        <v>5000</v>
      </c>
    </row>
    <row r="68" spans="2:8" x14ac:dyDescent="0.3">
      <c r="B68" s="5">
        <v>41267</v>
      </c>
      <c r="C68" s="3" t="s">
        <v>16</v>
      </c>
      <c r="D68" s="3" t="s">
        <v>18</v>
      </c>
      <c r="E68" s="3">
        <v>436.8</v>
      </c>
      <c r="F68" s="3">
        <v>435.8</v>
      </c>
      <c r="G68" s="3">
        <v>1000</v>
      </c>
      <c r="H68" s="6">
        <v>-1000</v>
      </c>
    </row>
    <row r="69" spans="2:8" x14ac:dyDescent="0.3">
      <c r="B69" s="5">
        <v>41269</v>
      </c>
      <c r="C69" s="3" t="s">
        <v>8</v>
      </c>
      <c r="D69" s="3" t="s">
        <v>21</v>
      </c>
      <c r="E69" s="3">
        <v>112.1</v>
      </c>
      <c r="F69" s="3">
        <v>112.55</v>
      </c>
      <c r="G69" s="3">
        <v>5000</v>
      </c>
      <c r="H69" s="3">
        <v>2250</v>
      </c>
    </row>
    <row r="70" spans="2:8" x14ac:dyDescent="0.3">
      <c r="B70" s="5">
        <v>41270</v>
      </c>
      <c r="C70" s="3" t="s">
        <v>10</v>
      </c>
      <c r="D70" s="3" t="s">
        <v>19</v>
      </c>
      <c r="E70" s="3">
        <v>956.4</v>
      </c>
      <c r="F70" s="3">
        <v>945.7</v>
      </c>
      <c r="G70" s="3">
        <v>250</v>
      </c>
      <c r="H70" s="3">
        <v>2675</v>
      </c>
    </row>
    <row r="71" spans="2:8" x14ac:dyDescent="0.3">
      <c r="B71" s="5">
        <v>41271</v>
      </c>
      <c r="C71" s="3" t="s">
        <v>10</v>
      </c>
      <c r="D71" s="3" t="s">
        <v>18</v>
      </c>
      <c r="E71" s="3">
        <v>441.35</v>
      </c>
      <c r="F71" s="3">
        <v>438.4</v>
      </c>
      <c r="G71" s="3">
        <v>1000</v>
      </c>
      <c r="H71" s="3">
        <v>3000</v>
      </c>
    </row>
    <row r="72" spans="2:8" x14ac:dyDescent="0.3">
      <c r="B72" s="5">
        <v>41274</v>
      </c>
      <c r="C72" s="3" t="s">
        <v>10</v>
      </c>
      <c r="D72" s="3" t="s">
        <v>19</v>
      </c>
      <c r="E72" s="3">
        <v>954.1</v>
      </c>
      <c r="F72" s="3">
        <v>942.1</v>
      </c>
      <c r="G72" s="3">
        <v>250</v>
      </c>
      <c r="H72" s="3">
        <v>3000</v>
      </c>
    </row>
    <row r="73" spans="2:8" x14ac:dyDescent="0.3">
      <c r="H73" s="7">
        <v>40125</v>
      </c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7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60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41519</v>
      </c>
      <c r="C5" s="29" t="s">
        <v>16</v>
      </c>
      <c r="D5" s="36" t="s">
        <v>24</v>
      </c>
      <c r="E5" s="29">
        <v>32670</v>
      </c>
      <c r="F5" s="29">
        <v>32770</v>
      </c>
      <c r="G5" s="29">
        <v>100</v>
      </c>
      <c r="H5" s="29">
        <v>10000</v>
      </c>
      <c r="I5" s="20"/>
    </row>
    <row r="6" spans="1:10" x14ac:dyDescent="0.3">
      <c r="A6" s="20"/>
      <c r="B6" s="35">
        <v>41520</v>
      </c>
      <c r="C6" s="29" t="s">
        <v>55</v>
      </c>
      <c r="D6" s="36" t="s">
        <v>24</v>
      </c>
      <c r="E6" s="29">
        <v>33250</v>
      </c>
      <c r="F6" s="29">
        <v>33350</v>
      </c>
      <c r="G6" s="29">
        <v>100</v>
      </c>
      <c r="H6" s="29">
        <v>10000</v>
      </c>
      <c r="I6" s="20"/>
    </row>
    <row r="7" spans="1:10" x14ac:dyDescent="0.3">
      <c r="A7" s="20"/>
      <c r="B7" s="35">
        <v>41521</v>
      </c>
      <c r="C7" s="29" t="s">
        <v>23</v>
      </c>
      <c r="D7" s="36" t="s">
        <v>24</v>
      </c>
      <c r="E7" s="29">
        <v>33800</v>
      </c>
      <c r="F7" s="29">
        <v>33700</v>
      </c>
      <c r="G7" s="29">
        <v>100</v>
      </c>
      <c r="H7" s="29">
        <v>10000</v>
      </c>
      <c r="I7" s="20"/>
    </row>
    <row r="8" spans="1:10" x14ac:dyDescent="0.3">
      <c r="A8" s="20"/>
      <c r="B8" s="35">
        <v>41522</v>
      </c>
      <c r="C8" s="29" t="s">
        <v>23</v>
      </c>
      <c r="D8" s="36" t="s">
        <v>24</v>
      </c>
      <c r="E8" s="29">
        <v>32400</v>
      </c>
      <c r="F8" s="29">
        <v>32350</v>
      </c>
      <c r="G8" s="29">
        <v>100</v>
      </c>
      <c r="H8" s="29">
        <v>-5000</v>
      </c>
      <c r="I8" s="20"/>
    </row>
    <row r="9" spans="1:10" x14ac:dyDescent="0.3">
      <c r="A9" s="20"/>
      <c r="B9" s="35">
        <v>41523</v>
      </c>
      <c r="C9" s="29" t="s">
        <v>23</v>
      </c>
      <c r="D9" s="36" t="s">
        <v>24</v>
      </c>
      <c r="E9" s="29">
        <v>32000</v>
      </c>
      <c r="F9" s="29">
        <v>31900</v>
      </c>
      <c r="G9" s="29">
        <v>100</v>
      </c>
      <c r="H9" s="29">
        <v>10000</v>
      </c>
      <c r="I9" s="20"/>
    </row>
    <row r="10" spans="1:10" x14ac:dyDescent="0.3">
      <c r="A10" s="20"/>
      <c r="B10" s="35">
        <v>41527</v>
      </c>
      <c r="C10" s="29" t="s">
        <v>23</v>
      </c>
      <c r="D10" s="36" t="s">
        <v>24</v>
      </c>
      <c r="E10" s="29">
        <v>31350</v>
      </c>
      <c r="F10" s="29">
        <v>31300</v>
      </c>
      <c r="G10" s="29">
        <v>100</v>
      </c>
      <c r="H10" s="29">
        <v>5000</v>
      </c>
      <c r="I10" s="20"/>
    </row>
    <row r="11" spans="1:10" x14ac:dyDescent="0.3">
      <c r="A11" s="20"/>
      <c r="B11" s="35">
        <v>41528</v>
      </c>
      <c r="C11" s="29" t="s">
        <v>23</v>
      </c>
      <c r="D11" s="36" t="s">
        <v>24</v>
      </c>
      <c r="E11" s="29">
        <v>30900</v>
      </c>
      <c r="F11" s="29">
        <v>30800</v>
      </c>
      <c r="G11" s="29">
        <v>100</v>
      </c>
      <c r="H11" s="37">
        <v>10000</v>
      </c>
      <c r="I11" s="20"/>
    </row>
    <row r="12" spans="1:10" x14ac:dyDescent="0.3">
      <c r="A12" s="20"/>
      <c r="B12" s="35">
        <v>41529</v>
      </c>
      <c r="C12" s="29" t="s">
        <v>23</v>
      </c>
      <c r="D12" s="36" t="s">
        <v>24</v>
      </c>
      <c r="E12" s="29">
        <v>30300</v>
      </c>
      <c r="F12" s="29">
        <v>30200</v>
      </c>
      <c r="G12" s="29">
        <v>100</v>
      </c>
      <c r="H12" s="37">
        <v>10000</v>
      </c>
      <c r="I12" s="20"/>
    </row>
    <row r="13" spans="1:10" x14ac:dyDescent="0.3">
      <c r="A13" s="20"/>
      <c r="B13" s="35">
        <v>41530</v>
      </c>
      <c r="C13" s="29" t="s">
        <v>23</v>
      </c>
      <c r="D13" s="36" t="s">
        <v>24</v>
      </c>
      <c r="E13" s="29">
        <v>29800</v>
      </c>
      <c r="F13" s="29">
        <v>29700</v>
      </c>
      <c r="G13" s="29">
        <v>100</v>
      </c>
      <c r="H13" s="37">
        <v>10000</v>
      </c>
      <c r="I13" s="20"/>
    </row>
    <row r="14" spans="1:10" x14ac:dyDescent="0.3">
      <c r="A14" s="20"/>
      <c r="B14" s="35">
        <v>41533</v>
      </c>
      <c r="C14" s="29" t="s">
        <v>23</v>
      </c>
      <c r="D14" s="36" t="s">
        <v>24</v>
      </c>
      <c r="E14" s="29">
        <v>29630</v>
      </c>
      <c r="F14" s="29">
        <v>29530</v>
      </c>
      <c r="G14" s="29">
        <v>100</v>
      </c>
      <c r="H14" s="37">
        <v>10000</v>
      </c>
      <c r="I14" s="20"/>
    </row>
    <row r="15" spans="1:10" x14ac:dyDescent="0.3">
      <c r="A15" s="20"/>
      <c r="B15" s="35">
        <v>41534</v>
      </c>
      <c r="C15" s="29" t="s">
        <v>23</v>
      </c>
      <c r="D15" s="36" t="s">
        <v>24</v>
      </c>
      <c r="E15" s="29">
        <v>29900</v>
      </c>
      <c r="F15" s="29">
        <v>29850</v>
      </c>
      <c r="G15" s="29">
        <v>100</v>
      </c>
      <c r="H15" s="37">
        <v>5000</v>
      </c>
      <c r="I15" s="20"/>
    </row>
    <row r="16" spans="1:10" x14ac:dyDescent="0.3">
      <c r="A16" s="20"/>
      <c r="B16" s="35">
        <v>41535</v>
      </c>
      <c r="C16" s="29" t="s">
        <v>16</v>
      </c>
      <c r="D16" s="36" t="s">
        <v>24</v>
      </c>
      <c r="E16" s="29">
        <v>29400</v>
      </c>
      <c r="F16" s="29">
        <v>29450</v>
      </c>
      <c r="G16" s="29">
        <v>100</v>
      </c>
      <c r="H16" s="37">
        <v>5000</v>
      </c>
      <c r="I16" s="20"/>
    </row>
    <row r="17" spans="1:9" x14ac:dyDescent="0.3">
      <c r="A17" s="20"/>
      <c r="B17" s="35">
        <v>41536</v>
      </c>
      <c r="C17" s="29" t="s">
        <v>23</v>
      </c>
      <c r="D17" s="36" t="s">
        <v>24</v>
      </c>
      <c r="E17" s="29">
        <v>30300</v>
      </c>
      <c r="F17" s="29">
        <v>30250</v>
      </c>
      <c r="G17" s="29">
        <v>100</v>
      </c>
      <c r="H17" s="37">
        <v>5000</v>
      </c>
      <c r="I17" s="20"/>
    </row>
    <row r="18" spans="1:9" x14ac:dyDescent="0.3">
      <c r="A18" s="20"/>
      <c r="B18" s="35">
        <v>41537</v>
      </c>
      <c r="C18" s="29" t="s">
        <v>16</v>
      </c>
      <c r="D18" s="36" t="s">
        <v>24</v>
      </c>
      <c r="E18" s="29">
        <v>30400</v>
      </c>
      <c r="F18" s="29">
        <v>30300</v>
      </c>
      <c r="G18" s="29">
        <v>100</v>
      </c>
      <c r="H18" s="37">
        <v>-10000</v>
      </c>
      <c r="I18" s="20"/>
    </row>
    <row r="19" spans="1:9" x14ac:dyDescent="0.3">
      <c r="A19" s="20"/>
      <c r="B19" s="35">
        <v>41540</v>
      </c>
      <c r="C19" s="29" t="s">
        <v>16</v>
      </c>
      <c r="D19" s="36" t="s">
        <v>24</v>
      </c>
      <c r="E19" s="29">
        <v>29700</v>
      </c>
      <c r="F19" s="29">
        <v>29800</v>
      </c>
      <c r="G19" s="29">
        <v>100</v>
      </c>
      <c r="H19" s="37">
        <v>10000</v>
      </c>
      <c r="I19" s="20"/>
    </row>
    <row r="20" spans="1:9" x14ac:dyDescent="0.3">
      <c r="A20" s="20"/>
      <c r="B20" s="35">
        <v>41541</v>
      </c>
      <c r="C20" s="29" t="s">
        <v>23</v>
      </c>
      <c r="D20" s="36" t="s">
        <v>24</v>
      </c>
      <c r="E20" s="29">
        <v>29800</v>
      </c>
      <c r="F20" s="29">
        <v>29700</v>
      </c>
      <c r="G20" s="29">
        <v>100</v>
      </c>
      <c r="H20" s="37">
        <v>10000</v>
      </c>
      <c r="I20" s="20"/>
    </row>
    <row r="21" spans="1:9" x14ac:dyDescent="0.3">
      <c r="A21" s="20"/>
      <c r="B21" s="35">
        <v>41542</v>
      </c>
      <c r="C21" s="29" t="s">
        <v>16</v>
      </c>
      <c r="D21" s="36" t="s">
        <v>24</v>
      </c>
      <c r="E21" s="29">
        <v>29950</v>
      </c>
      <c r="F21" s="29">
        <v>30000</v>
      </c>
      <c r="G21" s="29">
        <v>100</v>
      </c>
      <c r="H21" s="37">
        <v>5000</v>
      </c>
      <c r="I21" s="20"/>
    </row>
    <row r="22" spans="1:9" x14ac:dyDescent="0.3">
      <c r="A22" s="20"/>
      <c r="B22" s="35">
        <v>41543</v>
      </c>
      <c r="C22" s="29" t="s">
        <v>23</v>
      </c>
      <c r="D22" s="36" t="s">
        <v>24</v>
      </c>
      <c r="E22" s="29">
        <v>30200</v>
      </c>
      <c r="F22" s="29">
        <v>30100</v>
      </c>
      <c r="G22" s="29">
        <v>100</v>
      </c>
      <c r="H22" s="37">
        <v>10000</v>
      </c>
      <c r="I22" s="20"/>
    </row>
    <row r="23" spans="1:9" x14ac:dyDescent="0.3">
      <c r="A23" s="20"/>
      <c r="B23" s="35">
        <v>41544</v>
      </c>
      <c r="C23" s="29" t="s">
        <v>16</v>
      </c>
      <c r="D23" s="36" t="s">
        <v>24</v>
      </c>
      <c r="E23" s="29">
        <v>29800</v>
      </c>
      <c r="F23" s="29">
        <v>29000</v>
      </c>
      <c r="G23" s="29">
        <v>100</v>
      </c>
      <c r="H23" s="37">
        <v>10000</v>
      </c>
      <c r="I23" s="20"/>
    </row>
    <row r="24" spans="1:9" x14ac:dyDescent="0.3">
      <c r="A24" s="20"/>
      <c r="B24" s="35">
        <v>41547</v>
      </c>
      <c r="C24" s="29" t="s">
        <v>23</v>
      </c>
      <c r="D24" s="36" t="s">
        <v>24</v>
      </c>
      <c r="E24" s="29">
        <v>30700</v>
      </c>
      <c r="F24" s="29">
        <v>30600</v>
      </c>
      <c r="G24" s="29">
        <v>100</v>
      </c>
      <c r="H24" s="37">
        <v>10000</v>
      </c>
      <c r="I24" s="20"/>
    </row>
    <row r="25" spans="1:9" x14ac:dyDescent="0.3">
      <c r="A25" s="20"/>
      <c r="B25" s="35"/>
      <c r="C25" s="29"/>
      <c r="D25" s="36"/>
      <c r="E25" s="29"/>
      <c r="F25" s="29"/>
      <c r="G25" s="29"/>
      <c r="H25" s="38">
        <v>140000</v>
      </c>
      <c r="I25" s="20"/>
    </row>
    <row r="26" spans="1:9" x14ac:dyDescent="0.3">
      <c r="A26" s="20"/>
      <c r="B26" s="35"/>
      <c r="C26" s="37"/>
      <c r="D26" s="37"/>
      <c r="E26" s="37"/>
      <c r="F26" s="37"/>
      <c r="G26" s="37"/>
      <c r="H26" s="37"/>
      <c r="I26" s="20"/>
    </row>
    <row r="27" spans="1:9" x14ac:dyDescent="0.3">
      <c r="A27" s="20"/>
      <c r="B27" s="35"/>
      <c r="C27" s="45"/>
      <c r="D27" s="45"/>
      <c r="E27" s="45"/>
      <c r="F27" s="45"/>
      <c r="G27" s="45"/>
      <c r="H27" s="45"/>
      <c r="I27" s="20"/>
    </row>
    <row r="28" spans="1:9" ht="15.6" x14ac:dyDescent="0.3">
      <c r="A28" s="20"/>
      <c r="B28" s="35"/>
      <c r="C28" s="45"/>
      <c r="D28" s="45"/>
      <c r="E28" s="45"/>
      <c r="F28" s="45"/>
      <c r="G28" s="45"/>
      <c r="H28" s="46"/>
      <c r="I28" s="20"/>
    </row>
    <row r="29" spans="1:9" x14ac:dyDescent="0.3">
      <c r="A29" s="20"/>
      <c r="B29" s="35"/>
      <c r="C29" s="18"/>
      <c r="D29" s="18"/>
      <c r="E29" s="18"/>
      <c r="F29" s="18"/>
      <c r="G29" s="18"/>
      <c r="H29" s="18"/>
      <c r="I29" s="20"/>
    </row>
    <row r="30" spans="1:9" ht="15.6" x14ac:dyDescent="0.3">
      <c r="A30" s="20"/>
      <c r="B30" s="295" t="s">
        <v>132</v>
      </c>
      <c r="C30" s="295"/>
      <c r="D30" s="295"/>
      <c r="E30" s="295"/>
      <c r="F30" s="295"/>
      <c r="G30" s="295"/>
      <c r="H30" s="295"/>
      <c r="I30" s="20"/>
    </row>
    <row r="31" spans="1:9" x14ac:dyDescent="0.3">
      <c r="A31" s="20"/>
      <c r="B31" s="35">
        <v>41519</v>
      </c>
      <c r="C31" s="29" t="s">
        <v>16</v>
      </c>
      <c r="D31" s="36" t="s">
        <v>25</v>
      </c>
      <c r="E31" s="29">
        <v>7100</v>
      </c>
      <c r="F31" s="29">
        <v>7130</v>
      </c>
      <c r="G31" s="29">
        <v>100</v>
      </c>
      <c r="H31" s="29">
        <v>3000</v>
      </c>
      <c r="I31" s="20"/>
    </row>
    <row r="32" spans="1:9" x14ac:dyDescent="0.3">
      <c r="A32" s="20"/>
      <c r="B32" s="35">
        <v>41520</v>
      </c>
      <c r="C32" s="29" t="s">
        <v>16</v>
      </c>
      <c r="D32" s="36" t="s">
        <v>25</v>
      </c>
      <c r="E32" s="36">
        <v>7250</v>
      </c>
      <c r="F32" s="29">
        <v>7280</v>
      </c>
      <c r="G32" s="29">
        <v>100</v>
      </c>
      <c r="H32" s="29">
        <v>3000</v>
      </c>
      <c r="I32" s="20"/>
    </row>
    <row r="33" spans="1:9" x14ac:dyDescent="0.3">
      <c r="A33" s="20"/>
      <c r="B33" s="35">
        <v>41521</v>
      </c>
      <c r="C33" s="29" t="s">
        <v>23</v>
      </c>
      <c r="D33" s="36" t="s">
        <v>25</v>
      </c>
      <c r="E33" s="29">
        <v>7350</v>
      </c>
      <c r="F33" s="29">
        <v>7320</v>
      </c>
      <c r="G33" s="29">
        <v>100</v>
      </c>
      <c r="H33" s="29">
        <v>3000</v>
      </c>
      <c r="I33" s="20"/>
    </row>
    <row r="34" spans="1:9" x14ac:dyDescent="0.3">
      <c r="A34" s="20"/>
      <c r="B34" s="35">
        <v>41522</v>
      </c>
      <c r="C34" s="29" t="s">
        <v>16</v>
      </c>
      <c r="D34" s="36" t="s">
        <v>25</v>
      </c>
      <c r="E34" s="29">
        <v>7160</v>
      </c>
      <c r="F34" s="29">
        <v>7180</v>
      </c>
      <c r="G34" s="29">
        <v>100</v>
      </c>
      <c r="H34" s="29">
        <v>2000</v>
      </c>
      <c r="I34" s="20"/>
    </row>
    <row r="35" spans="1:9" x14ac:dyDescent="0.3">
      <c r="A35" s="20"/>
      <c r="B35" s="35">
        <v>41523</v>
      </c>
      <c r="C35" s="29" t="s">
        <v>23</v>
      </c>
      <c r="D35" s="36" t="s">
        <v>25</v>
      </c>
      <c r="E35" s="29">
        <v>7170</v>
      </c>
      <c r="F35" s="29">
        <v>7140</v>
      </c>
      <c r="G35" s="29">
        <v>100</v>
      </c>
      <c r="H35" s="29">
        <v>3000</v>
      </c>
      <c r="I35" s="20"/>
    </row>
    <row r="36" spans="1:9" x14ac:dyDescent="0.3">
      <c r="A36" s="20"/>
      <c r="B36" s="35">
        <v>41527</v>
      </c>
      <c r="C36" s="29" t="s">
        <v>16</v>
      </c>
      <c r="D36" s="36" t="s">
        <v>25</v>
      </c>
      <c r="E36" s="29">
        <v>7010</v>
      </c>
      <c r="F36" s="29">
        <v>6990</v>
      </c>
      <c r="G36" s="29">
        <v>100</v>
      </c>
      <c r="H36" s="29">
        <v>-2000</v>
      </c>
      <c r="I36" s="20"/>
    </row>
    <row r="37" spans="1:9" x14ac:dyDescent="0.3">
      <c r="A37" s="20"/>
      <c r="B37" s="35">
        <v>41528</v>
      </c>
      <c r="C37" s="39" t="s">
        <v>23</v>
      </c>
      <c r="D37" s="36" t="s">
        <v>25</v>
      </c>
      <c r="E37" s="39">
        <v>6885</v>
      </c>
      <c r="F37" s="39">
        <v>6865</v>
      </c>
      <c r="G37" s="29">
        <v>100</v>
      </c>
      <c r="H37" s="39">
        <v>2000</v>
      </c>
      <c r="I37" s="20"/>
    </row>
    <row r="38" spans="1:9" x14ac:dyDescent="0.3">
      <c r="A38" s="20"/>
      <c r="B38" s="35">
        <v>41529</v>
      </c>
      <c r="C38" s="29" t="s">
        <v>16</v>
      </c>
      <c r="D38" s="36" t="s">
        <v>25</v>
      </c>
      <c r="E38" s="29">
        <v>6870</v>
      </c>
      <c r="F38" s="29">
        <v>6890</v>
      </c>
      <c r="G38" s="29">
        <v>100</v>
      </c>
      <c r="H38" s="37">
        <v>2000</v>
      </c>
      <c r="I38" s="20"/>
    </row>
    <row r="39" spans="1:9" x14ac:dyDescent="0.3">
      <c r="A39" s="20"/>
      <c r="B39" s="35">
        <v>41530</v>
      </c>
      <c r="C39" s="29" t="s">
        <v>23</v>
      </c>
      <c r="D39" s="36" t="s">
        <v>25</v>
      </c>
      <c r="E39" s="29">
        <v>6860</v>
      </c>
      <c r="F39" s="29">
        <v>6830</v>
      </c>
      <c r="G39" s="29">
        <v>100</v>
      </c>
      <c r="H39" s="37">
        <v>3000</v>
      </c>
      <c r="I39" s="20"/>
    </row>
    <row r="40" spans="1:9" x14ac:dyDescent="0.3">
      <c r="A40" s="20"/>
      <c r="B40" s="35">
        <v>41533</v>
      </c>
      <c r="C40" s="29" t="s">
        <v>23</v>
      </c>
      <c r="D40" s="36" t="s">
        <v>25</v>
      </c>
      <c r="E40" s="29">
        <v>6760</v>
      </c>
      <c r="F40" s="29">
        <v>6740</v>
      </c>
      <c r="G40" s="29">
        <v>100</v>
      </c>
      <c r="H40" s="37">
        <v>3000</v>
      </c>
      <c r="I40" s="20"/>
    </row>
    <row r="41" spans="1:9" x14ac:dyDescent="0.3">
      <c r="A41" s="20"/>
      <c r="B41" s="35">
        <v>41534</v>
      </c>
      <c r="C41" s="29" t="s">
        <v>23</v>
      </c>
      <c r="D41" s="36" t="s">
        <v>25</v>
      </c>
      <c r="E41" s="29">
        <v>6720</v>
      </c>
      <c r="F41" s="29">
        <v>6700</v>
      </c>
      <c r="G41" s="29">
        <v>100</v>
      </c>
      <c r="H41" s="37">
        <v>2000</v>
      </c>
      <c r="I41" s="20"/>
    </row>
    <row r="42" spans="1:9" x14ac:dyDescent="0.3">
      <c r="A42" s="20"/>
      <c r="B42" s="35">
        <v>41535</v>
      </c>
      <c r="C42" s="29" t="s">
        <v>16</v>
      </c>
      <c r="D42" s="36" t="s">
        <v>25</v>
      </c>
      <c r="E42" s="29">
        <v>6690</v>
      </c>
      <c r="F42" s="29">
        <v>6720</v>
      </c>
      <c r="G42" s="29">
        <v>100</v>
      </c>
      <c r="H42" s="37">
        <v>3000</v>
      </c>
      <c r="I42" s="20"/>
    </row>
    <row r="43" spans="1:9" x14ac:dyDescent="0.3">
      <c r="A43" s="20"/>
      <c r="B43" s="35">
        <v>41536</v>
      </c>
      <c r="C43" s="29" t="s">
        <v>23</v>
      </c>
      <c r="D43" s="36" t="s">
        <v>25</v>
      </c>
      <c r="E43" s="29">
        <v>6720</v>
      </c>
      <c r="F43" s="29">
        <v>6700</v>
      </c>
      <c r="G43" s="29">
        <v>100</v>
      </c>
      <c r="H43" s="37">
        <v>2000</v>
      </c>
      <c r="I43" s="20"/>
    </row>
    <row r="44" spans="1:9" x14ac:dyDescent="0.3">
      <c r="A44" s="20"/>
      <c r="B44" s="35">
        <v>41537</v>
      </c>
      <c r="C44" s="29" t="s">
        <v>23</v>
      </c>
      <c r="D44" s="36" t="s">
        <v>25</v>
      </c>
      <c r="E44" s="29">
        <v>6610</v>
      </c>
      <c r="F44" s="29">
        <v>6640</v>
      </c>
      <c r="G44" s="29">
        <v>100</v>
      </c>
      <c r="H44" s="37">
        <v>-3000</v>
      </c>
      <c r="I44" s="20"/>
    </row>
    <row r="45" spans="1:9" x14ac:dyDescent="0.3">
      <c r="A45" s="20"/>
      <c r="B45" s="35">
        <v>41540</v>
      </c>
      <c r="C45" s="29" t="s">
        <v>23</v>
      </c>
      <c r="D45" s="36" t="s">
        <v>25</v>
      </c>
      <c r="E45" s="29">
        <v>6610</v>
      </c>
      <c r="F45" s="29">
        <v>6540</v>
      </c>
      <c r="G45" s="29">
        <v>100</v>
      </c>
      <c r="H45" s="37">
        <v>6000</v>
      </c>
      <c r="I45" s="20"/>
    </row>
    <row r="46" spans="1:9" x14ac:dyDescent="0.3">
      <c r="A46" s="20"/>
      <c r="B46" s="35">
        <v>41541</v>
      </c>
      <c r="C46" s="29" t="s">
        <v>23</v>
      </c>
      <c r="D46" s="36" t="s">
        <v>25</v>
      </c>
      <c r="E46" s="29">
        <v>6530</v>
      </c>
      <c r="F46" s="29">
        <v>6510</v>
      </c>
      <c r="G46" s="29">
        <v>100</v>
      </c>
      <c r="H46" s="37">
        <v>2000</v>
      </c>
      <c r="I46" s="20"/>
    </row>
    <row r="47" spans="1:9" x14ac:dyDescent="0.3">
      <c r="A47" s="20"/>
      <c r="B47" s="35">
        <v>41542</v>
      </c>
      <c r="C47" s="29" t="s">
        <v>23</v>
      </c>
      <c r="D47" s="36" t="s">
        <v>25</v>
      </c>
      <c r="E47" s="29">
        <v>6540</v>
      </c>
      <c r="F47" s="29">
        <v>6520</v>
      </c>
      <c r="G47" s="29">
        <v>100</v>
      </c>
      <c r="H47" s="37">
        <v>2000</v>
      </c>
      <c r="I47" s="20"/>
    </row>
    <row r="48" spans="1:9" x14ac:dyDescent="0.3">
      <c r="A48" s="20"/>
      <c r="B48" s="35">
        <v>41543</v>
      </c>
      <c r="C48" s="29" t="s">
        <v>23</v>
      </c>
      <c r="D48" s="36" t="s">
        <v>25</v>
      </c>
      <c r="E48" s="29">
        <v>6435</v>
      </c>
      <c r="F48" s="29">
        <v>6415</v>
      </c>
      <c r="G48" s="29">
        <v>100</v>
      </c>
      <c r="H48" s="37">
        <v>2000</v>
      </c>
      <c r="I48" s="20"/>
    </row>
    <row r="49" spans="1:9" x14ac:dyDescent="0.3">
      <c r="A49" s="20"/>
      <c r="B49" s="35">
        <v>41544</v>
      </c>
      <c r="C49" s="29" t="s">
        <v>16</v>
      </c>
      <c r="D49" s="36" t="s">
        <v>25</v>
      </c>
      <c r="E49" s="29">
        <v>6400</v>
      </c>
      <c r="F49" s="29">
        <v>6430</v>
      </c>
      <c r="G49" s="29">
        <v>100</v>
      </c>
      <c r="H49" s="37">
        <v>3000</v>
      </c>
      <c r="I49" s="20"/>
    </row>
    <row r="50" spans="1:9" x14ac:dyDescent="0.3">
      <c r="A50" s="20"/>
      <c r="B50" s="35">
        <v>41547</v>
      </c>
      <c r="C50" s="37" t="s">
        <v>16</v>
      </c>
      <c r="D50" s="36" t="s">
        <v>25</v>
      </c>
      <c r="E50" s="37">
        <v>6435</v>
      </c>
      <c r="F50" s="37">
        <v>6415</v>
      </c>
      <c r="G50" s="29">
        <v>100</v>
      </c>
      <c r="H50" s="37">
        <v>-2000</v>
      </c>
      <c r="I50" s="20"/>
    </row>
    <row r="51" spans="1:9" x14ac:dyDescent="0.3">
      <c r="A51" s="20"/>
      <c r="B51" s="35"/>
      <c r="C51" s="37"/>
      <c r="D51" s="36"/>
      <c r="E51" s="37"/>
      <c r="F51" s="37"/>
      <c r="G51" s="37"/>
      <c r="H51" s="38">
        <v>39000</v>
      </c>
      <c r="I51" s="20"/>
    </row>
    <row r="52" spans="1:9" x14ac:dyDescent="0.3">
      <c r="A52" s="20"/>
      <c r="B52" s="35"/>
      <c r="C52" s="37"/>
      <c r="D52" s="36"/>
      <c r="E52" s="37"/>
      <c r="F52" s="37"/>
      <c r="G52" s="37"/>
      <c r="H52" s="44"/>
      <c r="I52" s="20"/>
    </row>
    <row r="53" spans="1:9" x14ac:dyDescent="0.3">
      <c r="A53" s="20"/>
      <c r="B53" s="35"/>
      <c r="C53" s="45"/>
      <c r="D53" s="36"/>
      <c r="E53" s="45"/>
      <c r="F53" s="45"/>
      <c r="G53" s="45"/>
      <c r="H53" s="45"/>
      <c r="I53" s="20"/>
    </row>
    <row r="54" spans="1:9" ht="15.6" x14ac:dyDescent="0.3">
      <c r="A54" s="20"/>
      <c r="B54" s="35"/>
      <c r="C54" s="18"/>
      <c r="D54" s="18"/>
      <c r="E54" s="18"/>
      <c r="F54" s="18"/>
      <c r="G54" s="18"/>
      <c r="H54" s="46"/>
      <c r="I54" s="20"/>
    </row>
    <row r="55" spans="1:9" x14ac:dyDescent="0.3">
      <c r="A55" s="20"/>
      <c r="B55" s="35"/>
      <c r="C55" s="18"/>
      <c r="D55" s="18"/>
      <c r="E55" s="18"/>
      <c r="F55" s="18"/>
      <c r="G55" s="18"/>
      <c r="H55" s="18"/>
      <c r="I55" s="20"/>
    </row>
    <row r="56" spans="1:9" ht="15.6" x14ac:dyDescent="0.3">
      <c r="A56" s="20"/>
      <c r="B56" s="295" t="s">
        <v>133</v>
      </c>
      <c r="C56" s="295"/>
      <c r="D56" s="295"/>
      <c r="E56" s="295"/>
      <c r="F56" s="295"/>
      <c r="G56" s="295"/>
      <c r="H56" s="295"/>
      <c r="I56" s="20"/>
    </row>
    <row r="57" spans="1:9" x14ac:dyDescent="0.3">
      <c r="A57" s="20"/>
      <c r="B57" s="35">
        <v>41519</v>
      </c>
      <c r="C57" s="29" t="s">
        <v>16</v>
      </c>
      <c r="D57" s="36" t="s">
        <v>29</v>
      </c>
      <c r="E57" s="29">
        <v>487</v>
      </c>
      <c r="F57" s="29">
        <v>491</v>
      </c>
      <c r="G57" s="29">
        <v>1000</v>
      </c>
      <c r="H57" s="29">
        <v>4000</v>
      </c>
      <c r="I57" s="20"/>
    </row>
    <row r="58" spans="1:9" x14ac:dyDescent="0.3">
      <c r="A58" s="20"/>
      <c r="B58" s="35">
        <v>41520</v>
      </c>
      <c r="C58" s="29" t="s">
        <v>16</v>
      </c>
      <c r="D58" s="36" t="s">
        <v>29</v>
      </c>
      <c r="E58" s="29">
        <v>495</v>
      </c>
      <c r="F58" s="29">
        <v>500</v>
      </c>
      <c r="G58" s="29">
        <v>1000</v>
      </c>
      <c r="H58" s="29">
        <v>4000</v>
      </c>
      <c r="I58" s="20"/>
    </row>
    <row r="59" spans="1:9" x14ac:dyDescent="0.3">
      <c r="A59" s="20"/>
      <c r="B59" s="35">
        <v>41521</v>
      </c>
      <c r="C59" s="29" t="s">
        <v>23</v>
      </c>
      <c r="D59" s="36" t="s">
        <v>29</v>
      </c>
      <c r="E59" s="29">
        <v>500</v>
      </c>
      <c r="F59" s="29">
        <v>495</v>
      </c>
      <c r="G59" s="29">
        <v>1000</v>
      </c>
      <c r="H59" s="29">
        <v>5000</v>
      </c>
      <c r="I59" s="20"/>
    </row>
    <row r="60" spans="1:9" x14ac:dyDescent="0.3">
      <c r="A60" s="20"/>
      <c r="B60" s="35">
        <v>41522</v>
      </c>
      <c r="C60" s="29" t="s">
        <v>23</v>
      </c>
      <c r="D60" s="36" t="s">
        <v>27</v>
      </c>
      <c r="E60" s="29">
        <v>141.5</v>
      </c>
      <c r="F60" s="29">
        <v>141</v>
      </c>
      <c r="G60" s="29">
        <v>5000</v>
      </c>
      <c r="H60" s="29">
        <v>2500</v>
      </c>
      <c r="I60" s="20"/>
    </row>
    <row r="61" spans="1:9" x14ac:dyDescent="0.3">
      <c r="A61" s="20"/>
      <c r="B61" s="35">
        <v>41523</v>
      </c>
      <c r="C61" s="29" t="s">
        <v>16</v>
      </c>
      <c r="D61" s="36" t="s">
        <v>29</v>
      </c>
      <c r="E61" s="29">
        <v>483</v>
      </c>
      <c r="F61" s="29">
        <v>480</v>
      </c>
      <c r="G61" s="29">
        <v>1000</v>
      </c>
      <c r="H61" s="29">
        <v>-3000</v>
      </c>
      <c r="I61" s="20"/>
    </row>
    <row r="62" spans="1:9" x14ac:dyDescent="0.3">
      <c r="A62" s="20"/>
      <c r="B62" s="35">
        <v>41527</v>
      </c>
      <c r="C62" s="29" t="s">
        <v>23</v>
      </c>
      <c r="D62" s="36" t="s">
        <v>28</v>
      </c>
      <c r="E62" s="29">
        <v>120</v>
      </c>
      <c r="F62" s="29">
        <v>119.5</v>
      </c>
      <c r="G62" s="29">
        <v>5000</v>
      </c>
      <c r="H62" s="29">
        <v>2500</v>
      </c>
      <c r="I62" s="20"/>
    </row>
    <row r="63" spans="1:9" x14ac:dyDescent="0.3">
      <c r="A63" s="20"/>
      <c r="B63" s="35">
        <v>41528</v>
      </c>
      <c r="C63" s="29" t="s">
        <v>23</v>
      </c>
      <c r="D63" s="36" t="s">
        <v>29</v>
      </c>
      <c r="E63" s="29">
        <v>470</v>
      </c>
      <c r="F63" s="29">
        <v>466</v>
      </c>
      <c r="G63" s="29">
        <v>1000</v>
      </c>
      <c r="H63" s="37">
        <v>4000</v>
      </c>
      <c r="I63" s="20"/>
    </row>
    <row r="64" spans="1:9" x14ac:dyDescent="0.3">
      <c r="A64" s="20"/>
      <c r="B64" s="35">
        <v>41529</v>
      </c>
      <c r="C64" s="29" t="s">
        <v>23</v>
      </c>
      <c r="D64" s="36" t="s">
        <v>29</v>
      </c>
      <c r="E64" s="29">
        <v>462</v>
      </c>
      <c r="F64" s="29">
        <v>458</v>
      </c>
      <c r="G64" s="29">
        <v>1000</v>
      </c>
      <c r="H64" s="37">
        <v>4000</v>
      </c>
      <c r="I64" s="20"/>
    </row>
    <row r="65" spans="1:9" x14ac:dyDescent="0.3">
      <c r="A65" s="20"/>
      <c r="B65" s="35">
        <v>41530</v>
      </c>
      <c r="C65" s="29" t="s">
        <v>23</v>
      </c>
      <c r="D65" s="29" t="s">
        <v>27</v>
      </c>
      <c r="E65" s="29">
        <v>132.5</v>
      </c>
      <c r="F65" s="29">
        <v>131</v>
      </c>
      <c r="G65" s="29">
        <v>5000</v>
      </c>
      <c r="H65" s="37">
        <v>2500</v>
      </c>
      <c r="I65" s="20"/>
    </row>
    <row r="66" spans="1:9" x14ac:dyDescent="0.3">
      <c r="A66" s="20"/>
      <c r="B66" s="35">
        <v>41533</v>
      </c>
      <c r="C66" s="39" t="s">
        <v>23</v>
      </c>
      <c r="D66" s="40" t="s">
        <v>29</v>
      </c>
      <c r="E66" s="39">
        <v>454</v>
      </c>
      <c r="F66" s="39">
        <v>451</v>
      </c>
      <c r="G66" s="39">
        <v>1000</v>
      </c>
      <c r="H66" s="41">
        <v>3000</v>
      </c>
      <c r="I66" s="20"/>
    </row>
    <row r="67" spans="1:9" x14ac:dyDescent="0.3">
      <c r="A67" s="20"/>
      <c r="B67" s="35">
        <v>41534</v>
      </c>
      <c r="C67" s="29" t="s">
        <v>23</v>
      </c>
      <c r="D67" s="36" t="s">
        <v>29</v>
      </c>
      <c r="E67" s="29">
        <v>459</v>
      </c>
      <c r="F67" s="29">
        <v>456</v>
      </c>
      <c r="G67" s="29">
        <v>1000</v>
      </c>
      <c r="H67" s="37">
        <v>3000</v>
      </c>
      <c r="I67" s="20"/>
    </row>
    <row r="68" spans="1:9" x14ac:dyDescent="0.3">
      <c r="A68" s="20"/>
      <c r="B68" s="35">
        <v>41535</v>
      </c>
      <c r="C68" s="29" t="s">
        <v>23</v>
      </c>
      <c r="D68" s="36" t="s">
        <v>29</v>
      </c>
      <c r="E68" s="29">
        <v>457</v>
      </c>
      <c r="F68" s="29">
        <v>459</v>
      </c>
      <c r="G68" s="29">
        <v>1000</v>
      </c>
      <c r="H68" s="37">
        <v>-2000</v>
      </c>
      <c r="I68" s="20"/>
    </row>
    <row r="69" spans="1:9" x14ac:dyDescent="0.3">
      <c r="A69" s="20"/>
      <c r="B69" s="35">
        <v>41536</v>
      </c>
      <c r="C69" s="29" t="s">
        <v>23</v>
      </c>
      <c r="D69" s="36" t="s">
        <v>28</v>
      </c>
      <c r="E69" s="29">
        <v>115.5</v>
      </c>
      <c r="F69" s="29">
        <v>115</v>
      </c>
      <c r="G69" s="29">
        <v>5000</v>
      </c>
      <c r="H69" s="37">
        <v>2500</v>
      </c>
      <c r="I69" s="20"/>
    </row>
    <row r="70" spans="1:9" x14ac:dyDescent="0.3">
      <c r="A70" s="20"/>
      <c r="B70" s="35">
        <v>41537</v>
      </c>
      <c r="C70" s="29" t="s">
        <v>23</v>
      </c>
      <c r="D70" s="36" t="s">
        <v>28</v>
      </c>
      <c r="E70" s="29">
        <v>117</v>
      </c>
      <c r="F70" s="29">
        <v>116</v>
      </c>
      <c r="G70" s="29">
        <v>5000</v>
      </c>
      <c r="H70" s="37">
        <v>5000</v>
      </c>
      <c r="I70" s="20"/>
    </row>
    <row r="71" spans="1:9" x14ac:dyDescent="0.3">
      <c r="A71" s="20"/>
      <c r="B71" s="35">
        <v>41540</v>
      </c>
      <c r="C71" s="29" t="s">
        <v>16</v>
      </c>
      <c r="D71" s="36" t="s">
        <v>28</v>
      </c>
      <c r="E71" s="29">
        <v>116</v>
      </c>
      <c r="F71" s="29">
        <v>116.5</v>
      </c>
      <c r="G71" s="29">
        <v>5000</v>
      </c>
      <c r="H71" s="37">
        <v>2500</v>
      </c>
      <c r="I71" s="20"/>
    </row>
    <row r="72" spans="1:9" x14ac:dyDescent="0.3">
      <c r="A72" s="20"/>
      <c r="B72" s="35">
        <v>41541</v>
      </c>
      <c r="C72" s="29" t="s">
        <v>23</v>
      </c>
      <c r="D72" s="29" t="s">
        <v>28</v>
      </c>
      <c r="E72" s="29">
        <v>116.5</v>
      </c>
      <c r="F72" s="29">
        <v>116</v>
      </c>
      <c r="G72" s="29">
        <v>5000</v>
      </c>
      <c r="H72" s="37">
        <v>2500</v>
      </c>
      <c r="I72" s="20"/>
    </row>
    <row r="73" spans="1:9" x14ac:dyDescent="0.3">
      <c r="A73" s="20"/>
      <c r="B73" s="35">
        <v>41542</v>
      </c>
      <c r="C73" s="29" t="s">
        <v>23</v>
      </c>
      <c r="D73" s="36" t="s">
        <v>28</v>
      </c>
      <c r="E73" s="29">
        <v>116.4</v>
      </c>
      <c r="F73" s="29">
        <v>115.9</v>
      </c>
      <c r="G73" s="29">
        <v>5000</v>
      </c>
      <c r="H73" s="37">
        <v>2500</v>
      </c>
      <c r="I73" s="20"/>
    </row>
    <row r="74" spans="1:9" x14ac:dyDescent="0.3">
      <c r="A74" s="20"/>
      <c r="B74" s="35">
        <v>41543</v>
      </c>
      <c r="C74" s="29" t="s">
        <v>16</v>
      </c>
      <c r="D74" s="36" t="s">
        <v>27</v>
      </c>
      <c r="E74" s="29">
        <v>128</v>
      </c>
      <c r="F74" s="29">
        <v>128.5</v>
      </c>
      <c r="G74" s="29">
        <v>5000</v>
      </c>
      <c r="H74" s="37">
        <v>2500</v>
      </c>
      <c r="I74" s="20"/>
    </row>
    <row r="75" spans="1:9" x14ac:dyDescent="0.3">
      <c r="A75" s="20"/>
      <c r="B75" s="35">
        <v>41544</v>
      </c>
      <c r="C75" s="29" t="s">
        <v>16</v>
      </c>
      <c r="D75" s="36" t="s">
        <v>27</v>
      </c>
      <c r="E75" s="29">
        <v>128</v>
      </c>
      <c r="F75" s="29">
        <v>129</v>
      </c>
      <c r="G75" s="29">
        <v>5000</v>
      </c>
      <c r="H75" s="37">
        <v>5000</v>
      </c>
      <c r="I75" s="20"/>
    </row>
    <row r="76" spans="1:9" x14ac:dyDescent="0.3">
      <c r="A76" s="20"/>
      <c r="B76" s="35">
        <v>41547</v>
      </c>
      <c r="C76" s="29" t="s">
        <v>16</v>
      </c>
      <c r="D76" s="29" t="s">
        <v>27</v>
      </c>
      <c r="E76" s="29">
        <v>130</v>
      </c>
      <c r="F76" s="29">
        <v>130.5</v>
      </c>
      <c r="G76" s="29">
        <v>5000</v>
      </c>
      <c r="H76" s="37">
        <v>2500</v>
      </c>
      <c r="I76" s="20"/>
    </row>
    <row r="77" spans="1:9" x14ac:dyDescent="0.3">
      <c r="A77" s="20"/>
      <c r="B77" s="35"/>
      <c r="C77" s="29"/>
      <c r="D77" s="29"/>
      <c r="E77" s="29"/>
      <c r="F77" s="29"/>
      <c r="G77" s="29"/>
      <c r="H77" s="38">
        <v>54500</v>
      </c>
      <c r="I77" s="20"/>
    </row>
  </sheetData>
  <mergeCells count="5">
    <mergeCell ref="B1:H1"/>
    <mergeCell ref="B2:H2"/>
    <mergeCell ref="B3:H3"/>
    <mergeCell ref="B30:H30"/>
    <mergeCell ref="B56:H56"/>
  </mergeCells>
  <hyperlinks>
    <hyperlink ref="J2" location="MASTER!A1" display="Back" xr:uid="{00000000-0004-0000-0900-000000000000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W114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44256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42</v>
      </c>
      <c r="O4" s="355">
        <f>V51</f>
        <v>32</v>
      </c>
      <c r="P4" s="355">
        <f>W51</f>
        <v>4</v>
      </c>
      <c r="Q4" s="356">
        <f>N4-O4-P4</f>
        <v>6</v>
      </c>
      <c r="R4" s="343">
        <f>O4/N4</f>
        <v>0.76190476190476186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44256</v>
      </c>
      <c r="D6" s="192" t="s">
        <v>23</v>
      </c>
      <c r="E6" s="192" t="s">
        <v>24</v>
      </c>
      <c r="F6" s="193">
        <v>45970</v>
      </c>
      <c r="G6" s="193">
        <v>45770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COUNT(C59:C81)</f>
        <v>21</v>
      </c>
      <c r="O6" s="348">
        <f>V82</f>
        <v>17</v>
      </c>
      <c r="P6" s="348">
        <f>W82</f>
        <v>4</v>
      </c>
      <c r="Q6" s="349">
        <f>N6-O6-P6</f>
        <v>0</v>
      </c>
      <c r="R6" s="345">
        <f t="shared" ref="R6" si="0">O6/N6</f>
        <v>0.80952380952380953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44256</v>
      </c>
      <c r="D7" s="196" t="s">
        <v>23</v>
      </c>
      <c r="E7" s="196" t="s">
        <v>22</v>
      </c>
      <c r="F7" s="197">
        <v>69600</v>
      </c>
      <c r="G7" s="197">
        <v>69000</v>
      </c>
      <c r="H7" s="196">
        <v>600</v>
      </c>
      <c r="I7" s="197">
        <v>30</v>
      </c>
      <c r="J7" s="268">
        <f t="shared" ref="J7:J50" si="1">H7*I7</f>
        <v>18000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44257</v>
      </c>
      <c r="D8" s="196" t="s">
        <v>16</v>
      </c>
      <c r="E8" s="196" t="s">
        <v>24</v>
      </c>
      <c r="F8" s="197">
        <v>45380</v>
      </c>
      <c r="G8" s="197">
        <v>45580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COUNT(C90:C112)</f>
        <v>21</v>
      </c>
      <c r="O8" s="348">
        <f>V113</f>
        <v>15</v>
      </c>
      <c r="P8" s="348">
        <f>W113</f>
        <v>6</v>
      </c>
      <c r="Q8" s="349">
        <f>N8-O8-P8</f>
        <v>0</v>
      </c>
      <c r="R8" s="345">
        <f t="shared" ref="R8" si="4">O8/N8</f>
        <v>0.7142857142857143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44257</v>
      </c>
      <c r="D9" s="196" t="s">
        <v>16</v>
      </c>
      <c r="E9" s="196" t="s">
        <v>22</v>
      </c>
      <c r="F9" s="197">
        <v>68100</v>
      </c>
      <c r="G9" s="197">
        <v>68700</v>
      </c>
      <c r="H9" s="196">
        <v>600</v>
      </c>
      <c r="I9" s="197">
        <v>30</v>
      </c>
      <c r="J9" s="268">
        <f t="shared" si="1"/>
        <v>18000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44258</v>
      </c>
      <c r="D10" s="196" t="s">
        <v>23</v>
      </c>
      <c r="E10" s="196" t="s">
        <v>24</v>
      </c>
      <c r="F10" s="197">
        <v>45100</v>
      </c>
      <c r="G10" s="197">
        <v>44900</v>
      </c>
      <c r="H10" s="196">
        <v>200</v>
      </c>
      <c r="I10" s="197">
        <v>100</v>
      </c>
      <c r="J10" s="268">
        <f t="shared" si="1"/>
        <v>20000</v>
      </c>
      <c r="K10" s="185"/>
      <c r="M10" s="319" t="s">
        <v>300</v>
      </c>
      <c r="N10" s="321">
        <f>SUM(N4:N9)</f>
        <v>84</v>
      </c>
      <c r="O10" s="321">
        <f>SUM(O4:O9)</f>
        <v>64</v>
      </c>
      <c r="P10" s="321">
        <f>SUM(P4:P9)</f>
        <v>14</v>
      </c>
      <c r="Q10" s="341">
        <f>SUM(Q4:Q9)</f>
        <v>6</v>
      </c>
      <c r="R10" s="343">
        <f t="shared" ref="R10" si="5">O10/N10</f>
        <v>0.76190476190476186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44258</v>
      </c>
      <c r="D11" s="196" t="s">
        <v>23</v>
      </c>
      <c r="E11" s="196" t="s">
        <v>22</v>
      </c>
      <c r="F11" s="197">
        <v>68700</v>
      </c>
      <c r="G11" s="197">
        <v>68100</v>
      </c>
      <c r="H11" s="196">
        <v>600</v>
      </c>
      <c r="I11" s="197">
        <v>30</v>
      </c>
      <c r="J11" s="268">
        <f t="shared" si="1"/>
        <v>18000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44259</v>
      </c>
      <c r="D12" s="196" t="s">
        <v>23</v>
      </c>
      <c r="E12" s="196" t="s">
        <v>24</v>
      </c>
      <c r="F12" s="197">
        <v>44720</v>
      </c>
      <c r="G12" s="197">
        <v>44622</v>
      </c>
      <c r="H12" s="196">
        <v>98</v>
      </c>
      <c r="I12" s="197">
        <v>100</v>
      </c>
      <c r="J12" s="268">
        <f t="shared" si="1"/>
        <v>9800</v>
      </c>
      <c r="K12" s="185"/>
      <c r="M12" s="323" t="s">
        <v>878</v>
      </c>
      <c r="N12" s="324"/>
      <c r="O12" s="325"/>
      <c r="P12" s="332">
        <f>R10</f>
        <v>0.76190476190476186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44259</v>
      </c>
      <c r="D13" s="196" t="s">
        <v>23</v>
      </c>
      <c r="E13" s="196" t="s">
        <v>22</v>
      </c>
      <c r="F13" s="197">
        <v>66950</v>
      </c>
      <c r="G13" s="197">
        <v>66550</v>
      </c>
      <c r="H13" s="196">
        <v>400</v>
      </c>
      <c r="I13" s="197">
        <v>30</v>
      </c>
      <c r="J13" s="268">
        <f t="shared" si="1"/>
        <v>12000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44260</v>
      </c>
      <c r="D14" s="196" t="s">
        <v>23</v>
      </c>
      <c r="E14" s="196" t="s">
        <v>24</v>
      </c>
      <c r="F14" s="197">
        <v>44320</v>
      </c>
      <c r="G14" s="197">
        <v>44265</v>
      </c>
      <c r="H14" s="196">
        <v>55</v>
      </c>
      <c r="I14" s="197">
        <v>100</v>
      </c>
      <c r="J14" s="268">
        <f t="shared" si="1"/>
        <v>5500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44260</v>
      </c>
      <c r="D15" s="196" t="s">
        <v>23</v>
      </c>
      <c r="E15" s="196" t="s">
        <v>22</v>
      </c>
      <c r="F15" s="197">
        <v>65400</v>
      </c>
      <c r="G15" s="197">
        <v>64800</v>
      </c>
      <c r="H15" s="196">
        <v>600</v>
      </c>
      <c r="I15" s="197">
        <v>30</v>
      </c>
      <c r="J15" s="268">
        <f t="shared" si="1"/>
        <v>18000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44263</v>
      </c>
      <c r="D16" s="196" t="s">
        <v>23</v>
      </c>
      <c r="E16" s="196" t="s">
        <v>24</v>
      </c>
      <c r="F16" s="197">
        <v>44420</v>
      </c>
      <c r="G16" s="197">
        <v>44260</v>
      </c>
      <c r="H16" s="196">
        <v>160</v>
      </c>
      <c r="I16" s="197">
        <v>100</v>
      </c>
      <c r="J16" s="268">
        <f t="shared" si="1"/>
        <v>16000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44263</v>
      </c>
      <c r="D17" s="196" t="s">
        <v>23</v>
      </c>
      <c r="E17" s="196" t="s">
        <v>22</v>
      </c>
      <c r="F17" s="197">
        <v>65850</v>
      </c>
      <c r="G17" s="197">
        <v>65250</v>
      </c>
      <c r="H17" s="196">
        <v>600</v>
      </c>
      <c r="I17" s="197">
        <v>30</v>
      </c>
      <c r="J17" s="268">
        <f t="shared" si="1"/>
        <v>18000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44264</v>
      </c>
      <c r="D18" s="196" t="s">
        <v>23</v>
      </c>
      <c r="E18" s="196" t="s">
        <v>24</v>
      </c>
      <c r="F18" s="197">
        <v>44420</v>
      </c>
      <c r="G18" s="197">
        <v>44520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44264</v>
      </c>
      <c r="D19" s="196" t="s">
        <v>23</v>
      </c>
      <c r="E19" s="196" t="s">
        <v>22</v>
      </c>
      <c r="F19" s="197">
        <v>66700</v>
      </c>
      <c r="G19" s="197">
        <v>66550</v>
      </c>
      <c r="H19" s="196">
        <v>150</v>
      </c>
      <c r="I19" s="197">
        <v>30</v>
      </c>
      <c r="J19" s="268">
        <f t="shared" si="1"/>
        <v>4500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44265</v>
      </c>
      <c r="D20" s="196" t="s">
        <v>23</v>
      </c>
      <c r="E20" s="196" t="s">
        <v>24</v>
      </c>
      <c r="F20" s="197">
        <v>44740</v>
      </c>
      <c r="G20" s="197">
        <v>44640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44265</v>
      </c>
      <c r="D21" s="196" t="s">
        <v>23</v>
      </c>
      <c r="E21" s="196" t="s">
        <v>22</v>
      </c>
      <c r="F21" s="197">
        <v>67000</v>
      </c>
      <c r="G21" s="197">
        <v>66700</v>
      </c>
      <c r="H21" s="196">
        <v>300</v>
      </c>
      <c r="I21" s="197">
        <v>30</v>
      </c>
      <c r="J21" s="268">
        <f t="shared" si="1"/>
        <v>9000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44266</v>
      </c>
      <c r="D22" s="196" t="s">
        <v>23</v>
      </c>
      <c r="E22" s="196" t="s">
        <v>24</v>
      </c>
      <c r="F22" s="197">
        <v>44490</v>
      </c>
      <c r="G22" s="197">
        <v>44340</v>
      </c>
      <c r="H22" s="196">
        <v>150</v>
      </c>
      <c r="I22" s="197">
        <v>100</v>
      </c>
      <c r="J22" s="268">
        <f t="shared" si="1"/>
        <v>15000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44266</v>
      </c>
      <c r="D23" s="196" t="s">
        <v>23</v>
      </c>
      <c r="E23" s="196" t="s">
        <v>22</v>
      </c>
      <c r="F23" s="197">
        <v>66500</v>
      </c>
      <c r="G23" s="197">
        <v>66200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44270</v>
      </c>
      <c r="D24" s="196" t="s">
        <v>23</v>
      </c>
      <c r="E24" s="196" t="s">
        <v>24</v>
      </c>
      <c r="F24" s="197">
        <v>44870</v>
      </c>
      <c r="G24" s="197">
        <v>44970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44270</v>
      </c>
      <c r="D25" s="196" t="s">
        <v>23</v>
      </c>
      <c r="E25" s="196" t="s">
        <v>22</v>
      </c>
      <c r="F25" s="197">
        <v>67350</v>
      </c>
      <c r="G25" s="197">
        <v>37170</v>
      </c>
      <c r="H25" s="196">
        <v>180</v>
      </c>
      <c r="I25" s="197">
        <v>30</v>
      </c>
      <c r="J25" s="268">
        <f t="shared" si="1"/>
        <v>5400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44271</v>
      </c>
      <c r="D26" s="196" t="s">
        <v>16</v>
      </c>
      <c r="E26" s="196" t="s">
        <v>24</v>
      </c>
      <c r="F26" s="197">
        <v>44940</v>
      </c>
      <c r="G26" s="197">
        <v>44840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44271</v>
      </c>
      <c r="D27" s="196" t="s">
        <v>16</v>
      </c>
      <c r="E27" s="196" t="s">
        <v>22</v>
      </c>
      <c r="F27" s="197">
        <v>67300</v>
      </c>
      <c r="G27" s="197">
        <v>67450</v>
      </c>
      <c r="H27" s="196"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44272</v>
      </c>
      <c r="D28" s="196" t="s">
        <v>23</v>
      </c>
      <c r="E28" s="196" t="s">
        <v>24</v>
      </c>
      <c r="F28" s="197">
        <v>44960</v>
      </c>
      <c r="G28" s="197">
        <v>44860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44272</v>
      </c>
      <c r="D29" s="196" t="s">
        <v>23</v>
      </c>
      <c r="E29" s="196" t="s">
        <v>22</v>
      </c>
      <c r="F29" s="197">
        <v>67200</v>
      </c>
      <c r="G29" s="197">
        <v>66900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44273</v>
      </c>
      <c r="D30" s="196" t="s">
        <v>23</v>
      </c>
      <c r="E30" s="196" t="s">
        <v>24</v>
      </c>
      <c r="F30" s="197">
        <v>44980</v>
      </c>
      <c r="G30" s="197">
        <v>44780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44273</v>
      </c>
      <c r="D31" s="196" t="s">
        <v>23</v>
      </c>
      <c r="E31" s="196" t="s">
        <v>22</v>
      </c>
      <c r="F31" s="197">
        <v>67600</v>
      </c>
      <c r="G31" s="197">
        <v>67000</v>
      </c>
      <c r="H31" s="196">
        <v>600</v>
      </c>
      <c r="I31" s="197">
        <v>30</v>
      </c>
      <c r="J31" s="268">
        <f t="shared" si="1"/>
        <v>18000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44274</v>
      </c>
      <c r="D32" s="196" t="s">
        <v>23</v>
      </c>
      <c r="E32" s="196" t="s">
        <v>24</v>
      </c>
      <c r="F32" s="197">
        <v>44950</v>
      </c>
      <c r="G32" s="197">
        <v>44860</v>
      </c>
      <c r="H32" s="196">
        <v>90</v>
      </c>
      <c r="I32" s="197">
        <v>100</v>
      </c>
      <c r="J32" s="268">
        <f t="shared" si="1"/>
        <v>9000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44274</v>
      </c>
      <c r="D33" s="196" t="s">
        <v>23</v>
      </c>
      <c r="E33" s="196" t="s">
        <v>22</v>
      </c>
      <c r="F33" s="197">
        <v>67200</v>
      </c>
      <c r="G33" s="197">
        <v>67500</v>
      </c>
      <c r="H33" s="196">
        <v>-300</v>
      </c>
      <c r="I33" s="197">
        <v>30</v>
      </c>
      <c r="J33" s="268">
        <f t="shared" si="1"/>
        <v>-9000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44277</v>
      </c>
      <c r="D34" s="196" t="s">
        <v>16</v>
      </c>
      <c r="E34" s="196" t="s">
        <v>24</v>
      </c>
      <c r="F34" s="197">
        <v>44730</v>
      </c>
      <c r="G34" s="197">
        <v>44830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44277</v>
      </c>
      <c r="D35" s="196" t="s">
        <v>16</v>
      </c>
      <c r="E35" s="196" t="s">
        <v>22</v>
      </c>
      <c r="F35" s="197">
        <v>66100</v>
      </c>
      <c r="G35" s="197">
        <v>66400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44278</v>
      </c>
      <c r="D36" s="196" t="s">
        <v>23</v>
      </c>
      <c r="E36" s="196" t="s">
        <v>24</v>
      </c>
      <c r="F36" s="197">
        <v>44960</v>
      </c>
      <c r="G36" s="197">
        <v>44760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44278</v>
      </c>
      <c r="D37" s="196" t="s">
        <v>23</v>
      </c>
      <c r="E37" s="196" t="s">
        <v>22</v>
      </c>
      <c r="F37" s="197">
        <v>66100</v>
      </c>
      <c r="G37" s="197">
        <v>65500</v>
      </c>
      <c r="H37" s="196">
        <v>600</v>
      </c>
      <c r="I37" s="197">
        <v>30</v>
      </c>
      <c r="J37" s="268">
        <f t="shared" si="1"/>
        <v>18000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44279</v>
      </c>
      <c r="D38" s="196" t="s">
        <v>23</v>
      </c>
      <c r="E38" s="196" t="s">
        <v>24</v>
      </c>
      <c r="F38" s="197">
        <v>44850</v>
      </c>
      <c r="G38" s="197">
        <v>44710</v>
      </c>
      <c r="H38" s="196">
        <v>140</v>
      </c>
      <c r="I38" s="197">
        <v>100</v>
      </c>
      <c r="J38" s="268">
        <f t="shared" si="1"/>
        <v>14000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44279</v>
      </c>
      <c r="D39" s="196" t="s">
        <v>23</v>
      </c>
      <c r="E39" s="196" t="s">
        <v>22</v>
      </c>
      <c r="F39" s="197">
        <v>65600</v>
      </c>
      <c r="G39" s="197">
        <v>65300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44280</v>
      </c>
      <c r="D40" s="196" t="s">
        <v>23</v>
      </c>
      <c r="E40" s="196" t="s">
        <v>24</v>
      </c>
      <c r="F40" s="197">
        <v>44730</v>
      </c>
      <c r="G40" s="197">
        <v>44630</v>
      </c>
      <c r="H40" s="196">
        <v>100</v>
      </c>
      <c r="I40" s="197">
        <v>100</v>
      </c>
      <c r="J40" s="268">
        <f t="shared" si="1"/>
        <v>10000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44280</v>
      </c>
      <c r="D41" s="196" t="s">
        <v>23</v>
      </c>
      <c r="E41" s="196" t="s">
        <v>22</v>
      </c>
      <c r="F41" s="197">
        <v>64600</v>
      </c>
      <c r="G41" s="197">
        <v>64000</v>
      </c>
      <c r="H41" s="196">
        <v>600</v>
      </c>
      <c r="I41" s="197">
        <v>30</v>
      </c>
      <c r="J41" s="268">
        <f t="shared" si="1"/>
        <v>18000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44281</v>
      </c>
      <c r="D42" s="196" t="s">
        <v>23</v>
      </c>
      <c r="E42" s="196" t="s">
        <v>24</v>
      </c>
      <c r="F42" s="197">
        <v>44620</v>
      </c>
      <c r="G42" s="197">
        <v>44480</v>
      </c>
      <c r="H42" s="196">
        <v>140</v>
      </c>
      <c r="I42" s="197">
        <v>100</v>
      </c>
      <c r="J42" s="268">
        <f t="shared" si="1"/>
        <v>14000</v>
      </c>
      <c r="K42" s="185"/>
    </row>
    <row r="43" spans="1:23" x14ac:dyDescent="0.3">
      <c r="A43" s="184"/>
      <c r="B43" s="194">
        <v>38</v>
      </c>
      <c r="C43" s="195">
        <v>44281</v>
      </c>
      <c r="D43" s="196" t="s">
        <v>23</v>
      </c>
      <c r="E43" s="196" t="s">
        <v>22</v>
      </c>
      <c r="F43" s="197">
        <v>65100</v>
      </c>
      <c r="G43" s="197">
        <v>64800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44285</v>
      </c>
      <c r="D44" s="196" t="s">
        <v>16</v>
      </c>
      <c r="E44" s="196" t="s">
        <v>24</v>
      </c>
      <c r="F44" s="197">
        <v>44630</v>
      </c>
      <c r="G44" s="197">
        <v>44700</v>
      </c>
      <c r="H44" s="196">
        <v>70</v>
      </c>
      <c r="I44" s="197">
        <v>100</v>
      </c>
      <c r="J44" s="268">
        <f t="shared" si="1"/>
        <v>7000</v>
      </c>
      <c r="K44" s="185"/>
    </row>
    <row r="45" spans="1:23" x14ac:dyDescent="0.3">
      <c r="A45" s="184"/>
      <c r="B45" s="194">
        <v>40</v>
      </c>
      <c r="C45" s="195">
        <v>44285</v>
      </c>
      <c r="D45" s="196" t="s">
        <v>16</v>
      </c>
      <c r="E45" s="196" t="s">
        <v>22</v>
      </c>
      <c r="F45" s="197">
        <v>64050</v>
      </c>
      <c r="G45" s="197">
        <v>63750</v>
      </c>
      <c r="H45" s="196">
        <v>-300</v>
      </c>
      <c r="I45" s="197">
        <v>30</v>
      </c>
      <c r="J45" s="268">
        <f t="shared" si="1"/>
        <v>-9000</v>
      </c>
      <c r="K45" s="185"/>
    </row>
    <row r="46" spans="1:23" x14ac:dyDescent="0.3">
      <c r="A46" s="184"/>
      <c r="B46" s="194">
        <v>41</v>
      </c>
      <c r="C46" s="195">
        <v>44286</v>
      </c>
      <c r="D46" s="196" t="s">
        <v>23</v>
      </c>
      <c r="E46" s="196" t="s">
        <v>24</v>
      </c>
      <c r="F46" s="197">
        <v>44390</v>
      </c>
      <c r="G46" s="197">
        <v>44290</v>
      </c>
      <c r="H46" s="196">
        <v>100</v>
      </c>
      <c r="I46" s="197">
        <v>100</v>
      </c>
      <c r="J46" s="268">
        <f t="shared" si="1"/>
        <v>10000</v>
      </c>
      <c r="K46" s="185"/>
    </row>
    <row r="47" spans="1:23" x14ac:dyDescent="0.3">
      <c r="A47" s="184"/>
      <c r="B47" s="194">
        <v>42</v>
      </c>
      <c r="C47" s="195">
        <v>44286</v>
      </c>
      <c r="D47" s="196" t="s">
        <v>23</v>
      </c>
      <c r="E47" s="196" t="s">
        <v>22</v>
      </c>
      <c r="F47" s="197">
        <v>64100</v>
      </c>
      <c r="G47" s="197">
        <v>63900</v>
      </c>
      <c r="H47" s="196">
        <v>100</v>
      </c>
      <c r="I47" s="197">
        <v>30</v>
      </c>
      <c r="J47" s="268">
        <f t="shared" si="1"/>
        <v>3000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419700</v>
      </c>
      <c r="K51" s="185"/>
      <c r="V51" s="183">
        <f>SUM(V6:V50)</f>
        <v>32</v>
      </c>
      <c r="W51" s="183">
        <f>SUM(W6:W50)</f>
        <v>4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44256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44256</v>
      </c>
      <c r="D59" s="192" t="s">
        <v>23</v>
      </c>
      <c r="E59" s="192" t="s">
        <v>25</v>
      </c>
      <c r="F59" s="193">
        <v>4610</v>
      </c>
      <c r="G59" s="193">
        <v>4550</v>
      </c>
      <c r="H59" s="192">
        <v>60</v>
      </c>
      <c r="I59" s="193">
        <v>100</v>
      </c>
      <c r="J59" s="267">
        <f t="shared" ref="J59:J81" si="7">I59*H59</f>
        <v>6000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44257</v>
      </c>
      <c r="D60" s="196" t="s">
        <v>23</v>
      </c>
      <c r="E60" s="196" t="s">
        <v>25</v>
      </c>
      <c r="F60" s="197">
        <v>4475</v>
      </c>
      <c r="G60" s="197">
        <v>4458</v>
      </c>
      <c r="H60" s="196">
        <v>17</v>
      </c>
      <c r="I60" s="197">
        <v>100</v>
      </c>
      <c r="J60" s="268">
        <f t="shared" si="7"/>
        <v>1700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44258</v>
      </c>
      <c r="D61" s="196" t="s">
        <v>23</v>
      </c>
      <c r="E61" s="196" t="s">
        <v>25</v>
      </c>
      <c r="F61" s="197">
        <v>4455</v>
      </c>
      <c r="G61" s="197">
        <v>4425</v>
      </c>
      <c r="H61" s="196">
        <v>30</v>
      </c>
      <c r="I61" s="197">
        <v>100</v>
      </c>
      <c r="J61" s="268">
        <f t="shared" si="7"/>
        <v>3000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44259</v>
      </c>
      <c r="D62" s="196" t="s">
        <v>23</v>
      </c>
      <c r="E62" s="196" t="s">
        <v>25</v>
      </c>
      <c r="F62" s="197">
        <v>4440</v>
      </c>
      <c r="G62" s="197">
        <v>4418</v>
      </c>
      <c r="H62" s="196">
        <v>22</v>
      </c>
      <c r="I62" s="197">
        <v>100</v>
      </c>
      <c r="J62" s="268">
        <f t="shared" si="7"/>
        <v>2200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44260</v>
      </c>
      <c r="D63" s="196" t="s">
        <v>23</v>
      </c>
      <c r="E63" s="196" t="s">
        <v>25</v>
      </c>
      <c r="F63" s="197">
        <v>4725</v>
      </c>
      <c r="G63" s="197">
        <v>4755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44263</v>
      </c>
      <c r="D64" s="196" t="s">
        <v>23</v>
      </c>
      <c r="E64" s="196" t="s">
        <v>25</v>
      </c>
      <c r="F64" s="197">
        <v>4880</v>
      </c>
      <c r="G64" s="197">
        <v>4820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44264</v>
      </c>
      <c r="D65" s="196" t="s">
        <v>16</v>
      </c>
      <c r="E65" s="196" t="s">
        <v>25</v>
      </c>
      <c r="F65" s="222">
        <v>4800</v>
      </c>
      <c r="G65" s="222">
        <v>4822</v>
      </c>
      <c r="H65" s="196">
        <v>22</v>
      </c>
      <c r="I65" s="197">
        <v>100</v>
      </c>
      <c r="J65" s="268">
        <f t="shared" si="7"/>
        <v>2200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44265</v>
      </c>
      <c r="D66" s="196" t="s">
        <v>23</v>
      </c>
      <c r="E66" s="196" t="s">
        <v>25</v>
      </c>
      <c r="F66" s="197">
        <v>4675</v>
      </c>
      <c r="G66" s="197">
        <v>4655</v>
      </c>
      <c r="H66" s="196">
        <v>20</v>
      </c>
      <c r="I66" s="197">
        <v>100</v>
      </c>
      <c r="J66" s="268">
        <f t="shared" si="7"/>
        <v>2000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44266</v>
      </c>
      <c r="D67" s="196" t="s">
        <v>23</v>
      </c>
      <c r="E67" s="196" t="s">
        <v>25</v>
      </c>
      <c r="F67" s="197">
        <v>4785</v>
      </c>
      <c r="G67" s="197">
        <v>4815</v>
      </c>
      <c r="H67" s="196">
        <v>-30</v>
      </c>
      <c r="I67" s="197">
        <v>100</v>
      </c>
      <c r="J67" s="268">
        <f t="shared" si="7"/>
        <v>-3000</v>
      </c>
      <c r="K67" s="185"/>
      <c r="V67" s="183">
        <f t="shared" si="8"/>
        <v>0</v>
      </c>
      <c r="W67" s="183">
        <f t="shared" si="9"/>
        <v>1</v>
      </c>
    </row>
    <row r="68" spans="1:23" x14ac:dyDescent="0.3">
      <c r="A68" s="184"/>
      <c r="B68" s="194">
        <v>10</v>
      </c>
      <c r="C68" s="195">
        <v>44270</v>
      </c>
      <c r="D68" s="196" t="s">
        <v>23</v>
      </c>
      <c r="E68" s="196" t="s">
        <v>25</v>
      </c>
      <c r="F68" s="197">
        <v>4770</v>
      </c>
      <c r="G68" s="197">
        <v>4710</v>
      </c>
      <c r="H68" s="196"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44271</v>
      </c>
      <c r="D69" s="196" t="s">
        <v>23</v>
      </c>
      <c r="E69" s="196" t="s">
        <v>25</v>
      </c>
      <c r="F69" s="197">
        <v>4680</v>
      </c>
      <c r="G69" s="197">
        <v>4635</v>
      </c>
      <c r="H69" s="196">
        <v>45</v>
      </c>
      <c r="I69" s="197">
        <v>100</v>
      </c>
      <c r="J69" s="268">
        <f t="shared" si="7"/>
        <v>4500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44272</v>
      </c>
      <c r="D70" s="196" t="s">
        <v>23</v>
      </c>
      <c r="E70" s="196" t="s">
        <v>25</v>
      </c>
      <c r="F70" s="197">
        <v>4715</v>
      </c>
      <c r="G70" s="197">
        <v>4655</v>
      </c>
      <c r="H70" s="196"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44273</v>
      </c>
      <c r="D71" s="196" t="s">
        <v>23</v>
      </c>
      <c r="E71" s="196" t="s">
        <v>25</v>
      </c>
      <c r="F71" s="197">
        <v>4670</v>
      </c>
      <c r="G71" s="197">
        <v>4700</v>
      </c>
      <c r="H71" s="196">
        <v>-30</v>
      </c>
      <c r="I71" s="197">
        <v>100</v>
      </c>
      <c r="J71" s="268">
        <f t="shared" si="7"/>
        <v>-3000</v>
      </c>
      <c r="K71" s="185"/>
      <c r="V71" s="183">
        <f t="shared" si="8"/>
        <v>0</v>
      </c>
      <c r="W71" s="183">
        <f t="shared" si="9"/>
        <v>1</v>
      </c>
    </row>
    <row r="72" spans="1:23" x14ac:dyDescent="0.3">
      <c r="A72" s="184"/>
      <c r="B72" s="194">
        <v>14</v>
      </c>
      <c r="C72" s="195">
        <v>44274</v>
      </c>
      <c r="D72" s="196" t="s">
        <v>23</v>
      </c>
      <c r="E72" s="196" t="s">
        <v>25</v>
      </c>
      <c r="F72" s="197">
        <v>4410</v>
      </c>
      <c r="G72" s="197">
        <v>4350</v>
      </c>
      <c r="H72" s="196"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44277</v>
      </c>
      <c r="D73" s="196" t="s">
        <v>23</v>
      </c>
      <c r="E73" s="196" t="s">
        <v>25</v>
      </c>
      <c r="F73" s="197">
        <v>4495</v>
      </c>
      <c r="G73" s="197">
        <v>4455</v>
      </c>
      <c r="H73" s="196">
        <v>40</v>
      </c>
      <c r="I73" s="197">
        <v>100</v>
      </c>
      <c r="J73" s="268">
        <f t="shared" si="7"/>
        <v>4000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44278</v>
      </c>
      <c r="D74" s="196" t="s">
        <v>23</v>
      </c>
      <c r="E74" s="196" t="s">
        <v>25</v>
      </c>
      <c r="F74" s="197">
        <v>4320</v>
      </c>
      <c r="G74" s="197">
        <v>4270</v>
      </c>
      <c r="H74" s="196">
        <v>50</v>
      </c>
      <c r="I74" s="197">
        <v>100</v>
      </c>
      <c r="J74" s="268">
        <f t="shared" si="7"/>
        <v>5000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44279</v>
      </c>
      <c r="D75" s="196" t="s">
        <v>23</v>
      </c>
      <c r="E75" s="196" t="s">
        <v>25</v>
      </c>
      <c r="F75" s="197">
        <v>4340</v>
      </c>
      <c r="G75" s="197">
        <v>4310</v>
      </c>
      <c r="H75" s="196">
        <v>30</v>
      </c>
      <c r="I75" s="197">
        <v>100</v>
      </c>
      <c r="J75" s="268">
        <f t="shared" si="7"/>
        <v>3000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44280</v>
      </c>
      <c r="D76" s="196" t="s">
        <v>23</v>
      </c>
      <c r="E76" s="196" t="s">
        <v>25</v>
      </c>
      <c r="F76" s="197">
        <v>4380</v>
      </c>
      <c r="G76" s="197">
        <v>4410</v>
      </c>
      <c r="H76" s="196">
        <v>-30</v>
      </c>
      <c r="I76" s="197">
        <v>100</v>
      </c>
      <c r="J76" s="268">
        <f t="shared" si="7"/>
        <v>-3000</v>
      </c>
      <c r="K76" s="185"/>
      <c r="V76" s="183">
        <f t="shared" si="8"/>
        <v>0</v>
      </c>
      <c r="W76" s="183">
        <f t="shared" si="9"/>
        <v>1</v>
      </c>
    </row>
    <row r="77" spans="1:23" x14ac:dyDescent="0.3">
      <c r="A77" s="184"/>
      <c r="B77" s="194">
        <v>19</v>
      </c>
      <c r="C77" s="195">
        <v>44281</v>
      </c>
      <c r="D77" s="196" t="s">
        <v>23</v>
      </c>
      <c r="E77" s="196" t="s">
        <v>25</v>
      </c>
      <c r="F77" s="197">
        <v>4370</v>
      </c>
      <c r="G77" s="197">
        <v>4345</v>
      </c>
      <c r="H77" s="196">
        <v>25</v>
      </c>
      <c r="I77" s="197">
        <v>100</v>
      </c>
      <c r="J77" s="268">
        <f t="shared" si="7"/>
        <v>2500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44285</v>
      </c>
      <c r="D78" s="196" t="s">
        <v>23</v>
      </c>
      <c r="E78" s="196" t="s">
        <v>25</v>
      </c>
      <c r="F78" s="197">
        <v>4485</v>
      </c>
      <c r="G78" s="197">
        <v>4440</v>
      </c>
      <c r="H78" s="196">
        <v>45</v>
      </c>
      <c r="I78" s="197">
        <v>100</v>
      </c>
      <c r="J78" s="268">
        <f t="shared" si="7"/>
        <v>4500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44286</v>
      </c>
      <c r="D79" s="196" t="s">
        <v>23</v>
      </c>
      <c r="E79" s="196" t="s">
        <v>25</v>
      </c>
      <c r="F79" s="197">
        <v>4480</v>
      </c>
      <c r="G79" s="197">
        <v>4420</v>
      </c>
      <c r="H79" s="196">
        <v>40</v>
      </c>
      <c r="I79" s="197">
        <v>100</v>
      </c>
      <c r="J79" s="268">
        <f t="shared" si="7"/>
        <v>4000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56600</v>
      </c>
      <c r="K82" s="185"/>
      <c r="V82" s="183">
        <f>SUM(V59:V81)</f>
        <v>17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44256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44256</v>
      </c>
      <c r="D90" s="216" t="s">
        <v>23</v>
      </c>
      <c r="E90" s="256" t="s">
        <v>28</v>
      </c>
      <c r="F90" s="256">
        <v>219.2</v>
      </c>
      <c r="G90" s="256">
        <v>220.2</v>
      </c>
      <c r="H90" s="256">
        <v>-1</v>
      </c>
      <c r="I90" s="218">
        <v>5000</v>
      </c>
      <c r="J90" s="273">
        <f>I90*H90</f>
        <v>-5000</v>
      </c>
      <c r="K90" s="185"/>
      <c r="M90" s="183" t="s">
        <v>870</v>
      </c>
      <c r="V90" s="183">
        <f>IF($J90&gt;0,1,0)</f>
        <v>0</v>
      </c>
      <c r="W90" s="183">
        <f>IF($J90&lt;0,1,0)</f>
        <v>1</v>
      </c>
    </row>
    <row r="91" spans="1:23" x14ac:dyDescent="0.3">
      <c r="A91" s="184"/>
      <c r="B91" s="194">
        <v>2</v>
      </c>
      <c r="C91" s="195">
        <v>44257</v>
      </c>
      <c r="D91" s="196" t="s">
        <v>16</v>
      </c>
      <c r="E91" s="222" t="s">
        <v>28</v>
      </c>
      <c r="F91" s="222">
        <v>222</v>
      </c>
      <c r="G91" s="222">
        <v>223</v>
      </c>
      <c r="H91" s="222">
        <v>1</v>
      </c>
      <c r="I91" s="197">
        <v>5000</v>
      </c>
      <c r="J91" s="268">
        <f t="shared" ref="J91:J112" si="10">I91*H91</f>
        <v>5000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44258</v>
      </c>
      <c r="D92" s="196" t="s">
        <v>23</v>
      </c>
      <c r="E92" s="222" t="s">
        <v>28</v>
      </c>
      <c r="F92" s="222">
        <v>221.5</v>
      </c>
      <c r="G92" s="222">
        <v>219.5</v>
      </c>
      <c r="H92" s="222">
        <v>2</v>
      </c>
      <c r="I92" s="197">
        <v>5000</v>
      </c>
      <c r="J92" s="268">
        <f t="shared" si="10"/>
        <v>10000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44259</v>
      </c>
      <c r="D93" s="196" t="s">
        <v>23</v>
      </c>
      <c r="E93" s="222" t="s">
        <v>28</v>
      </c>
      <c r="F93" s="222">
        <v>212</v>
      </c>
      <c r="G93" s="222">
        <v>210.6</v>
      </c>
      <c r="H93" s="222">
        <v>1.4</v>
      </c>
      <c r="I93" s="197">
        <v>5000</v>
      </c>
      <c r="J93" s="268">
        <f t="shared" si="10"/>
        <v>7000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44260</v>
      </c>
      <c r="D94" s="196" t="s">
        <v>16</v>
      </c>
      <c r="E94" s="222" t="s">
        <v>28</v>
      </c>
      <c r="F94" s="222">
        <v>216.5</v>
      </c>
      <c r="G94" s="222">
        <v>218.5</v>
      </c>
      <c r="H94" s="222">
        <v>2</v>
      </c>
      <c r="I94" s="197">
        <v>5000</v>
      </c>
      <c r="J94" s="268">
        <f t="shared" si="10"/>
        <v>10000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44263</v>
      </c>
      <c r="D95" s="196" t="s">
        <v>16</v>
      </c>
      <c r="E95" s="222" t="s">
        <v>28</v>
      </c>
      <c r="F95" s="222">
        <v>217.4</v>
      </c>
      <c r="G95" s="222">
        <v>219.4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44264</v>
      </c>
      <c r="D96" s="196" t="s">
        <v>16</v>
      </c>
      <c r="E96" s="222" t="s">
        <v>28</v>
      </c>
      <c r="F96" s="222">
        <v>216.2</v>
      </c>
      <c r="G96" s="222">
        <v>216.7</v>
      </c>
      <c r="H96" s="274">
        <v>0.5</v>
      </c>
      <c r="I96" s="197">
        <v>5000</v>
      </c>
      <c r="J96" s="268">
        <f t="shared" si="10"/>
        <v>2500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44265</v>
      </c>
      <c r="D97" s="196" t="s">
        <v>16</v>
      </c>
      <c r="E97" s="222" t="s">
        <v>28</v>
      </c>
      <c r="F97" s="222">
        <v>214.8</v>
      </c>
      <c r="G97" s="222">
        <v>213.8</v>
      </c>
      <c r="H97" s="222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9</v>
      </c>
      <c r="C98" s="195">
        <v>44266</v>
      </c>
      <c r="D98" s="196" t="s">
        <v>16</v>
      </c>
      <c r="E98" s="222" t="s">
        <v>28</v>
      </c>
      <c r="F98" s="222">
        <v>216.5</v>
      </c>
      <c r="G98" s="222">
        <v>217.1</v>
      </c>
      <c r="H98" s="222">
        <v>0.3</v>
      </c>
      <c r="I98" s="197">
        <v>5000</v>
      </c>
      <c r="J98" s="268">
        <f t="shared" si="10"/>
        <v>1500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44270</v>
      </c>
      <c r="D99" s="196" t="s">
        <v>16</v>
      </c>
      <c r="E99" s="222" t="s">
        <v>28</v>
      </c>
      <c r="F99" s="222">
        <v>216.8</v>
      </c>
      <c r="G99" s="222">
        <v>218.2</v>
      </c>
      <c r="H99" s="222">
        <v>1.4</v>
      </c>
      <c r="I99" s="197">
        <v>5000</v>
      </c>
      <c r="J99" s="268">
        <f t="shared" si="10"/>
        <v>7000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44271</v>
      </c>
      <c r="D100" s="196" t="s">
        <v>16</v>
      </c>
      <c r="E100" s="222" t="s">
        <v>28</v>
      </c>
      <c r="F100" s="222">
        <v>218.8</v>
      </c>
      <c r="G100" s="222">
        <v>219.8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44272</v>
      </c>
      <c r="D101" s="196" t="s">
        <v>16</v>
      </c>
      <c r="E101" s="222" t="s">
        <v>28</v>
      </c>
      <c r="F101" s="222">
        <v>218.7</v>
      </c>
      <c r="G101" s="222">
        <v>219.2</v>
      </c>
      <c r="H101" s="274">
        <v>0.5</v>
      </c>
      <c r="I101" s="197">
        <v>5000</v>
      </c>
      <c r="J101" s="268">
        <f t="shared" si="10"/>
        <v>2500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44273</v>
      </c>
      <c r="D102" s="196" t="s">
        <v>16</v>
      </c>
      <c r="E102" s="222" t="s">
        <v>28</v>
      </c>
      <c r="F102" s="222">
        <v>218</v>
      </c>
      <c r="G102" s="222">
        <v>217</v>
      </c>
      <c r="H102" s="274">
        <v>-1</v>
      </c>
      <c r="I102" s="197">
        <v>5000</v>
      </c>
      <c r="J102" s="268">
        <f t="shared" si="10"/>
        <v>-5000</v>
      </c>
      <c r="K102" s="185"/>
      <c r="V102" s="183">
        <f t="shared" si="11"/>
        <v>0</v>
      </c>
      <c r="W102" s="183">
        <f t="shared" si="12"/>
        <v>1</v>
      </c>
    </row>
    <row r="103" spans="1:23" x14ac:dyDescent="0.3">
      <c r="A103" s="184"/>
      <c r="B103" s="194">
        <v>14</v>
      </c>
      <c r="C103" s="195">
        <v>44274</v>
      </c>
      <c r="D103" s="196" t="s">
        <v>16</v>
      </c>
      <c r="E103" s="222" t="s">
        <v>28</v>
      </c>
      <c r="F103" s="222">
        <v>215.9</v>
      </c>
      <c r="G103" s="222">
        <v>217.9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44277</v>
      </c>
      <c r="D104" s="196" t="s">
        <v>16</v>
      </c>
      <c r="E104" s="222" t="s">
        <v>28</v>
      </c>
      <c r="F104" s="223">
        <v>220.4</v>
      </c>
      <c r="G104" s="222">
        <v>221.4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44278</v>
      </c>
      <c r="D105" s="196" t="s">
        <v>16</v>
      </c>
      <c r="E105" s="222" t="s">
        <v>28</v>
      </c>
      <c r="F105" s="222">
        <v>218.9</v>
      </c>
      <c r="G105" s="222">
        <v>219.9</v>
      </c>
      <c r="H105" s="274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44279</v>
      </c>
      <c r="D106" s="196" t="s">
        <v>23</v>
      </c>
      <c r="E106" s="222" t="s">
        <v>28</v>
      </c>
      <c r="F106" s="222">
        <v>218.8</v>
      </c>
      <c r="G106" s="222">
        <v>216.8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44280</v>
      </c>
      <c r="D107" s="196" t="s">
        <v>23</v>
      </c>
      <c r="E107" s="222" t="s">
        <v>28</v>
      </c>
      <c r="F107" s="222">
        <v>215.8</v>
      </c>
      <c r="G107" s="222">
        <v>219.8</v>
      </c>
      <c r="H107" s="274">
        <v>-1</v>
      </c>
      <c r="I107" s="197">
        <v>5000</v>
      </c>
      <c r="J107" s="268">
        <f t="shared" si="10"/>
        <v>-5000</v>
      </c>
      <c r="K107" s="185"/>
      <c r="V107" s="183">
        <f t="shared" si="11"/>
        <v>0</v>
      </c>
      <c r="W107" s="183">
        <f t="shared" si="12"/>
        <v>1</v>
      </c>
    </row>
    <row r="108" spans="1:23" x14ac:dyDescent="0.3">
      <c r="A108" s="184"/>
      <c r="B108" s="194">
        <v>19</v>
      </c>
      <c r="C108" s="195">
        <v>44281</v>
      </c>
      <c r="D108" s="196" t="s">
        <v>23</v>
      </c>
      <c r="E108" s="222" t="s">
        <v>28</v>
      </c>
      <c r="F108" s="222">
        <v>218.5</v>
      </c>
      <c r="G108" s="222">
        <v>219.5</v>
      </c>
      <c r="H108" s="274">
        <v>-1</v>
      </c>
      <c r="I108" s="197">
        <v>5000</v>
      </c>
      <c r="J108" s="268">
        <f t="shared" si="10"/>
        <v>-5000</v>
      </c>
      <c r="K108" s="185"/>
      <c r="V108" s="183">
        <f t="shared" si="11"/>
        <v>0</v>
      </c>
      <c r="W108" s="183">
        <f t="shared" si="12"/>
        <v>1</v>
      </c>
    </row>
    <row r="109" spans="1:23" x14ac:dyDescent="0.3">
      <c r="A109" s="184"/>
      <c r="B109" s="194">
        <v>20</v>
      </c>
      <c r="C109" s="195">
        <v>44285</v>
      </c>
      <c r="D109" s="196" t="s">
        <v>23</v>
      </c>
      <c r="E109" s="222" t="s">
        <v>28</v>
      </c>
      <c r="F109" s="222">
        <v>221.2</v>
      </c>
      <c r="G109" s="222">
        <v>222.2</v>
      </c>
      <c r="H109" s="274">
        <v>-1</v>
      </c>
      <c r="I109" s="197">
        <v>5000</v>
      </c>
      <c r="J109" s="268">
        <f t="shared" si="10"/>
        <v>-5000</v>
      </c>
      <c r="K109" s="185"/>
      <c r="V109" s="183">
        <f t="shared" si="11"/>
        <v>0</v>
      </c>
      <c r="W109" s="183">
        <f t="shared" si="12"/>
        <v>1</v>
      </c>
    </row>
    <row r="110" spans="1:23" x14ac:dyDescent="0.3">
      <c r="A110" s="184"/>
      <c r="B110" s="194">
        <v>21</v>
      </c>
      <c r="C110" s="195">
        <v>44286</v>
      </c>
      <c r="D110" s="196" t="s">
        <v>23</v>
      </c>
      <c r="E110" s="222" t="s">
        <v>28</v>
      </c>
      <c r="F110" s="222">
        <v>219.3</v>
      </c>
      <c r="G110" s="222">
        <v>218.3</v>
      </c>
      <c r="H110" s="274">
        <v>1</v>
      </c>
      <c r="I110" s="197">
        <v>5000</v>
      </c>
      <c r="J110" s="268">
        <f t="shared" si="10"/>
        <v>5000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65500</v>
      </c>
      <c r="K113" s="185"/>
      <c r="V113" s="183">
        <f>SUM(V90:V112)</f>
        <v>15</v>
      </c>
      <c r="W113" s="183">
        <f>SUM(W90:W112)</f>
        <v>6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300-000000000000}"/>
    <hyperlink ref="B82" r:id="rId2" xr:uid="{00000000-0004-0000-6300-000001000000}"/>
    <hyperlink ref="M4:M5" location="'MARCH 2021'!A1" display="BULLION" xr:uid="{00000000-0004-0000-6300-000002000000}"/>
    <hyperlink ref="B113" r:id="rId3" xr:uid="{00000000-0004-0000-6300-000003000000}"/>
    <hyperlink ref="M8:M9" location="'MARCH 2021'!A86" display="BASE METAL" xr:uid="{00000000-0004-0000-6300-000004000000}"/>
    <hyperlink ref="M1" location="MASTER!A1" display="Back" xr:uid="{00000000-0004-0000-6300-000005000000}"/>
    <hyperlink ref="M6:M7" location="'MARCH 2021'!A54" display="ENERGY" xr:uid="{00000000-0004-0000-6300-000006000000}"/>
  </hyperlinks>
  <pageMargins left="0" right="0" top="0" bottom="0" header="0" footer="0"/>
  <pageSetup paperSize="9" orientation="portrait" r:id="rId4"/>
  <drawing r:id="rId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W114"/>
  <sheetViews>
    <sheetView zoomScale="98" zoomScaleNormal="98" workbookViewId="0">
      <selection activeCell="M20" sqref="M2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44287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38</v>
      </c>
      <c r="O4" s="355">
        <f>V51</f>
        <v>31</v>
      </c>
      <c r="P4" s="355">
        <f>W51</f>
        <v>5</v>
      </c>
      <c r="Q4" s="356">
        <f>N4-O4-P4</f>
        <v>2</v>
      </c>
      <c r="R4" s="343">
        <f>O4/N4</f>
        <v>0.81578947368421051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44287</v>
      </c>
      <c r="D6" s="192" t="s">
        <v>23</v>
      </c>
      <c r="E6" s="192" t="s">
        <v>24</v>
      </c>
      <c r="F6" s="193">
        <v>45160</v>
      </c>
      <c r="G6" s="193">
        <v>45080</v>
      </c>
      <c r="H6" s="192">
        <v>80</v>
      </c>
      <c r="I6" s="193">
        <v>100</v>
      </c>
      <c r="J6" s="267">
        <f>H6*I6</f>
        <v>8000</v>
      </c>
      <c r="K6" s="185"/>
      <c r="M6" s="364" t="s">
        <v>258</v>
      </c>
      <c r="N6" s="347">
        <f>COUNT(C59:C81)</f>
        <v>19</v>
      </c>
      <c r="O6" s="348">
        <f>V82</f>
        <v>15</v>
      </c>
      <c r="P6" s="348">
        <f>W82</f>
        <v>4</v>
      </c>
      <c r="Q6" s="349">
        <f>N6-O6-P6</f>
        <v>0</v>
      </c>
      <c r="R6" s="345">
        <f t="shared" ref="R6" si="0">O6/N6</f>
        <v>0.78947368421052633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44287</v>
      </c>
      <c r="D7" s="196" t="s">
        <v>23</v>
      </c>
      <c r="E7" s="196" t="s">
        <v>22</v>
      </c>
      <c r="F7" s="197">
        <v>64000</v>
      </c>
      <c r="G7" s="197">
        <v>63790</v>
      </c>
      <c r="H7" s="196">
        <v>210</v>
      </c>
      <c r="I7" s="197">
        <v>30</v>
      </c>
      <c r="J7" s="268">
        <f t="shared" ref="J7:J50" si="1">H7*I7</f>
        <v>6300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44291</v>
      </c>
      <c r="D8" s="196" t="s">
        <v>23</v>
      </c>
      <c r="E8" s="196" t="s">
        <v>24</v>
      </c>
      <c r="F8" s="197">
        <v>45370</v>
      </c>
      <c r="G8" s="197">
        <v>45274</v>
      </c>
      <c r="H8" s="196">
        <v>96</v>
      </c>
      <c r="I8" s="197">
        <v>100</v>
      </c>
      <c r="J8" s="268">
        <f t="shared" si="1"/>
        <v>9600</v>
      </c>
      <c r="K8" s="185"/>
      <c r="M8" s="362" t="s">
        <v>877</v>
      </c>
      <c r="N8" s="347">
        <f>COUNT(C90:C112)</f>
        <v>18</v>
      </c>
      <c r="O8" s="348">
        <f>V113</f>
        <v>16</v>
      </c>
      <c r="P8" s="348">
        <f>W113</f>
        <v>2</v>
      </c>
      <c r="Q8" s="349">
        <f>N8-O8-P8</f>
        <v>0</v>
      </c>
      <c r="R8" s="345">
        <f t="shared" ref="R8" si="4">O8/N8</f>
        <v>0.88888888888888884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44291</v>
      </c>
      <c r="D9" s="196" t="s">
        <v>23</v>
      </c>
      <c r="E9" s="196" t="s">
        <v>22</v>
      </c>
      <c r="F9" s="197">
        <v>64850</v>
      </c>
      <c r="G9" s="197">
        <v>65150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44292</v>
      </c>
      <c r="D10" s="196" t="s">
        <v>23</v>
      </c>
      <c r="E10" s="196" t="s">
        <v>24</v>
      </c>
      <c r="F10" s="197">
        <v>45640</v>
      </c>
      <c r="G10" s="197">
        <v>45740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75</v>
      </c>
      <c r="O10" s="321">
        <f>SUM(O4:O9)</f>
        <v>62</v>
      </c>
      <c r="P10" s="321">
        <f>SUM(P4:P9)</f>
        <v>11</v>
      </c>
      <c r="Q10" s="341">
        <f>SUM(Q4:Q9)</f>
        <v>2</v>
      </c>
      <c r="R10" s="343">
        <f t="shared" ref="R10" si="5">O10/N10</f>
        <v>0.82666666666666666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44292</v>
      </c>
      <c r="D11" s="196" t="s">
        <v>23</v>
      </c>
      <c r="E11" s="196" t="s">
        <v>22</v>
      </c>
      <c r="F11" s="197">
        <v>65200</v>
      </c>
      <c r="G11" s="197">
        <v>65500</v>
      </c>
      <c r="H11" s="196">
        <v>300</v>
      </c>
      <c r="I11" s="197">
        <v>30</v>
      </c>
      <c r="J11" s="268">
        <f t="shared" si="1"/>
        <v>9000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44293</v>
      </c>
      <c r="D12" s="196" t="s">
        <v>23</v>
      </c>
      <c r="E12" s="196" t="s">
        <v>24</v>
      </c>
      <c r="F12" s="197">
        <v>46270</v>
      </c>
      <c r="G12" s="197">
        <v>46120</v>
      </c>
      <c r="H12" s="196">
        <v>150</v>
      </c>
      <c r="I12" s="197">
        <v>100</v>
      </c>
      <c r="J12" s="268">
        <f t="shared" si="1"/>
        <v>15000</v>
      </c>
      <c r="K12" s="185"/>
      <c r="M12" s="323" t="s">
        <v>878</v>
      </c>
      <c r="N12" s="324"/>
      <c r="O12" s="325"/>
      <c r="P12" s="332">
        <f>R10</f>
        <v>0.82666666666666666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44293</v>
      </c>
      <c r="D13" s="196" t="s">
        <v>23</v>
      </c>
      <c r="E13" s="196" t="s">
        <v>22</v>
      </c>
      <c r="F13" s="197">
        <v>66150</v>
      </c>
      <c r="G13" s="197">
        <v>65950</v>
      </c>
      <c r="H13" s="196">
        <v>200</v>
      </c>
      <c r="I13" s="197">
        <v>30</v>
      </c>
      <c r="J13" s="268">
        <f t="shared" si="1"/>
        <v>6000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44294</v>
      </c>
      <c r="D14" s="196" t="s">
        <v>16</v>
      </c>
      <c r="E14" s="196" t="s">
        <v>24</v>
      </c>
      <c r="F14" s="197">
        <v>46650</v>
      </c>
      <c r="G14" s="197">
        <v>46850</v>
      </c>
      <c r="H14" s="196">
        <v>200</v>
      </c>
      <c r="I14" s="197">
        <v>100</v>
      </c>
      <c r="J14" s="268">
        <f t="shared" si="1"/>
        <v>20000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44294</v>
      </c>
      <c r="D15" s="196" t="s">
        <v>16</v>
      </c>
      <c r="E15" s="196" t="s">
        <v>22</v>
      </c>
      <c r="F15" s="197">
        <v>67200</v>
      </c>
      <c r="G15" s="197">
        <v>67600</v>
      </c>
      <c r="H15" s="196">
        <v>400</v>
      </c>
      <c r="I15" s="197">
        <v>30</v>
      </c>
      <c r="J15" s="268">
        <f t="shared" si="1"/>
        <v>12000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44295</v>
      </c>
      <c r="D16" s="196" t="s">
        <v>23</v>
      </c>
      <c r="E16" s="196" t="s">
        <v>24</v>
      </c>
      <c r="F16" s="197">
        <v>44700</v>
      </c>
      <c r="G16" s="197">
        <v>44600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44295</v>
      </c>
      <c r="D17" s="196" t="s">
        <v>23</v>
      </c>
      <c r="E17" s="196" t="s">
        <v>22</v>
      </c>
      <c r="F17" s="197">
        <v>66900</v>
      </c>
      <c r="G17" s="197">
        <v>66386</v>
      </c>
      <c r="H17" s="196">
        <v>514</v>
      </c>
      <c r="I17" s="197">
        <v>30</v>
      </c>
      <c r="J17" s="268">
        <f t="shared" si="1"/>
        <v>15420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44298</v>
      </c>
      <c r="D18" s="196" t="s">
        <v>23</v>
      </c>
      <c r="E18" s="196" t="s">
        <v>24</v>
      </c>
      <c r="F18" s="197">
        <v>46730</v>
      </c>
      <c r="G18" s="197">
        <v>46530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44298</v>
      </c>
      <c r="D19" s="196" t="s">
        <v>23</v>
      </c>
      <c r="E19" s="196" t="s">
        <v>22</v>
      </c>
      <c r="F19" s="197">
        <v>67200</v>
      </c>
      <c r="G19" s="197">
        <v>66600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44299</v>
      </c>
      <c r="D20" s="196" t="s">
        <v>23</v>
      </c>
      <c r="E20" s="196" t="s">
        <v>24</v>
      </c>
      <c r="F20" s="197">
        <v>46530</v>
      </c>
      <c r="G20" s="197">
        <v>46630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44299</v>
      </c>
      <c r="D21" s="196" t="s">
        <v>23</v>
      </c>
      <c r="E21" s="196" t="s">
        <v>22</v>
      </c>
      <c r="F21" s="197">
        <v>66750</v>
      </c>
      <c r="G21" s="197">
        <v>67950</v>
      </c>
      <c r="H21" s="196">
        <v>200</v>
      </c>
      <c r="I21" s="197">
        <v>30</v>
      </c>
      <c r="J21" s="268">
        <f t="shared" si="1"/>
        <v>6000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44301</v>
      </c>
      <c r="D22" s="196" t="s">
        <v>23</v>
      </c>
      <c r="E22" s="196" t="s">
        <v>24</v>
      </c>
      <c r="F22" s="197">
        <v>46820</v>
      </c>
      <c r="G22" s="197">
        <v>46920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44301</v>
      </c>
      <c r="D23" s="196" t="s">
        <v>23</v>
      </c>
      <c r="E23" s="196" t="s">
        <v>22</v>
      </c>
      <c r="F23" s="197">
        <v>68100</v>
      </c>
      <c r="G23" s="197">
        <v>67800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44302</v>
      </c>
      <c r="D24" s="196" t="s">
        <v>16</v>
      </c>
      <c r="E24" s="196" t="s">
        <v>24</v>
      </c>
      <c r="F24" s="197">
        <v>46950</v>
      </c>
      <c r="G24" s="197">
        <v>47150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44302</v>
      </c>
      <c r="D25" s="196" t="s">
        <v>23</v>
      </c>
      <c r="E25" s="196" t="s">
        <v>22</v>
      </c>
      <c r="F25" s="197">
        <v>6820</v>
      </c>
      <c r="G25" s="197">
        <v>68800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44305</v>
      </c>
      <c r="D26" s="196" t="s">
        <v>23</v>
      </c>
      <c r="E26" s="196" t="s">
        <v>24</v>
      </c>
      <c r="F26" s="197">
        <v>47800</v>
      </c>
      <c r="G26" s="197">
        <v>47600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44305</v>
      </c>
      <c r="D27" s="196" t="s">
        <v>23</v>
      </c>
      <c r="E27" s="196" t="s">
        <v>22</v>
      </c>
      <c r="F27" s="197">
        <v>69200</v>
      </c>
      <c r="G27" s="197">
        <v>68600</v>
      </c>
      <c r="H27" s="196"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44306</v>
      </c>
      <c r="D28" s="196" t="s">
        <v>16</v>
      </c>
      <c r="E28" s="196" t="s">
        <v>24</v>
      </c>
      <c r="F28" s="197">
        <v>47470</v>
      </c>
      <c r="G28" s="197">
        <v>47670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44306</v>
      </c>
      <c r="D29" s="196" t="s">
        <v>16</v>
      </c>
      <c r="E29" s="196" t="s">
        <v>22</v>
      </c>
      <c r="F29" s="197">
        <v>68650</v>
      </c>
      <c r="G29" s="197">
        <v>69250</v>
      </c>
      <c r="H29" s="196">
        <v>600</v>
      </c>
      <c r="I29" s="197">
        <v>30</v>
      </c>
      <c r="J29" s="268">
        <f t="shared" si="1"/>
        <v>18000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44308</v>
      </c>
      <c r="D30" s="196" t="s">
        <v>23</v>
      </c>
      <c r="E30" s="196" t="s">
        <v>24</v>
      </c>
      <c r="F30" s="197">
        <v>47870</v>
      </c>
      <c r="G30" s="197">
        <v>47770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44308</v>
      </c>
      <c r="D31" s="196" t="s">
        <v>23</v>
      </c>
      <c r="E31" s="196" t="s">
        <v>22</v>
      </c>
      <c r="F31" s="197">
        <v>69750</v>
      </c>
      <c r="G31" s="197">
        <v>69350</v>
      </c>
      <c r="H31" s="196">
        <v>400</v>
      </c>
      <c r="I31" s="197">
        <v>30</v>
      </c>
      <c r="J31" s="268">
        <f t="shared" si="1"/>
        <v>12000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44309</v>
      </c>
      <c r="D32" s="196" t="s">
        <v>23</v>
      </c>
      <c r="E32" s="196" t="s">
        <v>24</v>
      </c>
      <c r="F32" s="197">
        <v>47820</v>
      </c>
      <c r="G32" s="197">
        <v>47920</v>
      </c>
      <c r="H32" s="196">
        <v>-100</v>
      </c>
      <c r="I32" s="197">
        <v>100</v>
      </c>
      <c r="J32" s="268">
        <f t="shared" si="1"/>
        <v>-10000</v>
      </c>
      <c r="K32" s="185"/>
      <c r="V32" s="183">
        <f t="shared" si="2"/>
        <v>0</v>
      </c>
      <c r="W32" s="183">
        <f t="shared" si="3"/>
        <v>1</v>
      </c>
    </row>
    <row r="33" spans="1:23" x14ac:dyDescent="0.3">
      <c r="A33" s="184"/>
      <c r="B33" s="194">
        <v>28</v>
      </c>
      <c r="C33" s="195">
        <v>44309</v>
      </c>
      <c r="D33" s="196" t="s">
        <v>23</v>
      </c>
      <c r="E33" s="196" t="s">
        <v>22</v>
      </c>
      <c r="F33" s="197">
        <v>69100</v>
      </c>
      <c r="G33" s="197">
        <v>68950</v>
      </c>
      <c r="H33" s="196">
        <v>150</v>
      </c>
      <c r="I33" s="197">
        <v>30</v>
      </c>
      <c r="J33" s="268">
        <f t="shared" si="1"/>
        <v>4500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44312</v>
      </c>
      <c r="D34" s="196" t="s">
        <v>23</v>
      </c>
      <c r="E34" s="196" t="s">
        <v>24</v>
      </c>
      <c r="F34" s="197">
        <v>47520</v>
      </c>
      <c r="G34" s="197">
        <v>47320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44312</v>
      </c>
      <c r="D35" s="196" t="s">
        <v>23</v>
      </c>
      <c r="E35" s="196" t="s">
        <v>22</v>
      </c>
      <c r="F35" s="197">
        <v>68700</v>
      </c>
      <c r="G35" s="197">
        <v>68300</v>
      </c>
      <c r="H35" s="196">
        <v>400</v>
      </c>
      <c r="I35" s="197">
        <v>30</v>
      </c>
      <c r="J35" s="268">
        <f t="shared" si="1"/>
        <v>12000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44313</v>
      </c>
      <c r="D36" s="196" t="s">
        <v>23</v>
      </c>
      <c r="E36" s="196" t="s">
        <v>24</v>
      </c>
      <c r="F36" s="197">
        <v>47450</v>
      </c>
      <c r="G36" s="197">
        <v>47350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44313</v>
      </c>
      <c r="D37" s="196" t="s">
        <v>23</v>
      </c>
      <c r="E37" s="196" t="s">
        <v>22</v>
      </c>
      <c r="F37" s="197">
        <v>68800</v>
      </c>
      <c r="G37" s="197">
        <v>68639</v>
      </c>
      <c r="H37" s="196">
        <v>161</v>
      </c>
      <c r="I37" s="197">
        <v>30</v>
      </c>
      <c r="J37" s="268">
        <f t="shared" si="1"/>
        <v>4830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44314</v>
      </c>
      <c r="D38" s="196" t="s">
        <v>23</v>
      </c>
      <c r="E38" s="196" t="s">
        <v>24</v>
      </c>
      <c r="F38" s="197">
        <v>46900</v>
      </c>
      <c r="G38" s="197">
        <v>46840</v>
      </c>
      <c r="H38" s="196">
        <v>60</v>
      </c>
      <c r="I38" s="197">
        <v>100</v>
      </c>
      <c r="J38" s="268">
        <f t="shared" si="1"/>
        <v>6000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44314</v>
      </c>
      <c r="D39" s="196" t="s">
        <v>23</v>
      </c>
      <c r="E39" s="196" t="s">
        <v>22</v>
      </c>
      <c r="F39" s="197">
        <v>67850</v>
      </c>
      <c r="G39" s="197">
        <v>67550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44315</v>
      </c>
      <c r="D40" s="196" t="s">
        <v>23</v>
      </c>
      <c r="E40" s="196" t="s">
        <v>24</v>
      </c>
      <c r="F40" s="197">
        <v>46940</v>
      </c>
      <c r="G40" s="197">
        <v>46870</v>
      </c>
      <c r="H40" s="196">
        <v>70</v>
      </c>
      <c r="I40" s="197">
        <v>100</v>
      </c>
      <c r="J40" s="268">
        <f t="shared" si="1"/>
        <v>7000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44315</v>
      </c>
      <c r="D41" s="196" t="s">
        <v>23</v>
      </c>
      <c r="E41" s="196" t="s">
        <v>22</v>
      </c>
      <c r="F41" s="197">
        <v>69500</v>
      </c>
      <c r="G41" s="197">
        <v>68900</v>
      </c>
      <c r="H41" s="196">
        <v>600</v>
      </c>
      <c r="I41" s="197">
        <v>30</v>
      </c>
      <c r="J41" s="268">
        <f t="shared" si="1"/>
        <v>18000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44316</v>
      </c>
      <c r="D42" s="196" t="s">
        <v>23</v>
      </c>
      <c r="E42" s="196" t="s">
        <v>24</v>
      </c>
      <c r="F42" s="197">
        <v>46730</v>
      </c>
      <c r="G42" s="197">
        <v>46630</v>
      </c>
      <c r="H42" s="196">
        <v>100</v>
      </c>
      <c r="I42" s="197">
        <v>100</v>
      </c>
      <c r="J42" s="268">
        <f t="shared" si="1"/>
        <v>10000</v>
      </c>
      <c r="K42" s="185"/>
    </row>
    <row r="43" spans="1:23" x14ac:dyDescent="0.3">
      <c r="A43" s="184"/>
      <c r="B43" s="194">
        <v>38</v>
      </c>
      <c r="C43" s="195">
        <v>44316</v>
      </c>
      <c r="D43" s="196" t="s">
        <v>23</v>
      </c>
      <c r="E43" s="196" t="s">
        <v>22</v>
      </c>
      <c r="F43" s="197">
        <v>68500</v>
      </c>
      <c r="G43" s="197">
        <v>68800</v>
      </c>
      <c r="H43" s="196">
        <v>-300</v>
      </c>
      <c r="I43" s="197">
        <v>30</v>
      </c>
      <c r="J43" s="268">
        <f t="shared" si="1"/>
        <v>-9000</v>
      </c>
      <c r="K43" s="185"/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343650</v>
      </c>
      <c r="K51" s="185"/>
      <c r="V51" s="183">
        <f>SUM(V6:V50)</f>
        <v>31</v>
      </c>
      <c r="W51" s="183">
        <f>SUM(W6:W50)</f>
        <v>5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44287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44287</v>
      </c>
      <c r="D59" s="192" t="s">
        <v>23</v>
      </c>
      <c r="E59" s="192" t="s">
        <v>25</v>
      </c>
      <c r="F59" s="193">
        <v>4445</v>
      </c>
      <c r="G59" s="193">
        <v>4385</v>
      </c>
      <c r="H59" s="192">
        <v>60</v>
      </c>
      <c r="I59" s="193">
        <v>100</v>
      </c>
      <c r="J59" s="267">
        <f t="shared" ref="J59:J81" si="7">I59*H59</f>
        <v>6000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44291</v>
      </c>
      <c r="D60" s="196" t="s">
        <v>23</v>
      </c>
      <c r="E60" s="196" t="s">
        <v>25</v>
      </c>
      <c r="F60" s="197">
        <v>4420</v>
      </c>
      <c r="G60" s="197">
        <v>4360</v>
      </c>
      <c r="H60" s="196">
        <v>60</v>
      </c>
      <c r="I60" s="197">
        <v>100</v>
      </c>
      <c r="J60" s="268">
        <f t="shared" si="7"/>
        <v>6000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44292</v>
      </c>
      <c r="D61" s="196" t="s">
        <v>23</v>
      </c>
      <c r="E61" s="196" t="s">
        <v>25</v>
      </c>
      <c r="F61" s="197">
        <v>4420</v>
      </c>
      <c r="G61" s="197">
        <v>4360</v>
      </c>
      <c r="H61" s="196">
        <v>60</v>
      </c>
      <c r="I61" s="197">
        <v>100</v>
      </c>
      <c r="J61" s="268">
        <f t="shared" si="7"/>
        <v>6000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44293</v>
      </c>
      <c r="D62" s="196" t="s">
        <v>23</v>
      </c>
      <c r="E62" s="196" t="s">
        <v>25</v>
      </c>
      <c r="F62" s="197">
        <v>4460</v>
      </c>
      <c r="G62" s="197">
        <v>4400</v>
      </c>
      <c r="H62" s="196"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44294</v>
      </c>
      <c r="D63" s="196" t="s">
        <v>23</v>
      </c>
      <c r="E63" s="196" t="s">
        <v>25</v>
      </c>
      <c r="F63" s="197">
        <v>4410</v>
      </c>
      <c r="G63" s="197">
        <v>4440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44295</v>
      </c>
      <c r="D64" s="196" t="s">
        <v>23</v>
      </c>
      <c r="E64" s="196" t="s">
        <v>25</v>
      </c>
      <c r="F64" s="197">
        <v>4450</v>
      </c>
      <c r="G64" s="197">
        <v>4420</v>
      </c>
      <c r="H64" s="196">
        <v>30</v>
      </c>
      <c r="I64" s="197">
        <v>100</v>
      </c>
      <c r="J64" s="268">
        <f t="shared" si="7"/>
        <v>3000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44298</v>
      </c>
      <c r="D65" s="196" t="s">
        <v>23</v>
      </c>
      <c r="E65" s="196" t="s">
        <v>25</v>
      </c>
      <c r="F65" s="222">
        <v>4475</v>
      </c>
      <c r="G65" s="222">
        <v>4505</v>
      </c>
      <c r="H65" s="196">
        <v>-30</v>
      </c>
      <c r="I65" s="197">
        <v>100</v>
      </c>
      <c r="J65" s="268">
        <f t="shared" si="7"/>
        <v>-3000</v>
      </c>
      <c r="K65" s="185"/>
      <c r="V65" s="183">
        <f t="shared" si="8"/>
        <v>0</v>
      </c>
      <c r="W65" s="183">
        <f t="shared" si="9"/>
        <v>1</v>
      </c>
    </row>
    <row r="66" spans="1:23" x14ac:dyDescent="0.3">
      <c r="A66" s="184"/>
      <c r="B66" s="194">
        <v>8</v>
      </c>
      <c r="C66" s="195">
        <v>44299</v>
      </c>
      <c r="D66" s="196" t="s">
        <v>23</v>
      </c>
      <c r="E66" s="196" t="s">
        <v>25</v>
      </c>
      <c r="F66" s="197">
        <v>4540</v>
      </c>
      <c r="G66" s="197">
        <v>4520</v>
      </c>
      <c r="H66" s="196">
        <v>20</v>
      </c>
      <c r="I66" s="197">
        <v>100</v>
      </c>
      <c r="J66" s="268">
        <f t="shared" si="7"/>
        <v>2000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44301</v>
      </c>
      <c r="D67" s="196" t="s">
        <v>23</v>
      </c>
      <c r="E67" s="196" t="s">
        <v>25</v>
      </c>
      <c r="F67" s="197">
        <v>4715</v>
      </c>
      <c r="G67" s="197">
        <v>4695</v>
      </c>
      <c r="H67" s="196">
        <v>20</v>
      </c>
      <c r="I67" s="197">
        <v>100</v>
      </c>
      <c r="J67" s="268">
        <f t="shared" si="7"/>
        <v>2000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44302</v>
      </c>
      <c r="D68" s="196" t="s">
        <v>23</v>
      </c>
      <c r="E68" s="196" t="s">
        <v>25</v>
      </c>
      <c r="F68" s="197">
        <v>4740</v>
      </c>
      <c r="G68" s="197">
        <v>4680</v>
      </c>
      <c r="H68" s="196"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44305</v>
      </c>
      <c r="D69" s="196" t="s">
        <v>23</v>
      </c>
      <c r="E69" s="196" t="s">
        <v>25</v>
      </c>
      <c r="F69" s="197">
        <v>4720</v>
      </c>
      <c r="G69" s="197">
        <v>4750</v>
      </c>
      <c r="H69" s="196">
        <v>-30</v>
      </c>
      <c r="I69" s="197">
        <v>100</v>
      </c>
      <c r="J69" s="268">
        <f t="shared" si="7"/>
        <v>-3000</v>
      </c>
      <c r="K69" s="185"/>
      <c r="V69" s="183">
        <f t="shared" si="8"/>
        <v>0</v>
      </c>
      <c r="W69" s="183">
        <f t="shared" si="9"/>
        <v>1</v>
      </c>
    </row>
    <row r="70" spans="1:23" x14ac:dyDescent="0.3">
      <c r="A70" s="184"/>
      <c r="B70" s="194">
        <v>12</v>
      </c>
      <c r="C70" s="195">
        <v>44306</v>
      </c>
      <c r="D70" s="196" t="s">
        <v>23</v>
      </c>
      <c r="E70" s="196" t="s">
        <v>25</v>
      </c>
      <c r="F70" s="197">
        <v>4810</v>
      </c>
      <c r="G70" s="197">
        <v>4780</v>
      </c>
      <c r="H70" s="196">
        <v>30</v>
      </c>
      <c r="I70" s="197">
        <v>100</v>
      </c>
      <c r="J70" s="268">
        <f t="shared" si="7"/>
        <v>3000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44308</v>
      </c>
      <c r="D71" s="196" t="s">
        <v>23</v>
      </c>
      <c r="E71" s="196" t="s">
        <v>25</v>
      </c>
      <c r="F71" s="197">
        <v>4600</v>
      </c>
      <c r="G71" s="197">
        <v>4576</v>
      </c>
      <c r="H71" s="196">
        <v>24</v>
      </c>
      <c r="I71" s="197">
        <v>100</v>
      </c>
      <c r="J71" s="268">
        <f t="shared" si="7"/>
        <v>2400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44309</v>
      </c>
      <c r="D72" s="196" t="s">
        <v>23</v>
      </c>
      <c r="E72" s="196" t="s">
        <v>25</v>
      </c>
      <c r="F72" s="197">
        <v>4630</v>
      </c>
      <c r="G72" s="197">
        <v>4612</v>
      </c>
      <c r="H72" s="196">
        <v>18</v>
      </c>
      <c r="I72" s="197">
        <v>100</v>
      </c>
      <c r="J72" s="268">
        <f t="shared" si="7"/>
        <v>1800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44312</v>
      </c>
      <c r="D73" s="196" t="s">
        <v>23</v>
      </c>
      <c r="E73" s="196" t="s">
        <v>25</v>
      </c>
      <c r="F73" s="197">
        <v>4585</v>
      </c>
      <c r="G73" s="197">
        <v>4557</v>
      </c>
      <c r="H73" s="196">
        <v>28</v>
      </c>
      <c r="I73" s="197">
        <v>100</v>
      </c>
      <c r="J73" s="268">
        <f t="shared" si="7"/>
        <v>2800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44313</v>
      </c>
      <c r="D74" s="196" t="s">
        <v>23</v>
      </c>
      <c r="E74" s="196" t="s">
        <v>25</v>
      </c>
      <c r="F74" s="197">
        <v>4675</v>
      </c>
      <c r="G74" s="197">
        <v>4652</v>
      </c>
      <c r="H74" s="196">
        <v>23</v>
      </c>
      <c r="I74" s="197">
        <v>100</v>
      </c>
      <c r="J74" s="268">
        <f t="shared" si="7"/>
        <v>2300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44314</v>
      </c>
      <c r="D75" s="196" t="s">
        <v>23</v>
      </c>
      <c r="E75" s="196" t="s">
        <v>25</v>
      </c>
      <c r="F75" s="197">
        <v>4710</v>
      </c>
      <c r="G75" s="197">
        <v>4740</v>
      </c>
      <c r="H75" s="196">
        <v>-30</v>
      </c>
      <c r="I75" s="197">
        <v>100</v>
      </c>
      <c r="J75" s="268">
        <f t="shared" si="7"/>
        <v>-3000</v>
      </c>
      <c r="K75" s="185"/>
      <c r="V75" s="183">
        <f t="shared" si="8"/>
        <v>0</v>
      </c>
      <c r="W75" s="183">
        <f t="shared" si="9"/>
        <v>1</v>
      </c>
    </row>
    <row r="76" spans="1:23" x14ac:dyDescent="0.3">
      <c r="A76" s="255"/>
      <c r="B76" s="194">
        <v>18</v>
      </c>
      <c r="C76" s="195">
        <v>44315</v>
      </c>
      <c r="D76" s="196" t="s">
        <v>23</v>
      </c>
      <c r="E76" s="196" t="s">
        <v>25</v>
      </c>
      <c r="F76" s="197">
        <v>4790</v>
      </c>
      <c r="G76" s="197">
        <v>4820</v>
      </c>
      <c r="H76" s="196">
        <v>30</v>
      </c>
      <c r="I76" s="197">
        <v>100</v>
      </c>
      <c r="J76" s="268">
        <f t="shared" si="7"/>
        <v>3000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44316</v>
      </c>
      <c r="D77" s="196" t="s">
        <v>23</v>
      </c>
      <c r="E77" s="196" t="s">
        <v>25</v>
      </c>
      <c r="F77" s="197">
        <v>4765</v>
      </c>
      <c r="G77" s="197">
        <v>4705</v>
      </c>
      <c r="H77" s="196">
        <v>60</v>
      </c>
      <c r="I77" s="197">
        <v>100</v>
      </c>
      <c r="J77" s="268">
        <f t="shared" si="7"/>
        <v>6000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/>
      <c r="D78" s="196"/>
      <c r="E78" s="196"/>
      <c r="F78" s="197"/>
      <c r="G78" s="197"/>
      <c r="H78" s="196"/>
      <c r="I78" s="197"/>
      <c r="J78" s="268">
        <f t="shared" si="7"/>
        <v>0</v>
      </c>
      <c r="K78" s="185"/>
      <c r="V78" s="183">
        <f t="shared" si="8"/>
        <v>0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46300</v>
      </c>
      <c r="K82" s="185"/>
      <c r="V82" s="183">
        <f>SUM(V59:V81)</f>
        <v>15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44287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44291</v>
      </c>
      <c r="D90" s="216" t="s">
        <v>16</v>
      </c>
      <c r="E90" s="256" t="s">
        <v>28</v>
      </c>
      <c r="F90" s="256">
        <v>218.9</v>
      </c>
      <c r="G90" s="256">
        <v>219.9</v>
      </c>
      <c r="H90" s="256">
        <v>1</v>
      </c>
      <c r="I90" s="218">
        <v>5000</v>
      </c>
      <c r="J90" s="273">
        <f>I90*H90</f>
        <v>5000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44292</v>
      </c>
      <c r="D91" s="196" t="s">
        <v>23</v>
      </c>
      <c r="E91" s="222" t="s">
        <v>28</v>
      </c>
      <c r="F91" s="222">
        <v>224</v>
      </c>
      <c r="G91" s="222">
        <v>223.1</v>
      </c>
      <c r="H91" s="222">
        <v>0.9</v>
      </c>
      <c r="I91" s="197">
        <v>5000</v>
      </c>
      <c r="J91" s="268">
        <f t="shared" ref="J91:J112" si="10">I91*H91</f>
        <v>4500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44293</v>
      </c>
      <c r="D92" s="196" t="s">
        <v>23</v>
      </c>
      <c r="E92" s="222" t="s">
        <v>28</v>
      </c>
      <c r="F92" s="222">
        <v>226.8</v>
      </c>
      <c r="G92" s="222">
        <v>225.9</v>
      </c>
      <c r="H92" s="222">
        <v>0.9</v>
      </c>
      <c r="I92" s="197">
        <v>5000</v>
      </c>
      <c r="J92" s="268">
        <f t="shared" si="10"/>
        <v>4500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44294</v>
      </c>
      <c r="D93" s="196" t="s">
        <v>16</v>
      </c>
      <c r="E93" s="222" t="s">
        <v>28</v>
      </c>
      <c r="F93" s="222">
        <v>230.1</v>
      </c>
      <c r="G93" s="222">
        <v>229.1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44295</v>
      </c>
      <c r="D94" s="196" t="s">
        <v>23</v>
      </c>
      <c r="E94" s="222" t="s">
        <v>28</v>
      </c>
      <c r="F94" s="222">
        <v>228</v>
      </c>
      <c r="G94" s="222">
        <v>229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44298</v>
      </c>
      <c r="D95" s="196" t="s">
        <v>23</v>
      </c>
      <c r="E95" s="222" t="s">
        <v>28</v>
      </c>
      <c r="F95" s="222">
        <v>224.7</v>
      </c>
      <c r="G95" s="222">
        <v>222.7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44299</v>
      </c>
      <c r="D96" s="196" t="s">
        <v>23</v>
      </c>
      <c r="E96" s="222" t="s">
        <v>28</v>
      </c>
      <c r="F96" s="222">
        <v>223.1</v>
      </c>
      <c r="G96" s="222">
        <v>224.1</v>
      </c>
      <c r="H96" s="274">
        <v>-1</v>
      </c>
      <c r="I96" s="197">
        <v>5000</v>
      </c>
      <c r="J96" s="268">
        <f t="shared" si="10"/>
        <v>-5000</v>
      </c>
      <c r="K96" s="185"/>
      <c r="V96" s="183">
        <f t="shared" si="11"/>
        <v>0</v>
      </c>
      <c r="W96" s="183">
        <f t="shared" si="12"/>
        <v>1</v>
      </c>
    </row>
    <row r="97" spans="1:23" x14ac:dyDescent="0.3">
      <c r="A97" s="184"/>
      <c r="B97" s="194">
        <v>8</v>
      </c>
      <c r="C97" s="195">
        <v>44301</v>
      </c>
      <c r="D97" s="196" t="s">
        <v>16</v>
      </c>
      <c r="E97" s="222" t="s">
        <v>28</v>
      </c>
      <c r="F97" s="222">
        <v>227.9</v>
      </c>
      <c r="G97" s="222">
        <v>228.55</v>
      </c>
      <c r="H97" s="222">
        <v>0.65</v>
      </c>
      <c r="I97" s="197">
        <v>5000</v>
      </c>
      <c r="J97" s="268">
        <f t="shared" si="10"/>
        <v>3250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44302</v>
      </c>
      <c r="D98" s="196" t="s">
        <v>16</v>
      </c>
      <c r="E98" s="222" t="s">
        <v>28</v>
      </c>
      <c r="F98" s="222">
        <v>228.3</v>
      </c>
      <c r="G98" s="222">
        <v>229.7</v>
      </c>
      <c r="H98" s="222">
        <v>1.4</v>
      </c>
      <c r="I98" s="197">
        <v>5000</v>
      </c>
      <c r="J98" s="268">
        <f t="shared" si="10"/>
        <v>7000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44305</v>
      </c>
      <c r="D99" s="196" t="s">
        <v>23</v>
      </c>
      <c r="E99" s="222" t="s">
        <v>28</v>
      </c>
      <c r="F99" s="222">
        <v>231.1</v>
      </c>
      <c r="G99" s="222">
        <v>229.8</v>
      </c>
      <c r="H99" s="222">
        <v>1.3</v>
      </c>
      <c r="I99" s="197">
        <v>5000</v>
      </c>
      <c r="J99" s="268">
        <f t="shared" si="10"/>
        <v>6500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44306</v>
      </c>
      <c r="D100" s="196" t="s">
        <v>16</v>
      </c>
      <c r="E100" s="222" t="s">
        <v>28</v>
      </c>
      <c r="F100" s="222">
        <v>230.9</v>
      </c>
      <c r="G100" s="222">
        <v>232.9</v>
      </c>
      <c r="H100" s="274">
        <v>2</v>
      </c>
      <c r="I100" s="197">
        <v>5000</v>
      </c>
      <c r="J100" s="268">
        <f t="shared" si="10"/>
        <v>10000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44308</v>
      </c>
      <c r="D101" s="196" t="s">
        <v>23</v>
      </c>
      <c r="E101" s="222" t="s">
        <v>28</v>
      </c>
      <c r="F101" s="222">
        <v>227.3</v>
      </c>
      <c r="G101" s="222">
        <v>226.9</v>
      </c>
      <c r="H101" s="274">
        <v>0.4</v>
      </c>
      <c r="I101" s="197">
        <v>5000</v>
      </c>
      <c r="J101" s="268">
        <f t="shared" si="10"/>
        <v>2000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44309</v>
      </c>
      <c r="D102" s="196" t="s">
        <v>16</v>
      </c>
      <c r="E102" s="222" t="s">
        <v>28</v>
      </c>
      <c r="F102" s="222">
        <v>229.3</v>
      </c>
      <c r="G102" s="222">
        <v>231.3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44312</v>
      </c>
      <c r="D103" s="196" t="s">
        <v>23</v>
      </c>
      <c r="E103" s="222" t="s">
        <v>28</v>
      </c>
      <c r="F103" s="222">
        <v>232</v>
      </c>
      <c r="G103" s="222">
        <v>231.45</v>
      </c>
      <c r="H103" s="274">
        <v>0.55000000000000004</v>
      </c>
      <c r="I103" s="197">
        <v>5000</v>
      </c>
      <c r="J103" s="268">
        <f t="shared" si="10"/>
        <v>2750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44313</v>
      </c>
      <c r="D104" s="196" t="s">
        <v>23</v>
      </c>
      <c r="E104" s="222" t="s">
        <v>28</v>
      </c>
      <c r="F104" s="223">
        <v>234</v>
      </c>
      <c r="G104" s="222">
        <v>232</v>
      </c>
      <c r="H104" s="274">
        <v>2</v>
      </c>
      <c r="I104" s="197">
        <v>5000</v>
      </c>
      <c r="J104" s="268">
        <f t="shared" si="10"/>
        <v>10000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44314</v>
      </c>
      <c r="D105" s="196" t="s">
        <v>23</v>
      </c>
      <c r="E105" s="222" t="s">
        <v>28</v>
      </c>
      <c r="F105" s="222">
        <v>234.6</v>
      </c>
      <c r="G105" s="222">
        <v>234.1</v>
      </c>
      <c r="H105" s="274">
        <v>2.5</v>
      </c>
      <c r="I105" s="197">
        <v>5000</v>
      </c>
      <c r="J105" s="268">
        <f t="shared" si="10"/>
        <v>12500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44315</v>
      </c>
      <c r="D106" s="196" t="s">
        <v>23</v>
      </c>
      <c r="E106" s="222" t="s">
        <v>28</v>
      </c>
      <c r="F106" s="222">
        <v>234.8</v>
      </c>
      <c r="G106" s="222">
        <v>232.8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44316</v>
      </c>
      <c r="D107" s="196" t="s">
        <v>23</v>
      </c>
      <c r="E107" s="222" t="s">
        <v>28</v>
      </c>
      <c r="F107" s="222">
        <v>232.3</v>
      </c>
      <c r="G107" s="222">
        <v>231.9</v>
      </c>
      <c r="H107" s="274">
        <f>232.3-231.9</f>
        <v>0.40000000000000568</v>
      </c>
      <c r="I107" s="197">
        <v>5000</v>
      </c>
      <c r="J107" s="268">
        <f t="shared" si="10"/>
        <v>2000.0000000000284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/>
      <c r="D108" s="196"/>
      <c r="E108" s="222"/>
      <c r="F108" s="222"/>
      <c r="G108" s="222"/>
      <c r="H108" s="274"/>
      <c r="I108" s="197"/>
      <c r="J108" s="268">
        <f t="shared" si="10"/>
        <v>0</v>
      </c>
      <c r="K108" s="185"/>
      <c r="V108" s="183">
        <f t="shared" si="11"/>
        <v>0</v>
      </c>
      <c r="W108" s="183">
        <f t="shared" si="12"/>
        <v>0</v>
      </c>
    </row>
    <row r="109" spans="1:23" x14ac:dyDescent="0.3">
      <c r="A109" s="184"/>
      <c r="B109" s="194">
        <v>20</v>
      </c>
      <c r="C109" s="195"/>
      <c r="D109" s="196"/>
      <c r="E109" s="222"/>
      <c r="F109" s="222"/>
      <c r="G109" s="222"/>
      <c r="H109" s="274"/>
      <c r="I109" s="197"/>
      <c r="J109" s="268">
        <f t="shared" si="10"/>
        <v>0</v>
      </c>
      <c r="K109" s="185"/>
      <c r="V109" s="183">
        <f t="shared" si="11"/>
        <v>0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95000.000000000029</v>
      </c>
      <c r="K113" s="185"/>
      <c r="V113" s="183">
        <f>SUM(V90:V112)</f>
        <v>16</v>
      </c>
      <c r="W113" s="183">
        <f>SUM(W90:W112)</f>
        <v>2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400-000000000000}"/>
    <hyperlink ref="B82" r:id="rId2" xr:uid="{00000000-0004-0000-6400-000001000000}"/>
    <hyperlink ref="M4:M5" location="'MARCH 2021'!A1" display="BULLION" xr:uid="{00000000-0004-0000-6400-000002000000}"/>
    <hyperlink ref="B113" r:id="rId3" xr:uid="{00000000-0004-0000-6400-000003000000}"/>
    <hyperlink ref="M8:M9" location="'MARCH 2021'!A86" display="BASE METAL" xr:uid="{00000000-0004-0000-6400-000004000000}"/>
    <hyperlink ref="M1" location="MASTER!A1" display="Back" xr:uid="{00000000-0004-0000-6400-000005000000}"/>
    <hyperlink ref="M6:M7" location="'MARCH 2021'!A54" display="ENERGY" xr:uid="{00000000-0004-0000-6400-000006000000}"/>
  </hyperlinks>
  <pageMargins left="0" right="0" top="0" bottom="0" header="0" footer="0"/>
  <pageSetup paperSize="9" orientation="portrait" r:id="rId4"/>
  <drawing r:id="rId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W114"/>
  <sheetViews>
    <sheetView topLeftCell="A31" zoomScale="98" zoomScaleNormal="98" workbookViewId="0">
      <selection activeCell="L18" sqref="L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44317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40</v>
      </c>
      <c r="O4" s="355">
        <f>V51</f>
        <v>28</v>
      </c>
      <c r="P4" s="355">
        <f>W51</f>
        <v>8</v>
      </c>
      <c r="Q4" s="356">
        <f>N4-O4-P4</f>
        <v>4</v>
      </c>
      <c r="R4" s="343">
        <f>O4/N4</f>
        <v>0.7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44319</v>
      </c>
      <c r="D6" s="192" t="s">
        <v>23</v>
      </c>
      <c r="E6" s="192" t="s">
        <v>24</v>
      </c>
      <c r="F6" s="193">
        <v>47030</v>
      </c>
      <c r="G6" s="193">
        <v>46975</v>
      </c>
      <c r="H6" s="192">
        <f>47030-46975</f>
        <v>55</v>
      </c>
      <c r="I6" s="193">
        <v>100</v>
      </c>
      <c r="J6" s="267">
        <f>H6*I6</f>
        <v>5500</v>
      </c>
      <c r="K6" s="185"/>
      <c r="M6" s="364" t="s">
        <v>258</v>
      </c>
      <c r="N6" s="347">
        <f>COUNT(C59:C81)</f>
        <v>20</v>
      </c>
      <c r="O6" s="348">
        <f>V82</f>
        <v>20</v>
      </c>
      <c r="P6" s="348">
        <f>W82</f>
        <v>0</v>
      </c>
      <c r="Q6" s="349">
        <f>N6-O6-P6</f>
        <v>0</v>
      </c>
      <c r="R6" s="345">
        <f t="shared" ref="R6" si="0">O6/N6</f>
        <v>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44319</v>
      </c>
      <c r="D7" s="196" t="s">
        <v>23</v>
      </c>
      <c r="E7" s="196" t="s">
        <v>22</v>
      </c>
      <c r="F7" s="197">
        <v>69100</v>
      </c>
      <c r="G7" s="197">
        <v>69400</v>
      </c>
      <c r="H7" s="196">
        <v>-300</v>
      </c>
      <c r="I7" s="197">
        <v>30</v>
      </c>
      <c r="J7" s="268">
        <f t="shared" ref="J7:J50" si="1">H7*I7</f>
        <v>-9000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0</v>
      </c>
      <c r="W7" s="183">
        <f t="shared" ref="W7:W50" si="3">IF($J7&lt;0,1,0)</f>
        <v>1</v>
      </c>
    </row>
    <row r="8" spans="1:23" x14ac:dyDescent="0.3">
      <c r="A8" s="184"/>
      <c r="B8" s="194">
        <v>3</v>
      </c>
      <c r="C8" s="195">
        <v>44320</v>
      </c>
      <c r="D8" s="196" t="s">
        <v>23</v>
      </c>
      <c r="E8" s="196" t="s">
        <v>24</v>
      </c>
      <c r="F8" s="197">
        <v>47100</v>
      </c>
      <c r="G8" s="197">
        <v>47000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COUNT(C90:C112)</f>
        <v>20</v>
      </c>
      <c r="O8" s="348">
        <f>V113</f>
        <v>17</v>
      </c>
      <c r="P8" s="348">
        <f>W113</f>
        <v>3</v>
      </c>
      <c r="Q8" s="349">
        <f>N8-O8-P8</f>
        <v>0</v>
      </c>
      <c r="R8" s="345">
        <f t="shared" ref="R8" si="4">O8/N8</f>
        <v>0.85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44320</v>
      </c>
      <c r="D9" s="196" t="s">
        <v>23</v>
      </c>
      <c r="E9" s="196" t="s">
        <v>22</v>
      </c>
      <c r="F9" s="197">
        <v>70700</v>
      </c>
      <c r="G9" s="197">
        <v>69400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44321</v>
      </c>
      <c r="D10" s="196" t="s">
        <v>23</v>
      </c>
      <c r="E10" s="196" t="s">
        <v>24</v>
      </c>
      <c r="F10" s="197">
        <v>46900</v>
      </c>
      <c r="G10" s="197">
        <v>46650</v>
      </c>
      <c r="H10" s="196">
        <f>46900-46650</f>
        <v>250</v>
      </c>
      <c r="I10" s="197">
        <v>100</v>
      </c>
      <c r="J10" s="268">
        <f t="shared" si="1"/>
        <v>25000</v>
      </c>
      <c r="K10" s="185"/>
      <c r="M10" s="319" t="s">
        <v>300</v>
      </c>
      <c r="N10" s="321">
        <f>SUM(N4:N9)</f>
        <v>80</v>
      </c>
      <c r="O10" s="321">
        <f>SUM(O4:O9)</f>
        <v>65</v>
      </c>
      <c r="P10" s="321">
        <f>SUM(P4:P9)</f>
        <v>11</v>
      </c>
      <c r="Q10" s="341">
        <f>SUM(Q4:Q9)</f>
        <v>4</v>
      </c>
      <c r="R10" s="343">
        <f t="shared" ref="R10" si="5">O10/N10</f>
        <v>0.8125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44321</v>
      </c>
      <c r="D11" s="196" t="s">
        <v>23</v>
      </c>
      <c r="E11" s="196" t="s">
        <v>22</v>
      </c>
      <c r="F11" s="197">
        <v>69600</v>
      </c>
      <c r="G11" s="197">
        <v>69300</v>
      </c>
      <c r="H11" s="196">
        <v>300</v>
      </c>
      <c r="I11" s="197">
        <v>30</v>
      </c>
      <c r="J11" s="268">
        <f t="shared" si="1"/>
        <v>9000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44322</v>
      </c>
      <c r="D12" s="196" t="s">
        <v>23</v>
      </c>
      <c r="E12" s="196" t="s">
        <v>24</v>
      </c>
      <c r="F12" s="197">
        <v>47150</v>
      </c>
      <c r="G12" s="197">
        <v>47000</v>
      </c>
      <c r="H12" s="196">
        <v>150</v>
      </c>
      <c r="I12" s="197">
        <v>100</v>
      </c>
      <c r="J12" s="268">
        <f t="shared" si="1"/>
        <v>15000</v>
      </c>
      <c r="K12" s="185"/>
      <c r="M12" s="323" t="s">
        <v>878</v>
      </c>
      <c r="N12" s="324"/>
      <c r="O12" s="325"/>
      <c r="P12" s="332">
        <f>R10</f>
        <v>0.8125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44322</v>
      </c>
      <c r="D13" s="196" t="s">
        <v>23</v>
      </c>
      <c r="E13" s="196" t="s">
        <v>22</v>
      </c>
      <c r="F13" s="197">
        <v>70250</v>
      </c>
      <c r="G13" s="197">
        <v>69950</v>
      </c>
      <c r="H13" s="196">
        <v>300</v>
      </c>
      <c r="I13" s="197">
        <v>30</v>
      </c>
      <c r="J13" s="268">
        <f t="shared" si="1"/>
        <v>9000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44323</v>
      </c>
      <c r="D14" s="196" t="s">
        <v>23</v>
      </c>
      <c r="E14" s="196" t="s">
        <v>24</v>
      </c>
      <c r="F14" s="197">
        <v>47660</v>
      </c>
      <c r="G14" s="197">
        <v>47560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44323</v>
      </c>
      <c r="D15" s="196" t="s">
        <v>23</v>
      </c>
      <c r="E15" s="196" t="s">
        <v>22</v>
      </c>
      <c r="F15" s="197">
        <v>71500</v>
      </c>
      <c r="G15" s="197">
        <v>71200</v>
      </c>
      <c r="H15" s="196">
        <v>300</v>
      </c>
      <c r="I15" s="197">
        <v>30</v>
      </c>
      <c r="J15" s="268">
        <f t="shared" si="1"/>
        <v>9000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44326</v>
      </c>
      <c r="D16" s="196" t="s">
        <v>16</v>
      </c>
      <c r="E16" s="196" t="s">
        <v>24</v>
      </c>
      <c r="F16" s="197">
        <v>47950</v>
      </c>
      <c r="G16" s="197">
        <v>48100</v>
      </c>
      <c r="H16" s="196">
        <f>48100-47950</f>
        <v>150</v>
      </c>
      <c r="I16" s="197">
        <v>100</v>
      </c>
      <c r="J16" s="268">
        <f t="shared" si="1"/>
        <v>15000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44326</v>
      </c>
      <c r="D17" s="196" t="s">
        <v>16</v>
      </c>
      <c r="E17" s="196" t="s">
        <v>22</v>
      </c>
      <c r="F17" s="197">
        <v>72400</v>
      </c>
      <c r="G17" s="197">
        <v>72650</v>
      </c>
      <c r="H17" s="196">
        <f>72650-72400</f>
        <v>250</v>
      </c>
      <c r="I17" s="197">
        <v>30</v>
      </c>
      <c r="J17" s="268">
        <f t="shared" si="1"/>
        <v>7500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44327</v>
      </c>
      <c r="D18" s="196" t="s">
        <v>23</v>
      </c>
      <c r="E18" s="196" t="s">
        <v>24</v>
      </c>
      <c r="F18" s="197">
        <v>47900</v>
      </c>
      <c r="G18" s="197">
        <v>47700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44327</v>
      </c>
      <c r="D19" s="196" t="s">
        <v>23</v>
      </c>
      <c r="E19" s="196" t="s">
        <v>22</v>
      </c>
      <c r="F19" s="197">
        <v>71600</v>
      </c>
      <c r="G19" s="197">
        <v>71300</v>
      </c>
      <c r="H19" s="196">
        <v>300</v>
      </c>
      <c r="I19" s="197">
        <v>30</v>
      </c>
      <c r="J19" s="268">
        <f t="shared" si="1"/>
        <v>9000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44328</v>
      </c>
      <c r="D20" s="196" t="s">
        <v>23</v>
      </c>
      <c r="E20" s="196" t="s">
        <v>24</v>
      </c>
      <c r="F20" s="197">
        <v>47570</v>
      </c>
      <c r="G20" s="197">
        <v>47670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44328</v>
      </c>
      <c r="D21" s="196" t="s">
        <v>23</v>
      </c>
      <c r="E21" s="196" t="s">
        <v>22</v>
      </c>
      <c r="F21" s="197">
        <v>71550</v>
      </c>
      <c r="G21" s="197">
        <v>71268</v>
      </c>
      <c r="H21" s="196">
        <f>71268-71550</f>
        <v>-282</v>
      </c>
      <c r="I21" s="197">
        <v>30</v>
      </c>
      <c r="J21" s="268">
        <f t="shared" si="1"/>
        <v>-8460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44330</v>
      </c>
      <c r="D22" s="196" t="s">
        <v>23</v>
      </c>
      <c r="E22" s="196" t="s">
        <v>24</v>
      </c>
      <c r="F22" s="197">
        <v>47580</v>
      </c>
      <c r="G22" s="197">
        <v>47520</v>
      </c>
      <c r="H22" s="196"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44330</v>
      </c>
      <c r="D23" s="196" t="s">
        <v>23</v>
      </c>
      <c r="E23" s="196" t="s">
        <v>22</v>
      </c>
      <c r="F23" s="197">
        <v>70900</v>
      </c>
      <c r="G23" s="197">
        <v>70750</v>
      </c>
      <c r="H23" s="196">
        <f>70900-70750</f>
        <v>150</v>
      </c>
      <c r="I23" s="197">
        <v>30</v>
      </c>
      <c r="J23" s="268">
        <f t="shared" si="1"/>
        <v>4500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44333</v>
      </c>
      <c r="D24" s="196" t="s">
        <v>23</v>
      </c>
      <c r="E24" s="196" t="s">
        <v>24</v>
      </c>
      <c r="F24" s="197">
        <v>47970</v>
      </c>
      <c r="G24" s="197">
        <v>48070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44333</v>
      </c>
      <c r="D25" s="196" t="s">
        <v>23</v>
      </c>
      <c r="E25" s="196" t="s">
        <v>22</v>
      </c>
      <c r="F25" s="197">
        <v>71900</v>
      </c>
      <c r="G25" s="197">
        <v>71600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44334</v>
      </c>
      <c r="D26" s="196" t="s">
        <v>23</v>
      </c>
      <c r="E26" s="196" t="s">
        <v>24</v>
      </c>
      <c r="F26" s="197">
        <v>48340</v>
      </c>
      <c r="G26" s="197">
        <v>48440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44334</v>
      </c>
      <c r="D27" s="196" t="s">
        <v>23</v>
      </c>
      <c r="E27" s="196" t="s">
        <v>22</v>
      </c>
      <c r="F27" s="197">
        <v>73850</v>
      </c>
      <c r="G27" s="197">
        <v>73650</v>
      </c>
      <c r="H27" s="196"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44335</v>
      </c>
      <c r="D28" s="196" t="s">
        <v>23</v>
      </c>
      <c r="E28" s="196" t="s">
        <v>24</v>
      </c>
      <c r="F28" s="197">
        <v>48250</v>
      </c>
      <c r="G28" s="197">
        <v>48050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44335</v>
      </c>
      <c r="D29" s="196" t="s">
        <v>23</v>
      </c>
      <c r="E29" s="196" t="s">
        <v>22</v>
      </c>
      <c r="F29" s="197">
        <v>72350</v>
      </c>
      <c r="G29" s="197">
        <v>71850</v>
      </c>
      <c r="H29" s="196">
        <v>600</v>
      </c>
      <c r="I29" s="197">
        <v>30</v>
      </c>
      <c r="J29" s="268">
        <f t="shared" si="1"/>
        <v>18000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44336</v>
      </c>
      <c r="D30" s="196" t="s">
        <v>23</v>
      </c>
      <c r="E30" s="196" t="s">
        <v>24</v>
      </c>
      <c r="F30" s="197">
        <v>48340</v>
      </c>
      <c r="G30" s="197">
        <v>48275</v>
      </c>
      <c r="H30" s="196">
        <f>48340-48275</f>
        <v>65</v>
      </c>
      <c r="I30" s="197">
        <v>100</v>
      </c>
      <c r="J30" s="268">
        <f t="shared" si="1"/>
        <v>6500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44336</v>
      </c>
      <c r="D31" s="196" t="s">
        <v>23</v>
      </c>
      <c r="E31" s="196" t="s">
        <v>22</v>
      </c>
      <c r="F31" s="197">
        <v>71650</v>
      </c>
      <c r="G31" s="197">
        <v>71550</v>
      </c>
      <c r="H31" s="196">
        <v>100</v>
      </c>
      <c r="I31" s="197">
        <v>100</v>
      </c>
      <c r="J31" s="268">
        <f t="shared" si="1"/>
        <v>10000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44337</v>
      </c>
      <c r="D32" s="196" t="s">
        <v>23</v>
      </c>
      <c r="E32" s="196" t="s">
        <v>24</v>
      </c>
      <c r="F32" s="197">
        <v>48440</v>
      </c>
      <c r="G32" s="197">
        <v>48540</v>
      </c>
      <c r="H32" s="196">
        <v>-100</v>
      </c>
      <c r="I32" s="197">
        <v>100</v>
      </c>
      <c r="J32" s="268">
        <f t="shared" si="1"/>
        <v>-10000</v>
      </c>
      <c r="K32" s="185"/>
      <c r="V32" s="183">
        <f t="shared" si="2"/>
        <v>0</v>
      </c>
      <c r="W32" s="183">
        <f t="shared" si="3"/>
        <v>1</v>
      </c>
    </row>
    <row r="33" spans="1:23" x14ac:dyDescent="0.3">
      <c r="A33" s="184"/>
      <c r="B33" s="194">
        <v>28</v>
      </c>
      <c r="C33" s="195">
        <v>44337</v>
      </c>
      <c r="D33" s="196" t="s">
        <v>23</v>
      </c>
      <c r="E33" s="196" t="s">
        <v>22</v>
      </c>
      <c r="F33" s="197">
        <v>71850</v>
      </c>
      <c r="G33" s="197">
        <v>71750</v>
      </c>
      <c r="H33" s="196">
        <v>100</v>
      </c>
      <c r="I33" s="197">
        <v>30</v>
      </c>
      <c r="J33" s="268">
        <f t="shared" si="1"/>
        <v>3000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44340</v>
      </c>
      <c r="D34" s="196" t="s">
        <v>23</v>
      </c>
      <c r="E34" s="196" t="s">
        <v>24</v>
      </c>
      <c r="F34" s="197">
        <v>48560</v>
      </c>
      <c r="G34" s="197">
        <v>48468</v>
      </c>
      <c r="H34" s="196">
        <v>92</v>
      </c>
      <c r="I34" s="197">
        <v>100</v>
      </c>
      <c r="J34" s="268">
        <f t="shared" si="1"/>
        <v>9200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44340</v>
      </c>
      <c r="D35" s="196" t="s">
        <v>23</v>
      </c>
      <c r="E35" s="196" t="s">
        <v>22</v>
      </c>
      <c r="F35" s="197">
        <v>71600</v>
      </c>
      <c r="G35" s="197">
        <v>71520</v>
      </c>
      <c r="H35" s="196">
        <f>71600-71520</f>
        <v>80</v>
      </c>
      <c r="I35" s="197">
        <v>30</v>
      </c>
      <c r="J35" s="268">
        <f t="shared" si="1"/>
        <v>2400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44341</v>
      </c>
      <c r="D36" s="196" t="s">
        <v>23</v>
      </c>
      <c r="E36" s="196" t="s">
        <v>24</v>
      </c>
      <c r="F36" s="197">
        <v>48540</v>
      </c>
      <c r="G36" s="197">
        <v>48475</v>
      </c>
      <c r="H36" s="196">
        <f>48540-48475</f>
        <v>65</v>
      </c>
      <c r="I36" s="197">
        <v>100</v>
      </c>
      <c r="J36" s="268">
        <f t="shared" si="1"/>
        <v>6500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44341</v>
      </c>
      <c r="D37" s="196" t="s">
        <v>23</v>
      </c>
      <c r="E37" s="196" t="s">
        <v>22</v>
      </c>
      <c r="F37" s="197">
        <v>71400</v>
      </c>
      <c r="G37" s="197">
        <v>71110</v>
      </c>
      <c r="H37" s="196">
        <f>71400-71110</f>
        <v>290</v>
      </c>
      <c r="I37" s="197">
        <v>30</v>
      </c>
      <c r="J37" s="268">
        <f t="shared" si="1"/>
        <v>8700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44342</v>
      </c>
      <c r="D38" s="196" t="s">
        <v>23</v>
      </c>
      <c r="E38" s="196" t="s">
        <v>24</v>
      </c>
      <c r="F38" s="197">
        <v>49040</v>
      </c>
      <c r="G38" s="197">
        <v>49140</v>
      </c>
      <c r="H38" s="196">
        <v>-100</v>
      </c>
      <c r="I38" s="197">
        <v>100</v>
      </c>
      <c r="J38" s="268">
        <f t="shared" si="1"/>
        <v>-10000</v>
      </c>
      <c r="K38" s="185"/>
      <c r="V38" s="183">
        <f t="shared" si="2"/>
        <v>0</v>
      </c>
      <c r="W38" s="183">
        <f t="shared" si="6"/>
        <v>1</v>
      </c>
    </row>
    <row r="39" spans="1:23" x14ac:dyDescent="0.3">
      <c r="A39" s="184"/>
      <c r="B39" s="194">
        <v>34</v>
      </c>
      <c r="C39" s="195">
        <v>44342</v>
      </c>
      <c r="D39" s="196" t="s">
        <v>23</v>
      </c>
      <c r="E39" s="196" t="s">
        <v>22</v>
      </c>
      <c r="F39" s="197">
        <v>72450</v>
      </c>
      <c r="G39" s="197">
        <v>72150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44343</v>
      </c>
      <c r="D40" s="196" t="s">
        <v>23</v>
      </c>
      <c r="E40" s="196" t="s">
        <v>24</v>
      </c>
      <c r="F40" s="197">
        <v>48640</v>
      </c>
      <c r="G40" s="197">
        <v>48490</v>
      </c>
      <c r="H40" s="196">
        <f>48640-48490</f>
        <v>150</v>
      </c>
      <c r="I40" s="197">
        <v>100</v>
      </c>
      <c r="J40" s="268">
        <f t="shared" si="1"/>
        <v>15000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44343</v>
      </c>
      <c r="D41" s="196" t="s">
        <v>23</v>
      </c>
      <c r="E41" s="196" t="s">
        <v>22</v>
      </c>
      <c r="F41" s="197">
        <v>71250</v>
      </c>
      <c r="G41" s="197">
        <v>70950</v>
      </c>
      <c r="H41" s="196">
        <f>71250-70950</f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44344</v>
      </c>
      <c r="D42" s="196" t="s">
        <v>23</v>
      </c>
      <c r="E42" s="196" t="s">
        <v>24</v>
      </c>
      <c r="F42" s="197">
        <v>48450</v>
      </c>
      <c r="G42" s="197">
        <v>48250</v>
      </c>
      <c r="H42" s="196">
        <v>200</v>
      </c>
      <c r="I42" s="197">
        <v>100</v>
      </c>
      <c r="J42" s="268">
        <f t="shared" si="1"/>
        <v>20000</v>
      </c>
      <c r="K42" s="185"/>
    </row>
    <row r="43" spans="1:23" x14ac:dyDescent="0.3">
      <c r="A43" s="184"/>
      <c r="B43" s="194">
        <v>38</v>
      </c>
      <c r="C43" s="195">
        <v>44344</v>
      </c>
      <c r="D43" s="196" t="s">
        <v>23</v>
      </c>
      <c r="E43" s="196" t="s">
        <v>22</v>
      </c>
      <c r="F43" s="197">
        <v>71200</v>
      </c>
      <c r="G43" s="197">
        <v>70600</v>
      </c>
      <c r="H43" s="196">
        <f>71200-70600</f>
        <v>600</v>
      </c>
      <c r="I43" s="197">
        <v>30</v>
      </c>
      <c r="J43" s="268">
        <f t="shared" si="1"/>
        <v>18000</v>
      </c>
      <c r="K43" s="185"/>
    </row>
    <row r="44" spans="1:23" x14ac:dyDescent="0.3">
      <c r="A44" s="184"/>
      <c r="B44" s="194">
        <v>39</v>
      </c>
      <c r="C44" s="195">
        <v>44347</v>
      </c>
      <c r="D44" s="196" t="s">
        <v>23</v>
      </c>
      <c r="E44" s="196" t="s">
        <v>24</v>
      </c>
      <c r="F44" s="197">
        <v>49420</v>
      </c>
      <c r="G44" s="197">
        <v>49320</v>
      </c>
      <c r="H44" s="196">
        <v>100</v>
      </c>
      <c r="I44" s="197">
        <v>100</v>
      </c>
      <c r="J44" s="268">
        <f t="shared" si="1"/>
        <v>10000</v>
      </c>
      <c r="K44" s="185"/>
    </row>
    <row r="45" spans="1:23" x14ac:dyDescent="0.3">
      <c r="A45" s="184"/>
      <c r="B45" s="194">
        <v>40</v>
      </c>
      <c r="C45" s="195">
        <v>44347</v>
      </c>
      <c r="D45" s="196" t="s">
        <v>23</v>
      </c>
      <c r="E45" s="196" t="s">
        <v>22</v>
      </c>
      <c r="F45" s="197">
        <v>72000</v>
      </c>
      <c r="G45" s="197">
        <v>71850</v>
      </c>
      <c r="H45" s="196">
        <f>72000-71850</f>
        <v>150</v>
      </c>
      <c r="I45" s="197">
        <v>30</v>
      </c>
      <c r="J45" s="268">
        <f t="shared" si="1"/>
        <v>4500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262840</v>
      </c>
      <c r="K51" s="185"/>
      <c r="V51" s="183">
        <f>SUM(V6:V50)</f>
        <v>28</v>
      </c>
      <c r="W51" s="183">
        <f>SUM(W6:W50)</f>
        <v>8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44317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44319</v>
      </c>
      <c r="D59" s="192" t="s">
        <v>23</v>
      </c>
      <c r="E59" s="192" t="s">
        <v>25</v>
      </c>
      <c r="F59" s="193">
        <v>4710</v>
      </c>
      <c r="G59" s="193">
        <v>4690</v>
      </c>
      <c r="H59" s="192">
        <v>20</v>
      </c>
      <c r="I59" s="193">
        <v>100</v>
      </c>
      <c r="J59" s="267">
        <f t="shared" ref="J59:J81" si="7">I59*H59</f>
        <v>2000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44320</v>
      </c>
      <c r="D60" s="196" t="s">
        <v>23</v>
      </c>
      <c r="E60" s="196" t="s">
        <v>25</v>
      </c>
      <c r="F60" s="197">
        <v>4875</v>
      </c>
      <c r="G60" s="197">
        <v>4835</v>
      </c>
      <c r="H60" s="196">
        <f>4875-4835</f>
        <v>40</v>
      </c>
      <c r="I60" s="197">
        <v>100</v>
      </c>
      <c r="J60" s="268">
        <f t="shared" si="7"/>
        <v>4000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44321</v>
      </c>
      <c r="D61" s="196" t="s">
        <v>23</v>
      </c>
      <c r="E61" s="196" t="s">
        <v>25</v>
      </c>
      <c r="F61" s="197">
        <v>4930</v>
      </c>
      <c r="G61" s="197">
        <v>4880</v>
      </c>
      <c r="H61" s="196">
        <v>50</v>
      </c>
      <c r="I61" s="197">
        <v>100</v>
      </c>
      <c r="J61" s="268">
        <f t="shared" si="7"/>
        <v>5000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44322</v>
      </c>
      <c r="D62" s="196" t="s">
        <v>23</v>
      </c>
      <c r="E62" s="196" t="s">
        <v>25</v>
      </c>
      <c r="F62" s="197">
        <v>4830</v>
      </c>
      <c r="G62" s="197">
        <v>4770</v>
      </c>
      <c r="H62" s="196"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44323</v>
      </c>
      <c r="D63" s="196" t="s">
        <v>23</v>
      </c>
      <c r="E63" s="196" t="s">
        <v>25</v>
      </c>
      <c r="F63" s="197">
        <v>4755</v>
      </c>
      <c r="G63" s="197">
        <v>4697</v>
      </c>
      <c r="H63" s="196">
        <f>4755-4697</f>
        <v>58</v>
      </c>
      <c r="I63" s="197">
        <v>100</v>
      </c>
      <c r="J63" s="268">
        <f t="shared" si="7"/>
        <v>5800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44326</v>
      </c>
      <c r="D64" s="196" t="s">
        <v>23</v>
      </c>
      <c r="E64" s="196" t="s">
        <v>25</v>
      </c>
      <c r="F64" s="197">
        <v>4795</v>
      </c>
      <c r="G64" s="197">
        <v>4735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44327</v>
      </c>
      <c r="D65" s="196" t="s">
        <v>23</v>
      </c>
      <c r="E65" s="196" t="s">
        <v>25</v>
      </c>
      <c r="F65" s="222">
        <v>4740</v>
      </c>
      <c r="G65" s="222">
        <v>4700</v>
      </c>
      <c r="H65" s="196">
        <v>40</v>
      </c>
      <c r="I65" s="197">
        <v>100</v>
      </c>
      <c r="J65" s="268">
        <f t="shared" si="7"/>
        <v>4000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44328</v>
      </c>
      <c r="D66" s="196" t="s">
        <v>23</v>
      </c>
      <c r="E66" s="196" t="s">
        <v>25</v>
      </c>
      <c r="F66" s="197">
        <v>4845</v>
      </c>
      <c r="G66" s="197">
        <v>4785</v>
      </c>
      <c r="H66" s="196">
        <v>40</v>
      </c>
      <c r="I66" s="197">
        <v>100</v>
      </c>
      <c r="J66" s="268">
        <f t="shared" si="7"/>
        <v>4000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44330</v>
      </c>
      <c r="D67" s="196" t="s">
        <v>23</v>
      </c>
      <c r="E67" s="196" t="s">
        <v>25</v>
      </c>
      <c r="F67" s="197">
        <v>4730</v>
      </c>
      <c r="G67" s="197">
        <v>4710</v>
      </c>
      <c r="H67" s="196">
        <v>20</v>
      </c>
      <c r="I67" s="197">
        <v>100</v>
      </c>
      <c r="J67" s="268">
        <f t="shared" si="7"/>
        <v>2000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44333</v>
      </c>
      <c r="D68" s="196" t="s">
        <v>23</v>
      </c>
      <c r="E68" s="196" t="s">
        <v>25</v>
      </c>
      <c r="F68" s="197">
        <v>4800</v>
      </c>
      <c r="G68" s="197">
        <v>4760</v>
      </c>
      <c r="H68" s="196">
        <v>40</v>
      </c>
      <c r="I68" s="197">
        <v>100</v>
      </c>
      <c r="J68" s="268">
        <f t="shared" si="7"/>
        <v>4000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44334</v>
      </c>
      <c r="D69" s="196" t="s">
        <v>23</v>
      </c>
      <c r="E69" s="196" t="s">
        <v>25</v>
      </c>
      <c r="F69" s="197">
        <v>4890</v>
      </c>
      <c r="G69" s="197">
        <v>4830</v>
      </c>
      <c r="H69" s="196">
        <v>60</v>
      </c>
      <c r="I69" s="197">
        <v>100</v>
      </c>
      <c r="J69" s="268">
        <f t="shared" si="7"/>
        <v>6000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44335</v>
      </c>
      <c r="D70" s="196" t="s">
        <v>23</v>
      </c>
      <c r="E70" s="196" t="s">
        <v>25</v>
      </c>
      <c r="F70" s="197">
        <v>4695</v>
      </c>
      <c r="G70" s="197">
        <v>4635</v>
      </c>
      <c r="H70" s="196"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44336</v>
      </c>
      <c r="D71" s="196" t="s">
        <v>23</v>
      </c>
      <c r="E71" s="196" t="s">
        <v>25</v>
      </c>
      <c r="F71" s="197">
        <v>4585</v>
      </c>
      <c r="G71" s="197">
        <v>4565</v>
      </c>
      <c r="H71" s="196">
        <f>4585-4565</f>
        <v>20</v>
      </c>
      <c r="I71" s="197">
        <v>100</v>
      </c>
      <c r="J71" s="268">
        <f t="shared" si="7"/>
        <v>2000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44337</v>
      </c>
      <c r="D72" s="196" t="s">
        <v>23</v>
      </c>
      <c r="E72" s="196" t="s">
        <v>25</v>
      </c>
      <c r="F72" s="197">
        <v>4600</v>
      </c>
      <c r="G72" s="197">
        <v>4585</v>
      </c>
      <c r="H72" s="196">
        <f>4600-4585</f>
        <v>15</v>
      </c>
      <c r="I72" s="197">
        <v>100</v>
      </c>
      <c r="J72" s="268">
        <f t="shared" si="7"/>
        <v>1500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44340</v>
      </c>
      <c r="D73" s="196" t="s">
        <v>23</v>
      </c>
      <c r="E73" s="196" t="s">
        <v>25</v>
      </c>
      <c r="F73" s="197">
        <v>4745</v>
      </c>
      <c r="G73" s="197">
        <v>4715</v>
      </c>
      <c r="H73" s="196">
        <f>4745-4715</f>
        <v>30</v>
      </c>
      <c r="I73" s="197">
        <v>100</v>
      </c>
      <c r="J73" s="268">
        <f t="shared" si="7"/>
        <v>3000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44341</v>
      </c>
      <c r="D74" s="196" t="s">
        <v>23</v>
      </c>
      <c r="E74" s="196" t="s">
        <v>25</v>
      </c>
      <c r="F74" s="197">
        <v>4795</v>
      </c>
      <c r="G74" s="197">
        <v>4778</v>
      </c>
      <c r="H74" s="196">
        <f>4795-4778</f>
        <v>17</v>
      </c>
      <c r="I74" s="197">
        <v>100</v>
      </c>
      <c r="J74" s="268">
        <f t="shared" si="7"/>
        <v>1700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44342</v>
      </c>
      <c r="D75" s="196" t="s">
        <v>23</v>
      </c>
      <c r="E75" s="196" t="s">
        <v>25</v>
      </c>
      <c r="F75" s="197">
        <v>4835</v>
      </c>
      <c r="G75" s="197">
        <v>4775</v>
      </c>
      <c r="H75" s="196">
        <f>4835-4775</f>
        <v>60</v>
      </c>
      <c r="I75" s="197">
        <v>100</v>
      </c>
      <c r="J75" s="268">
        <f t="shared" si="7"/>
        <v>6000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44343</v>
      </c>
      <c r="D76" s="196" t="s">
        <v>23</v>
      </c>
      <c r="E76" s="196" t="s">
        <v>25</v>
      </c>
      <c r="F76" s="197">
        <v>4790</v>
      </c>
      <c r="G76" s="197">
        <v>4767</v>
      </c>
      <c r="H76" s="196">
        <f>4790-4767</f>
        <v>23</v>
      </c>
      <c r="I76" s="197">
        <v>100</v>
      </c>
      <c r="J76" s="268">
        <f t="shared" si="7"/>
        <v>2300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44344</v>
      </c>
      <c r="D77" s="196" t="s">
        <v>23</v>
      </c>
      <c r="E77" s="196" t="s">
        <v>25</v>
      </c>
      <c r="F77" s="197">
        <v>4880</v>
      </c>
      <c r="G77" s="197">
        <v>4850</v>
      </c>
      <c r="H77" s="196">
        <v>30</v>
      </c>
      <c r="I77" s="197">
        <v>100</v>
      </c>
      <c r="J77" s="268">
        <f t="shared" si="7"/>
        <v>3000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44347</v>
      </c>
      <c r="D78" s="196" t="s">
        <v>23</v>
      </c>
      <c r="E78" s="196" t="s">
        <v>25</v>
      </c>
      <c r="F78" s="197">
        <v>4880</v>
      </c>
      <c r="G78" s="197">
        <v>4868</v>
      </c>
      <c r="H78" s="196">
        <f>4880-4868</f>
        <v>12</v>
      </c>
      <c r="I78" s="197">
        <v>100</v>
      </c>
      <c r="J78" s="268">
        <f t="shared" si="7"/>
        <v>1200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75500</v>
      </c>
      <c r="K82" s="185"/>
      <c r="V82" s="183">
        <f>SUM(V59:V81)</f>
        <v>20</v>
      </c>
      <c r="W82" s="183">
        <f>SUM(W59:W81)</f>
        <v>0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44317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44319</v>
      </c>
      <c r="D90" s="216" t="s">
        <v>16</v>
      </c>
      <c r="E90" s="256" t="s">
        <v>28</v>
      </c>
      <c r="F90" s="256">
        <v>234</v>
      </c>
      <c r="G90" s="256">
        <v>234.1</v>
      </c>
      <c r="H90" s="256">
        <v>-0.1</v>
      </c>
      <c r="I90" s="218">
        <v>5000</v>
      </c>
      <c r="J90" s="273">
        <f>I90*H90</f>
        <v>-500</v>
      </c>
      <c r="K90" s="185"/>
      <c r="M90" s="183" t="s">
        <v>870</v>
      </c>
      <c r="V90" s="183">
        <f>IF($J90&gt;0,1,0)</f>
        <v>0</v>
      </c>
      <c r="W90" s="183">
        <f>IF($J90&lt;0,1,0)</f>
        <v>1</v>
      </c>
    </row>
    <row r="91" spans="1:23" x14ac:dyDescent="0.3">
      <c r="A91" s="184"/>
      <c r="B91" s="194">
        <v>2</v>
      </c>
      <c r="C91" s="195">
        <v>44320</v>
      </c>
      <c r="D91" s="196" t="s">
        <v>16</v>
      </c>
      <c r="E91" s="222" t="s">
        <v>28</v>
      </c>
      <c r="F91" s="222">
        <v>236.3</v>
      </c>
      <c r="G91" s="222">
        <v>234.6</v>
      </c>
      <c r="H91" s="222">
        <v>1.7</v>
      </c>
      <c r="I91" s="197">
        <v>5000</v>
      </c>
      <c r="J91" s="268">
        <f t="shared" ref="J91:J112" si="10">I91*H91</f>
        <v>8500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44321</v>
      </c>
      <c r="D92" s="196" t="s">
        <v>23</v>
      </c>
      <c r="E92" s="222" t="s">
        <v>28</v>
      </c>
      <c r="F92" s="222">
        <v>235.5</v>
      </c>
      <c r="G92" s="222">
        <v>234.5</v>
      </c>
      <c r="H92" s="222">
        <v>1</v>
      </c>
      <c r="I92" s="197">
        <v>5000</v>
      </c>
      <c r="J92" s="268">
        <f t="shared" si="10"/>
        <v>5000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44322</v>
      </c>
      <c r="D93" s="196" t="s">
        <v>16</v>
      </c>
      <c r="E93" s="222" t="s">
        <v>28</v>
      </c>
      <c r="F93" s="222">
        <v>232</v>
      </c>
      <c r="G93" s="222">
        <v>232.4</v>
      </c>
      <c r="H93" s="222">
        <v>0.4</v>
      </c>
      <c r="I93" s="197">
        <v>5000</v>
      </c>
      <c r="J93" s="268">
        <f t="shared" si="10"/>
        <v>2000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44323</v>
      </c>
      <c r="D94" s="196" t="s">
        <v>16</v>
      </c>
      <c r="E94" s="222" t="s">
        <v>28</v>
      </c>
      <c r="F94" s="222">
        <v>234.2</v>
      </c>
      <c r="G94" s="222">
        <v>236.2</v>
      </c>
      <c r="H94" s="222">
        <v>2</v>
      </c>
      <c r="I94" s="197">
        <v>5000</v>
      </c>
      <c r="J94" s="268">
        <f t="shared" si="10"/>
        <v>10000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44326</v>
      </c>
      <c r="D95" s="196" t="s">
        <v>16</v>
      </c>
      <c r="E95" s="222" t="s">
        <v>28</v>
      </c>
      <c r="F95" s="222">
        <v>239</v>
      </c>
      <c r="G95" s="222">
        <v>239.7</v>
      </c>
      <c r="H95" s="222">
        <v>0.7</v>
      </c>
      <c r="I95" s="197">
        <v>5000</v>
      </c>
      <c r="J95" s="268">
        <f t="shared" si="10"/>
        <v>3500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44327</v>
      </c>
      <c r="D96" s="196" t="s">
        <v>23</v>
      </c>
      <c r="E96" s="222" t="s">
        <v>28</v>
      </c>
      <c r="F96" s="222">
        <v>237.5</v>
      </c>
      <c r="G96" s="222">
        <v>235.5</v>
      </c>
      <c r="H96" s="274">
        <v>2</v>
      </c>
      <c r="I96" s="197">
        <v>5000</v>
      </c>
      <c r="J96" s="268">
        <f t="shared" si="10"/>
        <v>10000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44328</v>
      </c>
      <c r="D97" s="196" t="s">
        <v>23</v>
      </c>
      <c r="E97" s="222" t="s">
        <v>28</v>
      </c>
      <c r="F97" s="222">
        <v>237</v>
      </c>
      <c r="G97" s="222">
        <v>235.2</v>
      </c>
      <c r="H97" s="222">
        <f>237-235.2</f>
        <v>1.8000000000000114</v>
      </c>
      <c r="I97" s="197">
        <v>5000</v>
      </c>
      <c r="J97" s="268">
        <f t="shared" si="10"/>
        <v>9000.0000000000564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44330</v>
      </c>
      <c r="D98" s="196" t="s">
        <v>23</v>
      </c>
      <c r="E98" s="222" t="s">
        <v>28</v>
      </c>
      <c r="F98" s="222">
        <v>230.2</v>
      </c>
      <c r="G98" s="222">
        <v>229.7</v>
      </c>
      <c r="H98" s="222">
        <f>230.2-229.7</f>
        <v>0.5</v>
      </c>
      <c r="I98" s="197">
        <v>5000</v>
      </c>
      <c r="J98" s="268">
        <f t="shared" si="10"/>
        <v>2500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44333</v>
      </c>
      <c r="D99" s="196" t="s">
        <v>16</v>
      </c>
      <c r="E99" s="222" t="s">
        <v>28</v>
      </c>
      <c r="F99" s="222">
        <v>232.6</v>
      </c>
      <c r="G99" s="222">
        <v>234</v>
      </c>
      <c r="H99" s="222">
        <f>234-232.6</f>
        <v>1.4000000000000057</v>
      </c>
      <c r="I99" s="197">
        <v>5000</v>
      </c>
      <c r="J99" s="268">
        <f t="shared" si="10"/>
        <v>7000.0000000000282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44334</v>
      </c>
      <c r="D100" s="196" t="s">
        <v>16</v>
      </c>
      <c r="E100" s="222" t="s">
        <v>28</v>
      </c>
      <c r="F100" s="222">
        <v>240.5</v>
      </c>
      <c r="G100" s="222">
        <v>241.5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44335</v>
      </c>
      <c r="D101" s="196" t="s">
        <v>23</v>
      </c>
      <c r="E101" s="222" t="s">
        <v>28</v>
      </c>
      <c r="F101" s="222">
        <v>235.6</v>
      </c>
      <c r="G101" s="222">
        <v>233.6</v>
      </c>
      <c r="H101" s="274">
        <v>2</v>
      </c>
      <c r="I101" s="197">
        <v>5000</v>
      </c>
      <c r="J101" s="268">
        <f t="shared" si="10"/>
        <v>10000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44336</v>
      </c>
      <c r="D102" s="196" t="s">
        <v>23</v>
      </c>
      <c r="E102" s="222" t="s">
        <v>28</v>
      </c>
      <c r="F102" s="222">
        <v>230.5</v>
      </c>
      <c r="G102" s="222">
        <v>231.5</v>
      </c>
      <c r="H102" s="274">
        <v>-1</v>
      </c>
      <c r="I102" s="197">
        <v>5000</v>
      </c>
      <c r="J102" s="268">
        <f t="shared" si="10"/>
        <v>-5000</v>
      </c>
      <c r="K102" s="185"/>
      <c r="V102" s="183">
        <f t="shared" si="11"/>
        <v>0</v>
      </c>
      <c r="W102" s="183">
        <f t="shared" si="12"/>
        <v>1</v>
      </c>
    </row>
    <row r="103" spans="1:23" x14ac:dyDescent="0.3">
      <c r="A103" s="184"/>
      <c r="B103" s="194">
        <v>14</v>
      </c>
      <c r="C103" s="195">
        <v>44337</v>
      </c>
      <c r="D103" s="196" t="s">
        <v>16</v>
      </c>
      <c r="E103" s="222" t="s">
        <v>28</v>
      </c>
      <c r="F103" s="222">
        <v>233.5</v>
      </c>
      <c r="G103" s="222">
        <v>233.95</v>
      </c>
      <c r="H103" s="274">
        <f>233.95-233.5</f>
        <v>0.44999999999998863</v>
      </c>
      <c r="I103" s="197">
        <v>5000</v>
      </c>
      <c r="J103" s="268">
        <f t="shared" si="10"/>
        <v>2249.9999999999432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44340</v>
      </c>
      <c r="D104" s="196" t="s">
        <v>23</v>
      </c>
      <c r="E104" s="222" t="s">
        <v>28</v>
      </c>
      <c r="F104" s="223">
        <v>228.6</v>
      </c>
      <c r="G104" s="222">
        <v>227.6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44341</v>
      </c>
      <c r="D105" s="196" t="s">
        <v>23</v>
      </c>
      <c r="E105" s="222" t="s">
        <v>28</v>
      </c>
      <c r="F105" s="222">
        <v>230.5</v>
      </c>
      <c r="G105" s="222">
        <v>231.5</v>
      </c>
      <c r="H105" s="274">
        <v>-1</v>
      </c>
      <c r="I105" s="197">
        <v>5000</v>
      </c>
      <c r="J105" s="268">
        <f t="shared" si="10"/>
        <v>-5000</v>
      </c>
      <c r="K105" s="185"/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17</v>
      </c>
      <c r="C106" s="195">
        <v>44342</v>
      </c>
      <c r="D106" s="196" t="s">
        <v>23</v>
      </c>
      <c r="E106" s="222" t="s">
        <v>28</v>
      </c>
      <c r="F106" s="222">
        <v>233.7</v>
      </c>
      <c r="G106" s="222">
        <v>231.7</v>
      </c>
      <c r="H106" s="274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44343</v>
      </c>
      <c r="D107" s="196" t="s">
        <v>23</v>
      </c>
      <c r="E107" s="222" t="s">
        <v>28</v>
      </c>
      <c r="F107" s="222">
        <v>234.5</v>
      </c>
      <c r="G107" s="222">
        <v>234.1</v>
      </c>
      <c r="H107" s="274">
        <v>0.4</v>
      </c>
      <c r="I107" s="197">
        <v>5000</v>
      </c>
      <c r="J107" s="268">
        <f t="shared" si="10"/>
        <v>2000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44344</v>
      </c>
      <c r="D108" s="196" t="s">
        <v>23</v>
      </c>
      <c r="E108" s="222" t="s">
        <v>28</v>
      </c>
      <c r="F108" s="222">
        <v>236.3</v>
      </c>
      <c r="G108" s="222">
        <v>235.65</v>
      </c>
      <c r="H108" s="274">
        <f>236.3-235.65</f>
        <v>0.65000000000000568</v>
      </c>
      <c r="I108" s="197">
        <v>5000</v>
      </c>
      <c r="J108" s="268">
        <f t="shared" si="10"/>
        <v>3250.0000000000282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44347</v>
      </c>
      <c r="D109" s="196" t="s">
        <v>23</v>
      </c>
      <c r="E109" s="222" t="s">
        <v>28</v>
      </c>
      <c r="F109" s="222">
        <v>238.3</v>
      </c>
      <c r="G109" s="222">
        <v>237.9</v>
      </c>
      <c r="H109" s="274">
        <f>238.3-237.9</f>
        <v>0.40000000000000568</v>
      </c>
      <c r="I109" s="197">
        <v>5000</v>
      </c>
      <c r="J109" s="268">
        <f t="shared" si="10"/>
        <v>2000.0000000000284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81500.000000000087</v>
      </c>
      <c r="K113" s="185"/>
      <c r="V113" s="183">
        <f>SUM(V90:V112)</f>
        <v>17</v>
      </c>
      <c r="W113" s="183">
        <f>SUM(W90:W112)</f>
        <v>3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500-000000000000}"/>
    <hyperlink ref="B82" r:id="rId2" xr:uid="{00000000-0004-0000-6500-000001000000}"/>
    <hyperlink ref="M4:M5" location="'MARCH 2021'!A1" display="BULLION" xr:uid="{00000000-0004-0000-6500-000002000000}"/>
    <hyperlink ref="B113" r:id="rId3" xr:uid="{00000000-0004-0000-6500-000003000000}"/>
    <hyperlink ref="M8:M9" location="'MARCH 2021'!A86" display="BASE METAL" xr:uid="{00000000-0004-0000-6500-000004000000}"/>
    <hyperlink ref="M1" location="MASTER!A1" display="Back" xr:uid="{00000000-0004-0000-6500-000005000000}"/>
    <hyperlink ref="M6:M7" location="'MARCH 2021'!A54" display="ENERGY" xr:uid="{00000000-0004-0000-6500-000006000000}"/>
  </hyperlinks>
  <pageMargins left="0" right="0" top="0" bottom="0" header="0" footer="0"/>
  <pageSetup paperSize="9" orientation="portrait" r:id="rId4"/>
  <drawing r:id="rId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W114"/>
  <sheetViews>
    <sheetView topLeftCell="A35" zoomScale="98" zoomScaleNormal="98" workbookViewId="0">
      <selection activeCell="A54" sqref="A54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44348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41</v>
      </c>
      <c r="O4" s="355">
        <f>V51</f>
        <v>29</v>
      </c>
      <c r="P4" s="355">
        <f>W51</f>
        <v>7</v>
      </c>
      <c r="Q4" s="356">
        <f>N4-O4-P4</f>
        <v>5</v>
      </c>
      <c r="R4" s="343">
        <f>O4/N4</f>
        <v>0.70731707317073167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44348</v>
      </c>
      <c r="D6" s="192" t="s">
        <v>23</v>
      </c>
      <c r="E6" s="192" t="s">
        <v>24</v>
      </c>
      <c r="F6" s="193">
        <v>49600</v>
      </c>
      <c r="G6" s="193">
        <v>49400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COUNT(C59:C81)</f>
        <v>22</v>
      </c>
      <c r="O6" s="348">
        <f>V82</f>
        <v>18</v>
      </c>
      <c r="P6" s="348">
        <f>W82</f>
        <v>4</v>
      </c>
      <c r="Q6" s="349">
        <f>N6-O6-P6</f>
        <v>0</v>
      </c>
      <c r="R6" s="345">
        <f t="shared" ref="R6" si="0">O6/N6</f>
        <v>0.81818181818181823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44348</v>
      </c>
      <c r="D7" s="196" t="s">
        <v>23</v>
      </c>
      <c r="E7" s="196" t="s">
        <v>22</v>
      </c>
      <c r="F7" s="197">
        <v>72900</v>
      </c>
      <c r="G7" s="197">
        <v>72730</v>
      </c>
      <c r="H7" s="196">
        <f>72900-72730</f>
        <v>170</v>
      </c>
      <c r="I7" s="197">
        <v>30</v>
      </c>
      <c r="J7" s="268">
        <f t="shared" ref="J7:J50" si="1">H7*I7</f>
        <v>5100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44349</v>
      </c>
      <c r="D8" s="196" t="s">
        <v>23</v>
      </c>
      <c r="E8" s="196" t="s">
        <v>24</v>
      </c>
      <c r="F8" s="197">
        <v>49460</v>
      </c>
      <c r="G8" s="197">
        <v>49390</v>
      </c>
      <c r="H8" s="196">
        <f>49460-49390</f>
        <v>70</v>
      </c>
      <c r="I8" s="197">
        <v>100</v>
      </c>
      <c r="J8" s="268">
        <f t="shared" si="1"/>
        <v>7000</v>
      </c>
      <c r="K8" s="185"/>
      <c r="M8" s="362" t="s">
        <v>877</v>
      </c>
      <c r="N8" s="347">
        <f>COUNT(C90:C112)</f>
        <v>22</v>
      </c>
      <c r="O8" s="348">
        <f>V113</f>
        <v>18</v>
      </c>
      <c r="P8" s="348">
        <f>W113</f>
        <v>4</v>
      </c>
      <c r="Q8" s="349">
        <f>N8-O8-P8</f>
        <v>0</v>
      </c>
      <c r="R8" s="345">
        <f t="shared" ref="R8" si="4">O8/N8</f>
        <v>0.81818181818181823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44349</v>
      </c>
      <c r="D9" s="196" t="s">
        <v>23</v>
      </c>
      <c r="E9" s="196" t="s">
        <v>22</v>
      </c>
      <c r="F9" s="197">
        <v>72050</v>
      </c>
      <c r="G9" s="197">
        <v>71825</v>
      </c>
      <c r="H9" s="196">
        <f>72050-71825</f>
        <v>225</v>
      </c>
      <c r="I9" s="197">
        <v>30</v>
      </c>
      <c r="J9" s="268">
        <f t="shared" si="1"/>
        <v>6750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44350</v>
      </c>
      <c r="D10" s="196" t="s">
        <v>23</v>
      </c>
      <c r="E10" s="196" t="s">
        <v>24</v>
      </c>
      <c r="F10" s="197">
        <v>43140</v>
      </c>
      <c r="G10" s="197">
        <v>43240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85</v>
      </c>
      <c r="O10" s="321">
        <f>SUM(O4:O9)</f>
        <v>65</v>
      </c>
      <c r="P10" s="321">
        <f>SUM(P4:P9)</f>
        <v>15</v>
      </c>
      <c r="Q10" s="341">
        <f>SUM(Q4:Q9)</f>
        <v>5</v>
      </c>
      <c r="R10" s="343">
        <f t="shared" ref="R10" si="5">O10/N10</f>
        <v>0.76470588235294112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44350</v>
      </c>
      <c r="D11" s="196" t="s">
        <v>23</v>
      </c>
      <c r="E11" s="196" t="s">
        <v>22</v>
      </c>
      <c r="F11" s="197">
        <v>71850</v>
      </c>
      <c r="G11" s="197">
        <v>71250</v>
      </c>
      <c r="H11" s="196">
        <f>71850-71250</f>
        <v>600</v>
      </c>
      <c r="I11" s="197">
        <v>30</v>
      </c>
      <c r="J11" s="268">
        <f t="shared" si="1"/>
        <v>18000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44351</v>
      </c>
      <c r="D12" s="196" t="s">
        <v>23</v>
      </c>
      <c r="E12" s="196" t="s">
        <v>24</v>
      </c>
      <c r="F12" s="197">
        <v>48660</v>
      </c>
      <c r="G12" s="197">
        <v>48568</v>
      </c>
      <c r="H12" s="196">
        <f>48660-48568</f>
        <v>92</v>
      </c>
      <c r="I12" s="197">
        <v>100</v>
      </c>
      <c r="J12" s="268">
        <f t="shared" si="1"/>
        <v>9200</v>
      </c>
      <c r="K12" s="185"/>
      <c r="M12" s="323" t="s">
        <v>878</v>
      </c>
      <c r="N12" s="324"/>
      <c r="O12" s="325"/>
      <c r="P12" s="332">
        <f>R10</f>
        <v>0.76470588235294112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44351</v>
      </c>
      <c r="D13" s="196" t="s">
        <v>23</v>
      </c>
      <c r="E13" s="196" t="s">
        <v>22</v>
      </c>
      <c r="F13" s="197">
        <v>70800</v>
      </c>
      <c r="G13" s="197">
        <v>70420</v>
      </c>
      <c r="H13" s="196">
        <f>70800-70420</f>
        <v>380</v>
      </c>
      <c r="I13" s="197">
        <v>30</v>
      </c>
      <c r="J13" s="268">
        <f t="shared" si="1"/>
        <v>11400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44354</v>
      </c>
      <c r="D14" s="196" t="s">
        <v>23</v>
      </c>
      <c r="E14" s="196" t="s">
        <v>24</v>
      </c>
      <c r="F14" s="197">
        <v>48880</v>
      </c>
      <c r="G14" s="197">
        <v>48980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44354</v>
      </c>
      <c r="D15" s="196" t="s">
        <v>23</v>
      </c>
      <c r="E15" s="196" t="s">
        <v>22</v>
      </c>
      <c r="F15" s="197">
        <v>71000</v>
      </c>
      <c r="G15" s="197">
        <v>70850</v>
      </c>
      <c r="H15" s="196">
        <f>71000-70850</f>
        <v>150</v>
      </c>
      <c r="I15" s="197">
        <v>30</v>
      </c>
      <c r="J15" s="268">
        <f t="shared" si="1"/>
        <v>4500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44355</v>
      </c>
      <c r="D16" s="196" t="s">
        <v>23</v>
      </c>
      <c r="E16" s="196" t="s">
        <v>24</v>
      </c>
      <c r="F16" s="197">
        <v>49100</v>
      </c>
      <c r="G16" s="197">
        <v>49200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44355</v>
      </c>
      <c r="D17" s="196" t="s">
        <v>23</v>
      </c>
      <c r="E17" s="196" t="s">
        <v>22</v>
      </c>
      <c r="F17" s="197">
        <v>71350</v>
      </c>
      <c r="G17" s="197">
        <v>71650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44356</v>
      </c>
      <c r="D18" s="196" t="s">
        <v>23</v>
      </c>
      <c r="E18" s="196" t="s">
        <v>24</v>
      </c>
      <c r="F18" s="197">
        <v>49100</v>
      </c>
      <c r="G18" s="197">
        <v>49030</v>
      </c>
      <c r="H18" s="196">
        <f>49100-49030</f>
        <v>70</v>
      </c>
      <c r="I18" s="197">
        <v>100</v>
      </c>
      <c r="J18" s="268">
        <f t="shared" si="1"/>
        <v>7000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44356</v>
      </c>
      <c r="D19" s="196" t="s">
        <v>23</v>
      </c>
      <c r="E19" s="196" t="s">
        <v>22</v>
      </c>
      <c r="F19" s="197">
        <v>71250</v>
      </c>
      <c r="G19" s="197">
        <v>71065</v>
      </c>
      <c r="H19" s="196">
        <f>71250-71065</f>
        <v>185</v>
      </c>
      <c r="I19" s="197">
        <v>30</v>
      </c>
      <c r="J19" s="268">
        <f t="shared" si="1"/>
        <v>5550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44357</v>
      </c>
      <c r="D20" s="196" t="s">
        <v>23</v>
      </c>
      <c r="E20" s="196" t="s">
        <v>24</v>
      </c>
      <c r="F20" s="197">
        <v>48920</v>
      </c>
      <c r="G20" s="197">
        <v>48720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44357</v>
      </c>
      <c r="D21" s="196" t="s">
        <v>23</v>
      </c>
      <c r="E21" s="196" t="s">
        <v>22</v>
      </c>
      <c r="F21" s="197">
        <v>71350</v>
      </c>
      <c r="G21" s="197">
        <v>70900</v>
      </c>
      <c r="H21" s="196">
        <f>71350-70900</f>
        <v>450</v>
      </c>
      <c r="I21" s="197">
        <v>30</v>
      </c>
      <c r="J21" s="268">
        <f t="shared" si="1"/>
        <v>13500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44358</v>
      </c>
      <c r="D22" s="196" t="s">
        <v>23</v>
      </c>
      <c r="E22" s="196" t="s">
        <v>24</v>
      </c>
      <c r="F22" s="197">
        <v>49220</v>
      </c>
      <c r="G22" s="197">
        <v>49020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44358</v>
      </c>
      <c r="D23" s="196" t="s">
        <v>23</v>
      </c>
      <c r="E23" s="196" t="s">
        <v>22</v>
      </c>
      <c r="F23" s="197">
        <v>72550</v>
      </c>
      <c r="G23" s="197">
        <v>72250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44361</v>
      </c>
      <c r="D24" s="196" t="s">
        <v>23</v>
      </c>
      <c r="E24" s="196" t="s">
        <v>24</v>
      </c>
      <c r="F24" s="197">
        <v>48450</v>
      </c>
      <c r="G24" s="197">
        <v>48250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44361</v>
      </c>
      <c r="D25" s="196" t="s">
        <v>23</v>
      </c>
      <c r="E25" s="196" t="s">
        <v>22</v>
      </c>
      <c r="F25" s="197">
        <v>71600</v>
      </c>
      <c r="G25" s="197">
        <v>71000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44362</v>
      </c>
      <c r="D26" s="196" t="s">
        <v>23</v>
      </c>
      <c r="E26" s="196" t="s">
        <v>24</v>
      </c>
      <c r="F26" s="197">
        <v>48640</v>
      </c>
      <c r="G26" s="197">
        <v>48440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44362</v>
      </c>
      <c r="D27" s="196" t="s">
        <v>23</v>
      </c>
      <c r="E27" s="196" t="s">
        <v>22</v>
      </c>
      <c r="F27" s="197">
        <v>71350</v>
      </c>
      <c r="G27" s="197">
        <v>70750</v>
      </c>
      <c r="H27" s="196"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44363</v>
      </c>
      <c r="D28" s="196" t="s">
        <v>23</v>
      </c>
      <c r="E28" s="196" t="s">
        <v>24</v>
      </c>
      <c r="F28" s="197">
        <v>48500</v>
      </c>
      <c r="G28" s="197">
        <v>48400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44363</v>
      </c>
      <c r="D29" s="196" t="s">
        <v>23</v>
      </c>
      <c r="E29" s="196" t="s">
        <v>22</v>
      </c>
      <c r="F29" s="197">
        <v>71600</v>
      </c>
      <c r="G29" s="197">
        <v>71300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44364</v>
      </c>
      <c r="D30" s="196" t="s">
        <v>23</v>
      </c>
      <c r="E30" s="196" t="s">
        <v>24</v>
      </c>
      <c r="F30" s="197">
        <v>47570</v>
      </c>
      <c r="G30" s="197">
        <v>47370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44364</v>
      </c>
      <c r="D31" s="196" t="s">
        <v>23</v>
      </c>
      <c r="E31" s="196" t="s">
        <v>22</v>
      </c>
      <c r="F31" s="197">
        <v>69700</v>
      </c>
      <c r="G31" s="197">
        <v>69100</v>
      </c>
      <c r="H31" s="196">
        <v>600</v>
      </c>
      <c r="I31" s="197">
        <v>30</v>
      </c>
      <c r="J31" s="268">
        <f t="shared" si="1"/>
        <v>18000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44365</v>
      </c>
      <c r="D32" s="196" t="s">
        <v>23</v>
      </c>
      <c r="E32" s="196" t="s">
        <v>24</v>
      </c>
      <c r="F32" s="197">
        <v>47150</v>
      </c>
      <c r="G32" s="197">
        <v>46950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44365</v>
      </c>
      <c r="D33" s="196" t="s">
        <v>23</v>
      </c>
      <c r="E33" s="196" t="s">
        <v>22</v>
      </c>
      <c r="F33" s="197">
        <v>68700</v>
      </c>
      <c r="G33" s="197">
        <v>68100</v>
      </c>
      <c r="H33" s="196"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44368</v>
      </c>
      <c r="D34" s="196" t="s">
        <v>23</v>
      </c>
      <c r="E34" s="196" t="s">
        <v>24</v>
      </c>
      <c r="F34" s="197">
        <v>47000</v>
      </c>
      <c r="G34" s="197">
        <v>46840</v>
      </c>
      <c r="H34" s="196">
        <f>47000-46840</f>
        <v>160</v>
      </c>
      <c r="I34" s="197">
        <v>100</v>
      </c>
      <c r="J34" s="268">
        <f t="shared" si="1"/>
        <v>16000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44368</v>
      </c>
      <c r="D35" s="196" t="s">
        <v>23</v>
      </c>
      <c r="E35" s="196" t="s">
        <v>22</v>
      </c>
      <c r="F35" s="197">
        <v>66800</v>
      </c>
      <c r="G35" s="197">
        <v>67100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ref="W35:W40" si="6">IF($J35&lt;0,1,0)</f>
        <v>1</v>
      </c>
    </row>
    <row r="36" spans="1:23" x14ac:dyDescent="0.3">
      <c r="A36" s="184"/>
      <c r="B36" s="194">
        <v>31</v>
      </c>
      <c r="C36" s="195">
        <v>44369</v>
      </c>
      <c r="D36" s="196" t="s">
        <v>23</v>
      </c>
      <c r="E36" s="196" t="s">
        <v>24</v>
      </c>
      <c r="F36" s="197">
        <v>47150</v>
      </c>
      <c r="G36" s="197">
        <v>46950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44369</v>
      </c>
      <c r="D37" s="196" t="s">
        <v>23</v>
      </c>
      <c r="E37" s="196" t="s">
        <v>22</v>
      </c>
      <c r="F37" s="197">
        <v>67900</v>
      </c>
      <c r="G37" s="197">
        <v>67500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44370</v>
      </c>
      <c r="D38" s="196" t="s">
        <v>23</v>
      </c>
      <c r="E38" s="196" t="s">
        <v>24</v>
      </c>
      <c r="F38" s="197">
        <v>47120</v>
      </c>
      <c r="G38" s="197">
        <v>47020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44370</v>
      </c>
      <c r="D39" s="196" t="s">
        <v>23</v>
      </c>
      <c r="E39" s="196" t="s">
        <v>22</v>
      </c>
      <c r="F39" s="197">
        <v>67900</v>
      </c>
      <c r="G39" s="197">
        <v>67600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44371</v>
      </c>
      <c r="D40" s="196" t="s">
        <v>23</v>
      </c>
      <c r="E40" s="196" t="s">
        <v>24</v>
      </c>
      <c r="F40" s="197">
        <v>46990</v>
      </c>
      <c r="G40" s="197">
        <v>47090</v>
      </c>
      <c r="H40" s="196">
        <v>-100</v>
      </c>
      <c r="I40" s="197">
        <v>100</v>
      </c>
      <c r="J40" s="268">
        <f t="shared" si="1"/>
        <v>-10000</v>
      </c>
      <c r="K40" s="185"/>
      <c r="V40" s="183">
        <f t="shared" si="2"/>
        <v>0</v>
      </c>
      <c r="W40" s="183">
        <f t="shared" si="6"/>
        <v>1</v>
      </c>
    </row>
    <row r="41" spans="1:23" x14ac:dyDescent="0.3">
      <c r="A41" s="184"/>
      <c r="B41" s="194">
        <v>36</v>
      </c>
      <c r="C41" s="195">
        <v>44372</v>
      </c>
      <c r="D41" s="196" t="s">
        <v>23</v>
      </c>
      <c r="E41" s="196" t="s">
        <v>24</v>
      </c>
      <c r="F41" s="197">
        <v>47030</v>
      </c>
      <c r="G41" s="197">
        <v>47130</v>
      </c>
      <c r="H41" s="196">
        <v>-100</v>
      </c>
      <c r="I41" s="197">
        <v>100</v>
      </c>
      <c r="J41" s="268">
        <f t="shared" si="1"/>
        <v>-10000</v>
      </c>
      <c r="K41" s="185"/>
      <c r="V41" s="183">
        <f t="shared" si="2"/>
        <v>0</v>
      </c>
      <c r="W41" s="183">
        <f t="shared" si="3"/>
        <v>1</v>
      </c>
    </row>
    <row r="42" spans="1:23" x14ac:dyDescent="0.3">
      <c r="A42" s="184"/>
      <c r="B42" s="194">
        <v>37</v>
      </c>
      <c r="C42" s="195">
        <v>44375</v>
      </c>
      <c r="D42" s="196" t="s">
        <v>23</v>
      </c>
      <c r="E42" s="196" t="s">
        <v>24</v>
      </c>
      <c r="F42" s="197">
        <v>46930</v>
      </c>
      <c r="G42" s="197">
        <v>47030</v>
      </c>
      <c r="H42" s="196">
        <v>-100</v>
      </c>
      <c r="I42" s="197">
        <v>100</v>
      </c>
      <c r="J42" s="268">
        <f t="shared" si="1"/>
        <v>-10000</v>
      </c>
      <c r="K42" s="185"/>
    </row>
    <row r="43" spans="1:23" x14ac:dyDescent="0.3">
      <c r="A43" s="184"/>
      <c r="B43" s="194">
        <v>38</v>
      </c>
      <c r="C43" s="195">
        <v>44376</v>
      </c>
      <c r="D43" s="196" t="s">
        <v>23</v>
      </c>
      <c r="E43" s="196" t="s">
        <v>24</v>
      </c>
      <c r="F43" s="197">
        <v>46820</v>
      </c>
      <c r="G43" s="197">
        <v>46650</v>
      </c>
      <c r="H43" s="196">
        <f>46820-46650</f>
        <v>170</v>
      </c>
      <c r="I43" s="197">
        <v>100</v>
      </c>
      <c r="J43" s="268">
        <f t="shared" si="1"/>
        <v>17000</v>
      </c>
      <c r="K43" s="185"/>
    </row>
    <row r="44" spans="1:23" x14ac:dyDescent="0.3">
      <c r="A44" s="184"/>
      <c r="B44" s="194">
        <v>39</v>
      </c>
      <c r="C44" s="195">
        <v>44376</v>
      </c>
      <c r="D44" s="196" t="s">
        <v>23</v>
      </c>
      <c r="E44" s="196" t="s">
        <v>22</v>
      </c>
      <c r="F44" s="197">
        <v>67800</v>
      </c>
      <c r="G44" s="197">
        <v>67400</v>
      </c>
      <c r="H44" s="196">
        <v>400</v>
      </c>
      <c r="I44" s="197">
        <v>30</v>
      </c>
      <c r="J44" s="268">
        <f t="shared" si="1"/>
        <v>12000</v>
      </c>
      <c r="K44" s="185"/>
    </row>
    <row r="45" spans="1:23" x14ac:dyDescent="0.3">
      <c r="A45" s="184"/>
      <c r="B45" s="194">
        <v>40</v>
      </c>
      <c r="C45" s="195">
        <v>44377</v>
      </c>
      <c r="D45" s="196" t="s">
        <v>23</v>
      </c>
      <c r="E45" s="196" t="s">
        <v>24</v>
      </c>
      <c r="F45" s="197">
        <v>46520</v>
      </c>
      <c r="G45" s="197">
        <v>46620</v>
      </c>
      <c r="H45" s="196">
        <v>-100</v>
      </c>
      <c r="I45" s="197">
        <v>100</v>
      </c>
      <c r="J45" s="268">
        <f t="shared" si="1"/>
        <v>-10000</v>
      </c>
      <c r="K45" s="185"/>
    </row>
    <row r="46" spans="1:23" x14ac:dyDescent="0.3">
      <c r="A46" s="184"/>
      <c r="B46" s="194">
        <v>41</v>
      </c>
      <c r="C46" s="195">
        <v>44377</v>
      </c>
      <c r="D46" s="196" t="s">
        <v>23</v>
      </c>
      <c r="E46" s="196" t="s">
        <v>22</v>
      </c>
      <c r="F46" s="197">
        <v>68500</v>
      </c>
      <c r="G46" s="197">
        <v>68800</v>
      </c>
      <c r="H46" s="196">
        <v>-300</v>
      </c>
      <c r="I46" s="197">
        <v>30</v>
      </c>
      <c r="J46" s="268">
        <f t="shared" si="1"/>
        <v>-9000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324000</v>
      </c>
      <c r="K51" s="185"/>
      <c r="V51" s="183">
        <f>SUM(V6:V50)</f>
        <v>29</v>
      </c>
      <c r="W51" s="183">
        <f>SUM(W6:W50)</f>
        <v>7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44348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44348</v>
      </c>
      <c r="D59" s="192" t="s">
        <v>23</v>
      </c>
      <c r="E59" s="192" t="s">
        <v>25</v>
      </c>
      <c r="F59" s="193">
        <v>4980</v>
      </c>
      <c r="G59" s="193">
        <v>4965</v>
      </c>
      <c r="H59" s="192">
        <f>4980-4965</f>
        <v>15</v>
      </c>
      <c r="I59" s="193">
        <v>100</v>
      </c>
      <c r="J59" s="267">
        <f t="shared" ref="J59:J81" si="7">I59*H59</f>
        <v>1500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44349</v>
      </c>
      <c r="D60" s="196" t="s">
        <v>23</v>
      </c>
      <c r="E60" s="196" t="s">
        <v>25</v>
      </c>
      <c r="F60" s="197">
        <v>5000</v>
      </c>
      <c r="G60" s="197">
        <v>4970</v>
      </c>
      <c r="H60" s="196">
        <v>30</v>
      </c>
      <c r="I60" s="197">
        <v>100</v>
      </c>
      <c r="J60" s="268">
        <f t="shared" si="7"/>
        <v>3000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44350</v>
      </c>
      <c r="D61" s="196" t="s">
        <v>23</v>
      </c>
      <c r="E61" s="196" t="s">
        <v>25</v>
      </c>
      <c r="F61" s="197">
        <v>5030</v>
      </c>
      <c r="G61" s="197">
        <v>5002</v>
      </c>
      <c r="H61" s="196">
        <v>28</v>
      </c>
      <c r="I61" s="197">
        <v>100</v>
      </c>
      <c r="J61" s="268">
        <f t="shared" si="7"/>
        <v>2800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44351</v>
      </c>
      <c r="D62" s="196" t="s">
        <v>23</v>
      </c>
      <c r="E62" s="196" t="s">
        <v>25</v>
      </c>
      <c r="F62" s="197">
        <v>5060</v>
      </c>
      <c r="G62" s="197">
        <v>5030</v>
      </c>
      <c r="H62" s="196">
        <v>30</v>
      </c>
      <c r="I62" s="197">
        <v>100</v>
      </c>
      <c r="J62" s="268">
        <f t="shared" si="7"/>
        <v>3000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44354</v>
      </c>
      <c r="D63" s="196" t="s">
        <v>23</v>
      </c>
      <c r="E63" s="196" t="s">
        <v>25</v>
      </c>
      <c r="F63" s="197">
        <v>5050</v>
      </c>
      <c r="G63" s="197">
        <v>5080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44355</v>
      </c>
      <c r="D64" s="196" t="s">
        <v>23</v>
      </c>
      <c r="E64" s="196" t="s">
        <v>25</v>
      </c>
      <c r="F64" s="197">
        <v>5030</v>
      </c>
      <c r="G64" s="197">
        <v>5000</v>
      </c>
      <c r="H64" s="196">
        <v>30</v>
      </c>
      <c r="I64" s="197">
        <v>100</v>
      </c>
      <c r="J64" s="268">
        <f t="shared" si="7"/>
        <v>3000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44356</v>
      </c>
      <c r="D65" s="196" t="s">
        <v>23</v>
      </c>
      <c r="E65" s="196" t="s">
        <v>25</v>
      </c>
      <c r="F65" s="222">
        <v>5130</v>
      </c>
      <c r="G65" s="222">
        <v>5090</v>
      </c>
      <c r="H65" s="196">
        <f>5130-5090</f>
        <v>40</v>
      </c>
      <c r="I65" s="197">
        <v>100</v>
      </c>
      <c r="J65" s="268">
        <f t="shared" si="7"/>
        <v>4000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44357</v>
      </c>
      <c r="D66" s="196" t="s">
        <v>23</v>
      </c>
      <c r="E66" s="196" t="s">
        <v>25</v>
      </c>
      <c r="F66" s="197">
        <v>5115</v>
      </c>
      <c r="G66" s="197">
        <v>5145</v>
      </c>
      <c r="H66" s="196">
        <v>-30</v>
      </c>
      <c r="I66" s="197">
        <v>100</v>
      </c>
      <c r="J66" s="268">
        <f t="shared" si="7"/>
        <v>-3000</v>
      </c>
      <c r="K66" s="185"/>
      <c r="V66" s="183">
        <f t="shared" si="8"/>
        <v>0</v>
      </c>
      <c r="W66" s="183">
        <f t="shared" si="9"/>
        <v>1</v>
      </c>
    </row>
    <row r="67" spans="1:23" x14ac:dyDescent="0.3">
      <c r="A67" s="184"/>
      <c r="B67" s="194">
        <v>9</v>
      </c>
      <c r="C67" s="195">
        <v>44358</v>
      </c>
      <c r="D67" s="196" t="s">
        <v>23</v>
      </c>
      <c r="E67" s="196" t="s">
        <v>25</v>
      </c>
      <c r="F67" s="197">
        <v>5150</v>
      </c>
      <c r="G67" s="197">
        <v>5126</v>
      </c>
      <c r="H67" s="196">
        <f>5150-5126</f>
        <v>24</v>
      </c>
      <c r="I67" s="197">
        <v>100</v>
      </c>
      <c r="J67" s="268">
        <f t="shared" si="7"/>
        <v>2400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44361</v>
      </c>
      <c r="D68" s="196" t="s">
        <v>23</v>
      </c>
      <c r="E68" s="196" t="s">
        <v>25</v>
      </c>
      <c r="F68" s="197">
        <v>5240</v>
      </c>
      <c r="G68" s="197">
        <v>5180</v>
      </c>
      <c r="H68" s="196">
        <f>5240-5180</f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44362</v>
      </c>
      <c r="D69" s="196" t="s">
        <v>23</v>
      </c>
      <c r="E69" s="196" t="s">
        <v>25</v>
      </c>
      <c r="F69" s="197">
        <v>5245</v>
      </c>
      <c r="G69" s="197">
        <v>5275</v>
      </c>
      <c r="H69" s="196">
        <v>-30</v>
      </c>
      <c r="I69" s="197">
        <v>100</v>
      </c>
      <c r="J69" s="268">
        <f t="shared" si="7"/>
        <v>-3000</v>
      </c>
      <c r="K69" s="185"/>
      <c r="V69" s="183">
        <f t="shared" si="8"/>
        <v>0</v>
      </c>
      <c r="W69" s="183">
        <f t="shared" si="9"/>
        <v>1</v>
      </c>
    </row>
    <row r="70" spans="1:23" x14ac:dyDescent="0.3">
      <c r="A70" s="184"/>
      <c r="B70" s="194">
        <v>12</v>
      </c>
      <c r="C70" s="195">
        <v>44363</v>
      </c>
      <c r="D70" s="196" t="s">
        <v>23</v>
      </c>
      <c r="E70" s="196" t="s">
        <v>25</v>
      </c>
      <c r="F70" s="197">
        <v>5300</v>
      </c>
      <c r="G70" s="197">
        <v>5270</v>
      </c>
      <c r="H70" s="196">
        <v>30</v>
      </c>
      <c r="I70" s="197">
        <v>100</v>
      </c>
      <c r="J70" s="268">
        <f t="shared" si="7"/>
        <v>3000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44364</v>
      </c>
      <c r="D71" s="196" t="s">
        <v>23</v>
      </c>
      <c r="E71" s="196" t="s">
        <v>25</v>
      </c>
      <c r="F71" s="197">
        <v>5350</v>
      </c>
      <c r="G71" s="197">
        <v>5305</v>
      </c>
      <c r="H71" s="196">
        <f>5350-5305</f>
        <v>45</v>
      </c>
      <c r="I71" s="197">
        <v>100</v>
      </c>
      <c r="J71" s="268">
        <f t="shared" si="7"/>
        <v>4500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44365</v>
      </c>
      <c r="D72" s="196" t="s">
        <v>23</v>
      </c>
      <c r="E72" s="196" t="s">
        <v>25</v>
      </c>
      <c r="F72" s="197">
        <v>5230</v>
      </c>
      <c r="G72" s="197">
        <v>5200</v>
      </c>
      <c r="H72" s="196">
        <v>30</v>
      </c>
      <c r="I72" s="197">
        <v>100</v>
      </c>
      <c r="J72" s="268">
        <f t="shared" si="7"/>
        <v>3000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44368</v>
      </c>
      <c r="D73" s="196" t="s">
        <v>23</v>
      </c>
      <c r="E73" s="196" t="s">
        <v>25</v>
      </c>
      <c r="F73" s="197">
        <v>5315</v>
      </c>
      <c r="G73" s="197">
        <v>5265</v>
      </c>
      <c r="H73" s="196">
        <f>5315-5265</f>
        <v>50</v>
      </c>
      <c r="I73" s="197">
        <v>100</v>
      </c>
      <c r="J73" s="268">
        <f t="shared" si="7"/>
        <v>5000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44369</v>
      </c>
      <c r="D74" s="196" t="s">
        <v>23</v>
      </c>
      <c r="E74" s="196" t="s">
        <v>25</v>
      </c>
      <c r="F74" s="197">
        <v>5425</v>
      </c>
      <c r="G74" s="197">
        <v>5395</v>
      </c>
      <c r="H74" s="196">
        <f>5425-5395</f>
        <v>30</v>
      </c>
      <c r="I74" s="197">
        <v>100</v>
      </c>
      <c r="J74" s="268">
        <f t="shared" si="7"/>
        <v>3000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44370</v>
      </c>
      <c r="D75" s="196" t="s">
        <v>23</v>
      </c>
      <c r="E75" s="196" t="s">
        <v>25</v>
      </c>
      <c r="F75" s="197">
        <v>5475</v>
      </c>
      <c r="G75" s="197">
        <v>5448</v>
      </c>
      <c r="H75" s="196">
        <f>5475-5448</f>
        <v>27</v>
      </c>
      <c r="I75" s="197">
        <v>100</v>
      </c>
      <c r="J75" s="268">
        <f t="shared" si="7"/>
        <v>2700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44371</v>
      </c>
      <c r="D76" s="196" t="s">
        <v>23</v>
      </c>
      <c r="E76" s="196" t="s">
        <v>25</v>
      </c>
      <c r="F76" s="197">
        <v>5440</v>
      </c>
      <c r="G76" s="197">
        <v>5380</v>
      </c>
      <c r="H76" s="196">
        <v>60</v>
      </c>
      <c r="I76" s="197">
        <v>100</v>
      </c>
      <c r="J76" s="268">
        <f t="shared" si="7"/>
        <v>6000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44372</v>
      </c>
      <c r="D77" s="196" t="s">
        <v>23</v>
      </c>
      <c r="E77" s="196" t="s">
        <v>25</v>
      </c>
      <c r="F77" s="197">
        <v>5425</v>
      </c>
      <c r="G77" s="197">
        <v>5455</v>
      </c>
      <c r="H77" s="196">
        <v>-30</v>
      </c>
      <c r="I77" s="197">
        <v>100</v>
      </c>
      <c r="J77" s="268">
        <f t="shared" si="7"/>
        <v>-3000</v>
      </c>
      <c r="K77" s="185"/>
      <c r="V77" s="183">
        <f t="shared" si="8"/>
        <v>0</v>
      </c>
      <c r="W77" s="183">
        <f t="shared" si="9"/>
        <v>1</v>
      </c>
    </row>
    <row r="78" spans="1:23" x14ac:dyDescent="0.3">
      <c r="A78" s="184"/>
      <c r="B78" s="194">
        <v>20</v>
      </c>
      <c r="C78" s="195">
        <v>44375</v>
      </c>
      <c r="D78" s="196" t="s">
        <v>23</v>
      </c>
      <c r="E78" s="196" t="s">
        <v>25</v>
      </c>
      <c r="F78" s="197">
        <v>5510</v>
      </c>
      <c r="G78" s="197">
        <v>5492</v>
      </c>
      <c r="H78" s="196">
        <f>5510-5492</f>
        <v>18</v>
      </c>
      <c r="I78" s="197">
        <v>100</v>
      </c>
      <c r="J78" s="268">
        <f t="shared" si="7"/>
        <v>1800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44376</v>
      </c>
      <c r="D79" s="196" t="s">
        <v>23</v>
      </c>
      <c r="E79" s="196" t="s">
        <v>25</v>
      </c>
      <c r="F79" s="197">
        <v>5400</v>
      </c>
      <c r="G79" s="197">
        <v>5383</v>
      </c>
      <c r="H79" s="196">
        <f>5400-5383</f>
        <v>17</v>
      </c>
      <c r="I79" s="197">
        <v>100</v>
      </c>
      <c r="J79" s="268">
        <f t="shared" si="7"/>
        <v>1700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>
        <v>44377</v>
      </c>
      <c r="D80" s="196" t="s">
        <v>16</v>
      </c>
      <c r="E80" s="196" t="s">
        <v>25</v>
      </c>
      <c r="F80" s="197">
        <v>5480</v>
      </c>
      <c r="G80" s="197">
        <v>5510</v>
      </c>
      <c r="H80" s="196">
        <f>5510-5480</f>
        <v>30</v>
      </c>
      <c r="I80" s="197">
        <v>100</v>
      </c>
      <c r="J80" s="268">
        <f t="shared" si="7"/>
        <v>3000</v>
      </c>
      <c r="K80" s="185"/>
      <c r="V80" s="183">
        <f t="shared" si="8"/>
        <v>1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47400</v>
      </c>
      <c r="K82" s="185"/>
      <c r="V82" s="183">
        <f>SUM(V59:V81)</f>
        <v>18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44348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44348</v>
      </c>
      <c r="D90" s="216" t="s">
        <v>23</v>
      </c>
      <c r="E90" s="256" t="s">
        <v>28</v>
      </c>
      <c r="F90" s="256">
        <v>239.8</v>
      </c>
      <c r="G90" s="256">
        <v>238.8</v>
      </c>
      <c r="H90" s="256">
        <v>1</v>
      </c>
      <c r="I90" s="218">
        <v>5000</v>
      </c>
      <c r="J90" s="273">
        <f>I90*H90</f>
        <v>5000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44349</v>
      </c>
      <c r="D91" s="196" t="s">
        <v>23</v>
      </c>
      <c r="E91" s="222" t="s">
        <v>28</v>
      </c>
      <c r="F91" s="222">
        <v>242.4</v>
      </c>
      <c r="G91" s="222">
        <v>241.4</v>
      </c>
      <c r="H91" s="222">
        <v>1</v>
      </c>
      <c r="I91" s="197">
        <v>5000</v>
      </c>
      <c r="J91" s="268">
        <f t="shared" ref="J91:J112" si="10">I91*H91</f>
        <v>5000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44350</v>
      </c>
      <c r="D92" s="196" t="s">
        <v>23</v>
      </c>
      <c r="E92" s="222" t="s">
        <v>28</v>
      </c>
      <c r="F92" s="222">
        <v>239</v>
      </c>
      <c r="G92" s="222">
        <v>237</v>
      </c>
      <c r="H92" s="222">
        <v>2</v>
      </c>
      <c r="I92" s="197">
        <v>5000</v>
      </c>
      <c r="J92" s="268">
        <f t="shared" si="10"/>
        <v>10000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44351</v>
      </c>
      <c r="D93" s="196" t="s">
        <v>23</v>
      </c>
      <c r="E93" s="222" t="s">
        <v>28</v>
      </c>
      <c r="F93" s="222">
        <v>236.5</v>
      </c>
      <c r="G93" s="222">
        <v>236</v>
      </c>
      <c r="H93" s="222">
        <v>0.5</v>
      </c>
      <c r="I93" s="197">
        <v>5000</v>
      </c>
      <c r="J93" s="268">
        <f t="shared" si="10"/>
        <v>2500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44354</v>
      </c>
      <c r="D94" s="196" t="s">
        <v>23</v>
      </c>
      <c r="E94" s="222" t="s">
        <v>28</v>
      </c>
      <c r="F94" s="222">
        <v>234.6</v>
      </c>
      <c r="G94" s="222">
        <v>233.85</v>
      </c>
      <c r="H94" s="222">
        <f>234.6-233.85</f>
        <v>0.75</v>
      </c>
      <c r="I94" s="197">
        <v>5000</v>
      </c>
      <c r="J94" s="268">
        <f t="shared" si="10"/>
        <v>3750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44355</v>
      </c>
      <c r="D95" s="196" t="s">
        <v>23</v>
      </c>
      <c r="E95" s="222" t="s">
        <v>28</v>
      </c>
      <c r="F95" s="222">
        <v>237.1</v>
      </c>
      <c r="G95" s="222">
        <v>235.1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44356</v>
      </c>
      <c r="D96" s="196" t="s">
        <v>23</v>
      </c>
      <c r="E96" s="222" t="s">
        <v>28</v>
      </c>
      <c r="F96" s="222">
        <v>237.8</v>
      </c>
      <c r="G96" s="222">
        <v>237.2</v>
      </c>
      <c r="H96" s="274">
        <f>237.8-237.2</f>
        <v>0.60000000000002274</v>
      </c>
      <c r="I96" s="197">
        <v>5000</v>
      </c>
      <c r="J96" s="268">
        <f t="shared" si="10"/>
        <v>3000.0000000001137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44357</v>
      </c>
      <c r="D97" s="196" t="s">
        <v>23</v>
      </c>
      <c r="E97" s="222" t="s">
        <v>28</v>
      </c>
      <c r="F97" s="222">
        <v>236</v>
      </c>
      <c r="G97" s="222">
        <v>237</v>
      </c>
      <c r="H97" s="222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9</v>
      </c>
      <c r="C98" s="195">
        <v>44358</v>
      </c>
      <c r="D98" s="196" t="s">
        <v>23</v>
      </c>
      <c r="E98" s="222" t="s">
        <v>28</v>
      </c>
      <c r="F98" s="222">
        <v>240.6</v>
      </c>
      <c r="G98" s="222">
        <v>239.9</v>
      </c>
      <c r="H98" s="222">
        <f>240.6-239.9</f>
        <v>0.69999999999998863</v>
      </c>
      <c r="I98" s="197">
        <v>5000</v>
      </c>
      <c r="J98" s="268">
        <f t="shared" si="10"/>
        <v>3499.9999999999432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44361</v>
      </c>
      <c r="D99" s="196" t="s">
        <v>23</v>
      </c>
      <c r="E99" s="222" t="s">
        <v>28</v>
      </c>
      <c r="F99" s="222">
        <v>243.2</v>
      </c>
      <c r="G99" s="222">
        <v>242.2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44362</v>
      </c>
      <c r="D100" s="196" t="s">
        <v>23</v>
      </c>
      <c r="E100" s="222" t="s">
        <v>28</v>
      </c>
      <c r="F100" s="222">
        <v>237.7</v>
      </c>
      <c r="G100" s="222">
        <v>238.7</v>
      </c>
      <c r="H100" s="274">
        <v>-1</v>
      </c>
      <c r="I100" s="197">
        <v>5000</v>
      </c>
      <c r="J100" s="268">
        <f t="shared" si="10"/>
        <v>-5000</v>
      </c>
      <c r="K100" s="185"/>
      <c r="V100" s="183">
        <f t="shared" si="11"/>
        <v>0</v>
      </c>
      <c r="W100" s="183">
        <f t="shared" si="12"/>
        <v>1</v>
      </c>
    </row>
    <row r="101" spans="1:23" x14ac:dyDescent="0.3">
      <c r="A101" s="184"/>
      <c r="B101" s="194">
        <v>12</v>
      </c>
      <c r="C101" s="195">
        <v>44363</v>
      </c>
      <c r="D101" s="196" t="s">
        <v>23</v>
      </c>
      <c r="E101" s="222" t="s">
        <v>28</v>
      </c>
      <c r="F101" s="222">
        <v>237.7</v>
      </c>
      <c r="G101" s="222">
        <v>237</v>
      </c>
      <c r="H101" s="274">
        <v>0.7</v>
      </c>
      <c r="I101" s="197">
        <v>5000</v>
      </c>
      <c r="J101" s="268">
        <f t="shared" si="10"/>
        <v>3500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44364</v>
      </c>
      <c r="D102" s="196" t="s">
        <v>23</v>
      </c>
      <c r="E102" s="222" t="s">
        <v>28</v>
      </c>
      <c r="F102" s="222">
        <v>240.7</v>
      </c>
      <c r="G102" s="222">
        <v>238.7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44365</v>
      </c>
      <c r="D103" s="196" t="s">
        <v>23</v>
      </c>
      <c r="E103" s="222" t="s">
        <v>28</v>
      </c>
      <c r="F103" s="222">
        <v>232.5</v>
      </c>
      <c r="G103" s="222">
        <v>233.5</v>
      </c>
      <c r="H103" s="274">
        <v>-1</v>
      </c>
      <c r="I103" s="197">
        <v>5000</v>
      </c>
      <c r="J103" s="268">
        <f t="shared" si="10"/>
        <v>-5000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15</v>
      </c>
      <c r="C104" s="195">
        <v>44368</v>
      </c>
      <c r="D104" s="196" t="s">
        <v>23</v>
      </c>
      <c r="E104" s="222" t="s">
        <v>28</v>
      </c>
      <c r="F104" s="223">
        <v>231.1</v>
      </c>
      <c r="G104" s="222">
        <v>230.6</v>
      </c>
      <c r="H104" s="274">
        <f>231.1-230.6</f>
        <v>0.5</v>
      </c>
      <c r="I104" s="197">
        <v>5000</v>
      </c>
      <c r="J104" s="268">
        <f t="shared" si="10"/>
        <v>2500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44369</v>
      </c>
      <c r="D105" s="196" t="s">
        <v>23</v>
      </c>
      <c r="E105" s="222" t="s">
        <v>28</v>
      </c>
      <c r="F105" s="222">
        <v>234</v>
      </c>
      <c r="G105" s="222">
        <v>232</v>
      </c>
      <c r="H105" s="274">
        <v>2</v>
      </c>
      <c r="I105" s="197">
        <v>5000</v>
      </c>
      <c r="J105" s="268">
        <f t="shared" si="10"/>
        <v>10000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44370</v>
      </c>
      <c r="D106" s="196" t="s">
        <v>16</v>
      </c>
      <c r="E106" s="222" t="s">
        <v>28</v>
      </c>
      <c r="F106" s="222" t="s">
        <v>902</v>
      </c>
      <c r="G106" s="222">
        <v>235.5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44371</v>
      </c>
      <c r="D107" s="196" t="s">
        <v>23</v>
      </c>
      <c r="E107" s="222" t="s">
        <v>28</v>
      </c>
      <c r="F107" s="222">
        <v>235.6</v>
      </c>
      <c r="G107" s="222">
        <v>234.6</v>
      </c>
      <c r="H107" s="274">
        <v>1</v>
      </c>
      <c r="I107" s="197">
        <v>5000</v>
      </c>
      <c r="J107" s="268">
        <f t="shared" si="10"/>
        <v>5000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44372</v>
      </c>
      <c r="D108" s="196" t="s">
        <v>23</v>
      </c>
      <c r="E108" s="222" t="s">
        <v>28</v>
      </c>
      <c r="F108" s="222">
        <v>236.2</v>
      </c>
      <c r="G108" s="222">
        <v>234.7</v>
      </c>
      <c r="H108" s="274">
        <f>236.2-234.7</f>
        <v>1.5</v>
      </c>
      <c r="I108" s="197">
        <v>5000</v>
      </c>
      <c r="J108" s="268">
        <f t="shared" si="10"/>
        <v>7500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44375</v>
      </c>
      <c r="D109" s="196" t="s">
        <v>23</v>
      </c>
      <c r="E109" s="222" t="s">
        <v>28</v>
      </c>
      <c r="F109" s="222">
        <v>234.3</v>
      </c>
      <c r="G109" s="222">
        <v>233.8</v>
      </c>
      <c r="H109" s="274">
        <f>234.3-233.8</f>
        <v>0.5</v>
      </c>
      <c r="I109" s="197">
        <v>5000</v>
      </c>
      <c r="J109" s="268">
        <f t="shared" si="10"/>
        <v>2500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>
        <v>44376</v>
      </c>
      <c r="D110" s="196" t="s">
        <v>23</v>
      </c>
      <c r="E110" s="222" t="s">
        <v>28</v>
      </c>
      <c r="F110" s="222">
        <v>235.3</v>
      </c>
      <c r="G110" s="222">
        <v>236.3</v>
      </c>
      <c r="H110" s="274">
        <v>1</v>
      </c>
      <c r="I110" s="197">
        <v>5000</v>
      </c>
      <c r="J110" s="268">
        <f t="shared" si="10"/>
        <v>5000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22</v>
      </c>
      <c r="C111" s="195">
        <v>44377</v>
      </c>
      <c r="D111" s="196" t="s">
        <v>23</v>
      </c>
      <c r="E111" s="222" t="s">
        <v>28</v>
      </c>
      <c r="F111" s="222">
        <v>238</v>
      </c>
      <c r="G111" s="222">
        <v>239</v>
      </c>
      <c r="H111" s="222">
        <v>-1</v>
      </c>
      <c r="I111" s="197">
        <v>5000</v>
      </c>
      <c r="J111" s="268">
        <f t="shared" si="10"/>
        <v>-5000</v>
      </c>
      <c r="K111" s="185"/>
      <c r="V111" s="183">
        <f t="shared" si="11"/>
        <v>0</v>
      </c>
      <c r="W111" s="183">
        <f t="shared" si="12"/>
        <v>1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83750.000000000058</v>
      </c>
      <c r="K113" s="185"/>
      <c r="V113" s="183">
        <f>SUM(V90:V112)</f>
        <v>18</v>
      </c>
      <c r="W113" s="183">
        <f>SUM(W90:W112)</f>
        <v>4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600-000000000000}"/>
    <hyperlink ref="B82" r:id="rId2" xr:uid="{00000000-0004-0000-6600-000001000000}"/>
    <hyperlink ref="M4:M5" location="'JUNE 2021'!A1" display="BULLION" xr:uid="{00000000-0004-0000-6600-000002000000}"/>
    <hyperlink ref="B113" r:id="rId3" xr:uid="{00000000-0004-0000-6600-000003000000}"/>
    <hyperlink ref="M8:M9" location="'JUNE 2021'!A86" display="BASE METAL" xr:uid="{00000000-0004-0000-6600-000004000000}"/>
    <hyperlink ref="M1" location="MASTER!A1" display="Back" xr:uid="{00000000-0004-0000-6600-000005000000}"/>
    <hyperlink ref="M6:M7" location="'JUNE 2021'!A54" display="ENERGY" xr:uid="{00000000-0004-0000-6600-000006000000}"/>
  </hyperlinks>
  <pageMargins left="0" right="0" top="0" bottom="0" header="0" footer="0"/>
  <pageSetup paperSize="9" orientation="portrait" r:id="rId4"/>
  <drawing r:id="rId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W114"/>
  <sheetViews>
    <sheetView zoomScale="98" zoomScaleNormal="98" workbookViewId="0">
      <selection activeCell="N18" sqref="N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44378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40</v>
      </c>
      <c r="O4" s="355">
        <f>V51</f>
        <v>30</v>
      </c>
      <c r="P4" s="355">
        <f>W51</f>
        <v>6</v>
      </c>
      <c r="Q4" s="356">
        <f>N4-O4-P4</f>
        <v>4</v>
      </c>
      <c r="R4" s="343">
        <f>O4/N4</f>
        <v>0.75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44378</v>
      </c>
      <c r="D6" s="192" t="s">
        <v>23</v>
      </c>
      <c r="E6" s="192" t="s">
        <v>24</v>
      </c>
      <c r="F6" s="193">
        <v>47100</v>
      </c>
      <c r="G6" s="193">
        <v>4700</v>
      </c>
      <c r="H6" s="192">
        <v>100</v>
      </c>
      <c r="I6" s="193">
        <v>100</v>
      </c>
      <c r="J6" s="267">
        <f>H6*I6</f>
        <v>10000</v>
      </c>
      <c r="K6" s="185"/>
      <c r="M6" s="364" t="s">
        <v>258</v>
      </c>
      <c r="N6" s="347">
        <f>COUNT(C59:C81)</f>
        <v>21</v>
      </c>
      <c r="O6" s="348">
        <f>V82</f>
        <v>19</v>
      </c>
      <c r="P6" s="348">
        <f>W82</f>
        <v>2</v>
      </c>
      <c r="Q6" s="349">
        <f>N6-O6-P6</f>
        <v>0</v>
      </c>
      <c r="R6" s="345">
        <f t="shared" ref="R6" si="0">O6/N6</f>
        <v>0.90476190476190477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44378</v>
      </c>
      <c r="D7" s="196" t="s">
        <v>23</v>
      </c>
      <c r="E7" s="196" t="s">
        <v>22</v>
      </c>
      <c r="F7" s="197">
        <v>69700</v>
      </c>
      <c r="G7" s="197">
        <v>69530</v>
      </c>
      <c r="H7" s="196">
        <f>69700-69530</f>
        <v>170</v>
      </c>
      <c r="I7" s="197">
        <v>30</v>
      </c>
      <c r="J7" s="268">
        <f t="shared" ref="J7:J50" si="1">H7*I7</f>
        <v>5100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44379</v>
      </c>
      <c r="D8" s="196" t="s">
        <v>23</v>
      </c>
      <c r="E8" s="196" t="s">
        <v>24</v>
      </c>
      <c r="F8" s="197">
        <v>47370</v>
      </c>
      <c r="G8" s="197">
        <v>47470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COUNT(C90:C112)</f>
        <v>21</v>
      </c>
      <c r="O8" s="348">
        <f>V113</f>
        <v>15</v>
      </c>
      <c r="P8" s="348">
        <f>W113</f>
        <v>6</v>
      </c>
      <c r="Q8" s="349">
        <f>N8-O8-P8</f>
        <v>0</v>
      </c>
      <c r="R8" s="345">
        <f t="shared" ref="R8" si="4">O8/N8</f>
        <v>0.7142857142857143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44379</v>
      </c>
      <c r="D9" s="196" t="s">
        <v>23</v>
      </c>
      <c r="E9" s="196" t="s">
        <v>22</v>
      </c>
      <c r="F9" s="197">
        <v>69600</v>
      </c>
      <c r="G9" s="197">
        <v>69420</v>
      </c>
      <c r="H9" s="196">
        <f>69600-69420</f>
        <v>180</v>
      </c>
      <c r="I9" s="197">
        <v>30</v>
      </c>
      <c r="J9" s="268">
        <f t="shared" si="1"/>
        <v>5400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44382</v>
      </c>
      <c r="D10" s="196" t="s">
        <v>23</v>
      </c>
      <c r="E10" s="196" t="s">
        <v>24</v>
      </c>
      <c r="F10" s="197">
        <v>47320</v>
      </c>
      <c r="G10" s="197">
        <v>47250</v>
      </c>
      <c r="H10" s="196">
        <f>47320-47250</f>
        <v>70</v>
      </c>
      <c r="I10" s="197">
        <v>100</v>
      </c>
      <c r="J10" s="268">
        <f t="shared" si="1"/>
        <v>7000</v>
      </c>
      <c r="K10" s="185"/>
      <c r="M10" s="319" t="s">
        <v>300</v>
      </c>
      <c r="N10" s="321">
        <f>SUM(N4:N9)</f>
        <v>82</v>
      </c>
      <c r="O10" s="321">
        <f>SUM(O4:O9)</f>
        <v>64</v>
      </c>
      <c r="P10" s="321">
        <f>SUM(P4:P9)</f>
        <v>14</v>
      </c>
      <c r="Q10" s="341">
        <f>SUM(Q4:Q9)</f>
        <v>4</v>
      </c>
      <c r="R10" s="343">
        <f t="shared" ref="R10" si="5">O10/N10</f>
        <v>0.78048780487804881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44382</v>
      </c>
      <c r="D11" s="196" t="s">
        <v>23</v>
      </c>
      <c r="E11" s="196" t="s">
        <v>22</v>
      </c>
      <c r="F11" s="197">
        <v>70400</v>
      </c>
      <c r="G11" s="197">
        <v>70000</v>
      </c>
      <c r="H11" s="196">
        <v>400</v>
      </c>
      <c r="I11" s="197">
        <v>30</v>
      </c>
      <c r="J11" s="268">
        <f t="shared" si="1"/>
        <v>12000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44383</v>
      </c>
      <c r="D12" s="196" t="s">
        <v>23</v>
      </c>
      <c r="E12" s="196" t="s">
        <v>24</v>
      </c>
      <c r="F12" s="197">
        <v>47870</v>
      </c>
      <c r="G12" s="197">
        <v>47815</v>
      </c>
      <c r="H12" s="196">
        <f>47815-47870</f>
        <v>-55</v>
      </c>
      <c r="I12" s="197">
        <v>100</v>
      </c>
      <c r="J12" s="268">
        <f t="shared" si="1"/>
        <v>-5500</v>
      </c>
      <c r="K12" s="185"/>
      <c r="M12" s="323" t="s">
        <v>878</v>
      </c>
      <c r="N12" s="324"/>
      <c r="O12" s="325"/>
      <c r="P12" s="332">
        <f>R10</f>
        <v>0.78048780487804881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44383</v>
      </c>
      <c r="D13" s="196" t="s">
        <v>23</v>
      </c>
      <c r="E13" s="196" t="s">
        <v>22</v>
      </c>
      <c r="F13" s="197">
        <v>70750</v>
      </c>
      <c r="G13" s="197">
        <v>70150</v>
      </c>
      <c r="H13" s="196">
        <v>600</v>
      </c>
      <c r="I13" s="197">
        <v>30</v>
      </c>
      <c r="J13" s="268">
        <f t="shared" si="1"/>
        <v>18000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44384</v>
      </c>
      <c r="D14" s="196" t="s">
        <v>23</v>
      </c>
      <c r="E14" s="196" t="s">
        <v>24</v>
      </c>
      <c r="F14" s="197">
        <v>47900</v>
      </c>
      <c r="G14" s="197">
        <v>47800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44384</v>
      </c>
      <c r="D15" s="196" t="s">
        <v>23</v>
      </c>
      <c r="E15" s="196" t="s">
        <v>22</v>
      </c>
      <c r="F15" s="197">
        <v>70100</v>
      </c>
      <c r="G15" s="197">
        <v>69800</v>
      </c>
      <c r="H15" s="196">
        <v>300</v>
      </c>
      <c r="I15" s="197">
        <v>30</v>
      </c>
      <c r="J15" s="268">
        <f t="shared" si="1"/>
        <v>9000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44385</v>
      </c>
      <c r="D16" s="196" t="s">
        <v>23</v>
      </c>
      <c r="E16" s="196" t="s">
        <v>24</v>
      </c>
      <c r="F16" s="197">
        <v>48120</v>
      </c>
      <c r="G16" s="197">
        <v>48030</v>
      </c>
      <c r="H16" s="196">
        <f>48120-48030</f>
        <v>90</v>
      </c>
      <c r="I16" s="197">
        <v>100</v>
      </c>
      <c r="J16" s="268">
        <f t="shared" si="1"/>
        <v>9000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44385</v>
      </c>
      <c r="D17" s="196" t="s">
        <v>23</v>
      </c>
      <c r="E17" s="196" t="s">
        <v>22</v>
      </c>
      <c r="F17" s="197">
        <v>69350</v>
      </c>
      <c r="G17" s="197">
        <v>69182</v>
      </c>
      <c r="H17" s="196">
        <f>69350-69132</f>
        <v>218</v>
      </c>
      <c r="I17" s="197">
        <v>30</v>
      </c>
      <c r="J17" s="268">
        <f t="shared" si="1"/>
        <v>6540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44386</v>
      </c>
      <c r="D18" s="196" t="s">
        <v>23</v>
      </c>
      <c r="E18" s="196" t="s">
        <v>24</v>
      </c>
      <c r="F18" s="197">
        <v>47750</v>
      </c>
      <c r="G18" s="197">
        <v>47650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44386</v>
      </c>
      <c r="D19" s="196" t="s">
        <v>23</v>
      </c>
      <c r="E19" s="196" t="s">
        <v>22</v>
      </c>
      <c r="F19" s="197">
        <v>69050</v>
      </c>
      <c r="G19" s="197">
        <v>68650</v>
      </c>
      <c r="H19" s="196">
        <f>69050-68650</f>
        <v>400</v>
      </c>
      <c r="I19" s="197">
        <v>30</v>
      </c>
      <c r="J19" s="268">
        <f t="shared" si="1"/>
        <v>12000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44389</v>
      </c>
      <c r="D20" s="196" t="s">
        <v>23</v>
      </c>
      <c r="E20" s="196" t="s">
        <v>24</v>
      </c>
      <c r="F20" s="197">
        <v>47720</v>
      </c>
      <c r="G20" s="197">
        <v>47520</v>
      </c>
      <c r="H20" s="196">
        <v>20</v>
      </c>
      <c r="I20" s="197">
        <v>100</v>
      </c>
      <c r="J20" s="268">
        <f t="shared" si="1"/>
        <v>2000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44389</v>
      </c>
      <c r="D21" s="196" t="s">
        <v>23</v>
      </c>
      <c r="E21" s="196" t="s">
        <v>22</v>
      </c>
      <c r="F21" s="197">
        <v>68800</v>
      </c>
      <c r="G21" s="197">
        <v>68650</v>
      </c>
      <c r="H21" s="196">
        <f>68800-68650</f>
        <v>150</v>
      </c>
      <c r="I21" s="197">
        <v>30</v>
      </c>
      <c r="J21" s="268">
        <f t="shared" si="1"/>
        <v>4500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44390</v>
      </c>
      <c r="D22" s="196" t="s">
        <v>23</v>
      </c>
      <c r="E22" s="196" t="s">
        <v>24</v>
      </c>
      <c r="F22" s="197">
        <v>47830</v>
      </c>
      <c r="G22" s="197">
        <v>47930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44390</v>
      </c>
      <c r="D23" s="196" t="s">
        <v>23</v>
      </c>
      <c r="E23" s="196" t="s">
        <v>22</v>
      </c>
      <c r="F23" s="197">
        <v>69350</v>
      </c>
      <c r="G23" s="197">
        <v>69215</v>
      </c>
      <c r="H23" s="196">
        <f>69350-69215</f>
        <v>135</v>
      </c>
      <c r="I23" s="197">
        <v>30</v>
      </c>
      <c r="J23" s="268">
        <f t="shared" si="1"/>
        <v>4050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44391</v>
      </c>
      <c r="D24" s="196" t="s">
        <v>23</v>
      </c>
      <c r="E24" s="196" t="s">
        <v>24</v>
      </c>
      <c r="F24" s="197">
        <v>48050</v>
      </c>
      <c r="G24" s="197">
        <v>48150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44391</v>
      </c>
      <c r="D25" s="196" t="s">
        <v>23</v>
      </c>
      <c r="E25" s="196" t="s">
        <v>22</v>
      </c>
      <c r="F25" s="197">
        <v>69200</v>
      </c>
      <c r="G25" s="197">
        <v>69500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44392</v>
      </c>
      <c r="D26" s="196" t="s">
        <v>23</v>
      </c>
      <c r="E26" s="196" t="s">
        <v>24</v>
      </c>
      <c r="F26" s="197">
        <v>48450</v>
      </c>
      <c r="G26" s="197">
        <v>48250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44392</v>
      </c>
      <c r="D27" s="196" t="s">
        <v>23</v>
      </c>
      <c r="E27" s="196" t="s">
        <v>22</v>
      </c>
      <c r="F27" s="197">
        <v>69850</v>
      </c>
      <c r="G27" s="197">
        <v>69550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44393</v>
      </c>
      <c r="D28" s="196" t="s">
        <v>23</v>
      </c>
      <c r="E28" s="196" t="s">
        <v>24</v>
      </c>
      <c r="F28" s="197">
        <v>48270</v>
      </c>
      <c r="G28" s="197">
        <v>48120</v>
      </c>
      <c r="H28" s="196">
        <f>48270-48120</f>
        <v>150</v>
      </c>
      <c r="I28" s="197">
        <v>100</v>
      </c>
      <c r="J28" s="268">
        <f t="shared" si="1"/>
        <v>15000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44393</v>
      </c>
      <c r="D29" s="196" t="s">
        <v>23</v>
      </c>
      <c r="E29" s="196" t="s">
        <v>22</v>
      </c>
      <c r="F29" s="197">
        <v>69350</v>
      </c>
      <c r="G29" s="197">
        <v>69050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44396</v>
      </c>
      <c r="D30" s="196" t="s">
        <v>23</v>
      </c>
      <c r="E30" s="196" t="s">
        <v>24</v>
      </c>
      <c r="F30" s="197">
        <v>47930</v>
      </c>
      <c r="G30" s="197">
        <v>48030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44397</v>
      </c>
      <c r="D31" s="196" t="s">
        <v>23</v>
      </c>
      <c r="E31" s="196" t="s">
        <v>22</v>
      </c>
      <c r="F31" s="197">
        <v>67200</v>
      </c>
      <c r="G31" s="197">
        <v>66930</v>
      </c>
      <c r="H31" s="196">
        <f>67200-66930</f>
        <v>270</v>
      </c>
      <c r="I31" s="197">
        <v>30</v>
      </c>
      <c r="J31" s="268">
        <f t="shared" si="1"/>
        <v>8100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44399</v>
      </c>
      <c r="D32" s="196" t="s">
        <v>23</v>
      </c>
      <c r="E32" s="196" t="s">
        <v>24</v>
      </c>
      <c r="F32" s="197">
        <v>47400</v>
      </c>
      <c r="G32" s="197">
        <v>47350</v>
      </c>
      <c r="H32" s="196">
        <f>47400-47350</f>
        <v>50</v>
      </c>
      <c r="I32" s="197">
        <v>100</v>
      </c>
      <c r="J32" s="268">
        <f t="shared" si="1"/>
        <v>5000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44399</v>
      </c>
      <c r="D33" s="196" t="s">
        <v>23</v>
      </c>
      <c r="E33" s="196" t="s">
        <v>22</v>
      </c>
      <c r="F33" s="197">
        <v>66850</v>
      </c>
      <c r="G33" s="197">
        <v>66700</v>
      </c>
      <c r="H33" s="196">
        <v>150</v>
      </c>
      <c r="I33" s="197">
        <v>30</v>
      </c>
      <c r="J33" s="268">
        <f t="shared" si="1"/>
        <v>4500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44400</v>
      </c>
      <c r="D34" s="196" t="s">
        <v>23</v>
      </c>
      <c r="E34" s="196" t="s">
        <v>24</v>
      </c>
      <c r="F34" s="197">
        <v>47470</v>
      </c>
      <c r="G34" s="197">
        <v>47300</v>
      </c>
      <c r="H34" s="196">
        <v>170</v>
      </c>
      <c r="I34" s="197">
        <v>100</v>
      </c>
      <c r="J34" s="268">
        <f t="shared" si="1"/>
        <v>17000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44400</v>
      </c>
      <c r="D35" s="196" t="s">
        <v>23</v>
      </c>
      <c r="E35" s="196" t="s">
        <v>22</v>
      </c>
      <c r="F35" s="197">
        <v>67150</v>
      </c>
      <c r="G35" s="197">
        <v>66950</v>
      </c>
      <c r="H35" s="196">
        <f>67150-66950</f>
        <v>200</v>
      </c>
      <c r="I35" s="197">
        <v>30</v>
      </c>
      <c r="J35" s="268">
        <f t="shared" si="1"/>
        <v>6000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44403</v>
      </c>
      <c r="D36" s="196" t="s">
        <v>23</v>
      </c>
      <c r="E36" s="196" t="s">
        <v>24</v>
      </c>
      <c r="F36" s="197">
        <v>47700</v>
      </c>
      <c r="G36" s="197">
        <v>47540</v>
      </c>
      <c r="H36" s="196">
        <f>47700-47540</f>
        <v>160</v>
      </c>
      <c r="I36" s="197">
        <v>100</v>
      </c>
      <c r="J36" s="268">
        <f t="shared" si="1"/>
        <v>16000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44403</v>
      </c>
      <c r="D37" s="196" t="s">
        <v>23</v>
      </c>
      <c r="E37" s="196" t="s">
        <v>22</v>
      </c>
      <c r="F37" s="197">
        <v>67600</v>
      </c>
      <c r="G37" s="197">
        <v>67200</v>
      </c>
      <c r="H37" s="196">
        <v>400</v>
      </c>
      <c r="I37" s="197">
        <v>30</v>
      </c>
      <c r="J37" s="268">
        <f t="shared" si="1"/>
        <v>12000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44404</v>
      </c>
      <c r="D38" s="196" t="s">
        <v>16</v>
      </c>
      <c r="E38" s="196" t="s">
        <v>24</v>
      </c>
      <c r="F38" s="197">
        <v>47500</v>
      </c>
      <c r="G38" s="197">
        <v>47640</v>
      </c>
      <c r="H38" s="196">
        <f>47640-47500</f>
        <v>140</v>
      </c>
      <c r="I38" s="197">
        <v>100</v>
      </c>
      <c r="J38" s="268">
        <f t="shared" si="1"/>
        <v>14000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44404</v>
      </c>
      <c r="D39" s="196" t="s">
        <v>23</v>
      </c>
      <c r="E39" s="196" t="s">
        <v>22</v>
      </c>
      <c r="F39" s="197">
        <v>66950</v>
      </c>
      <c r="G39" s="197">
        <v>67250</v>
      </c>
      <c r="H39" s="196">
        <f>67250-66950</f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44405</v>
      </c>
      <c r="D40" s="196" t="s">
        <v>16</v>
      </c>
      <c r="E40" s="196" t="s">
        <v>24</v>
      </c>
      <c r="F40" s="197">
        <v>47550</v>
      </c>
      <c r="G40" s="197">
        <v>47640</v>
      </c>
      <c r="H40" s="196">
        <f>47640-47550</f>
        <v>90</v>
      </c>
      <c r="I40" s="197">
        <v>100</v>
      </c>
      <c r="J40" s="268">
        <f t="shared" si="1"/>
        <v>9000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44405</v>
      </c>
      <c r="D41" s="196" t="s">
        <v>16</v>
      </c>
      <c r="E41" s="196" t="s">
        <v>22</v>
      </c>
      <c r="F41" s="197">
        <v>66200</v>
      </c>
      <c r="G41" s="197">
        <v>66500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44406</v>
      </c>
      <c r="D42" s="196" t="s">
        <v>23</v>
      </c>
      <c r="E42" s="196" t="s">
        <v>24</v>
      </c>
      <c r="F42" s="197">
        <v>48070</v>
      </c>
      <c r="G42" s="197">
        <v>48000</v>
      </c>
      <c r="H42" s="196">
        <v>70</v>
      </c>
      <c r="I42" s="197">
        <v>100</v>
      </c>
      <c r="J42" s="268">
        <f t="shared" si="1"/>
        <v>7000</v>
      </c>
      <c r="K42" s="185"/>
    </row>
    <row r="43" spans="1:23" x14ac:dyDescent="0.3">
      <c r="A43" s="184"/>
      <c r="B43" s="194">
        <v>38</v>
      </c>
      <c r="C43" s="195">
        <v>44406</v>
      </c>
      <c r="D43" s="196" t="s">
        <v>23</v>
      </c>
      <c r="E43" s="196" t="s">
        <v>22</v>
      </c>
      <c r="F43" s="197">
        <v>67750</v>
      </c>
      <c r="G43" s="197">
        <v>67630</v>
      </c>
      <c r="H43" s="196">
        <f>67750-67630</f>
        <v>120</v>
      </c>
      <c r="I43" s="197">
        <v>30</v>
      </c>
      <c r="J43" s="268">
        <f t="shared" si="1"/>
        <v>3600</v>
      </c>
      <c r="K43" s="185"/>
    </row>
    <row r="44" spans="1:23" x14ac:dyDescent="0.3">
      <c r="A44" s="184"/>
      <c r="B44" s="194">
        <v>39</v>
      </c>
      <c r="C44" s="195">
        <v>44407</v>
      </c>
      <c r="D44" s="196" t="s">
        <v>23</v>
      </c>
      <c r="E44" s="196" t="s">
        <v>24</v>
      </c>
      <c r="F44" s="197">
        <v>48220</v>
      </c>
      <c r="G44" s="197">
        <v>48150</v>
      </c>
      <c r="H44" s="196">
        <f>48220-48150</f>
        <v>70</v>
      </c>
      <c r="I44" s="197">
        <v>100</v>
      </c>
      <c r="J44" s="268">
        <f t="shared" si="1"/>
        <v>7000</v>
      </c>
      <c r="K44" s="185"/>
    </row>
    <row r="45" spans="1:23" x14ac:dyDescent="0.3">
      <c r="A45" s="184"/>
      <c r="B45" s="194">
        <v>40</v>
      </c>
      <c r="C45" s="195">
        <v>44407</v>
      </c>
      <c r="D45" s="196" t="s">
        <v>23</v>
      </c>
      <c r="E45" s="196" t="s">
        <v>22</v>
      </c>
      <c r="F45" s="197">
        <v>68100</v>
      </c>
      <c r="G45" s="197">
        <v>67900</v>
      </c>
      <c r="H45" s="196">
        <f>68100-67900</f>
        <v>200</v>
      </c>
      <c r="I45" s="197">
        <v>30</v>
      </c>
      <c r="J45" s="268">
        <f t="shared" si="1"/>
        <v>6000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256290</v>
      </c>
      <c r="K51" s="185"/>
      <c r="V51" s="183">
        <f>SUM(V6:V50)</f>
        <v>30</v>
      </c>
      <c r="W51" s="183">
        <f>SUM(W6:W50)</f>
        <v>6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44378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44378</v>
      </c>
      <c r="D59" s="192" t="s">
        <v>23</v>
      </c>
      <c r="E59" s="192" t="s">
        <v>25</v>
      </c>
      <c r="F59" s="193">
        <v>5545</v>
      </c>
      <c r="G59" s="193">
        <v>5575</v>
      </c>
      <c r="H59" s="192">
        <v>-30</v>
      </c>
      <c r="I59" s="193">
        <v>100</v>
      </c>
      <c r="J59" s="267">
        <f t="shared" ref="J59:J81" si="7">I59*H59</f>
        <v>-3000</v>
      </c>
      <c r="K59" s="185"/>
      <c r="V59" s="183">
        <f>IF($J59&gt;0,1,0)</f>
        <v>0</v>
      </c>
      <c r="W59" s="183">
        <f>IF($J59&lt;0,1,0)</f>
        <v>1</v>
      </c>
    </row>
    <row r="60" spans="1:23" x14ac:dyDescent="0.3">
      <c r="A60" s="184"/>
      <c r="B60" s="194">
        <v>2</v>
      </c>
      <c r="C60" s="195">
        <v>44379</v>
      </c>
      <c r="D60" s="196" t="s">
        <v>23</v>
      </c>
      <c r="E60" s="196" t="s">
        <v>25</v>
      </c>
      <c r="F60" s="197">
        <v>5630</v>
      </c>
      <c r="G60" s="197">
        <v>5590</v>
      </c>
      <c r="H60" s="196">
        <f>5590-5630</f>
        <v>-40</v>
      </c>
      <c r="I60" s="197">
        <v>100</v>
      </c>
      <c r="J60" s="268">
        <f t="shared" si="7"/>
        <v>-4000</v>
      </c>
      <c r="K60" s="185"/>
      <c r="V60" s="183">
        <f t="shared" ref="V60:V81" si="8">IF($J60&gt;0,1,0)</f>
        <v>0</v>
      </c>
      <c r="W60" s="183">
        <f t="shared" ref="W60:W81" si="9">IF($J60&lt;0,1,0)</f>
        <v>1</v>
      </c>
    </row>
    <row r="61" spans="1:23" x14ac:dyDescent="0.3">
      <c r="A61" s="184"/>
      <c r="B61" s="194">
        <v>3</v>
      </c>
      <c r="C61" s="195">
        <v>44382</v>
      </c>
      <c r="D61" s="196" t="s">
        <v>23</v>
      </c>
      <c r="E61" s="196" t="s">
        <v>25</v>
      </c>
      <c r="F61" s="197">
        <v>5620</v>
      </c>
      <c r="G61" s="197">
        <v>5580</v>
      </c>
      <c r="H61" s="196">
        <f>5620-5580</f>
        <v>40</v>
      </c>
      <c r="I61" s="197">
        <v>100</v>
      </c>
      <c r="J61" s="268">
        <f t="shared" si="7"/>
        <v>4000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44383</v>
      </c>
      <c r="D62" s="196" t="s">
        <v>23</v>
      </c>
      <c r="E62" s="196" t="s">
        <v>25</v>
      </c>
      <c r="F62" s="197">
        <v>5700</v>
      </c>
      <c r="G62" s="197">
        <v>5640</v>
      </c>
      <c r="H62" s="196"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44384</v>
      </c>
      <c r="D63" s="196" t="s">
        <v>23</v>
      </c>
      <c r="E63" s="196" t="s">
        <v>25</v>
      </c>
      <c r="F63" s="197">
        <v>5585</v>
      </c>
      <c r="G63" s="197">
        <v>5525</v>
      </c>
      <c r="H63" s="196">
        <v>60</v>
      </c>
      <c r="I63" s="197">
        <v>100</v>
      </c>
      <c r="J63" s="268">
        <f t="shared" si="7"/>
        <v>6000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44385</v>
      </c>
      <c r="D64" s="196" t="s">
        <v>23</v>
      </c>
      <c r="E64" s="196" t="s">
        <v>25</v>
      </c>
      <c r="F64" s="197">
        <v>5350</v>
      </c>
      <c r="G64" s="197">
        <v>5332</v>
      </c>
      <c r="H64" s="196">
        <f>5350-5332</f>
        <v>18</v>
      </c>
      <c r="I64" s="197">
        <v>100</v>
      </c>
      <c r="J64" s="268">
        <f t="shared" si="7"/>
        <v>1800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44386</v>
      </c>
      <c r="D65" s="196" t="s">
        <v>23</v>
      </c>
      <c r="E65" s="196" t="s">
        <v>25</v>
      </c>
      <c r="F65" s="222">
        <v>5515</v>
      </c>
      <c r="G65" s="222">
        <v>5475</v>
      </c>
      <c r="H65" s="196">
        <f>5515-5475</f>
        <v>40</v>
      </c>
      <c r="I65" s="197">
        <v>100</v>
      </c>
      <c r="J65" s="268">
        <f t="shared" si="7"/>
        <v>4000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44389</v>
      </c>
      <c r="D66" s="196" t="s">
        <v>23</v>
      </c>
      <c r="E66" s="196" t="s">
        <v>25</v>
      </c>
      <c r="F66" s="197">
        <v>5485</v>
      </c>
      <c r="G66" s="197">
        <v>5466</v>
      </c>
      <c r="H66" s="196">
        <f>5485-5466</f>
        <v>19</v>
      </c>
      <c r="I66" s="197">
        <v>100</v>
      </c>
      <c r="J66" s="268">
        <f t="shared" si="7"/>
        <v>1900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44390</v>
      </c>
      <c r="D67" s="196" t="s">
        <v>23</v>
      </c>
      <c r="E67" s="196" t="s">
        <v>25</v>
      </c>
      <c r="F67" s="197">
        <v>5560</v>
      </c>
      <c r="G67" s="197">
        <v>5530</v>
      </c>
      <c r="H67" s="196">
        <v>30</v>
      </c>
      <c r="I67" s="197">
        <v>100</v>
      </c>
      <c r="J67" s="268">
        <f t="shared" si="7"/>
        <v>3000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44391</v>
      </c>
      <c r="D68" s="196" t="s">
        <v>23</v>
      </c>
      <c r="E68" s="196" t="s">
        <v>25</v>
      </c>
      <c r="F68" s="197">
        <v>5575</v>
      </c>
      <c r="G68" s="197">
        <v>5525</v>
      </c>
      <c r="H68" s="196">
        <f>5575-5525</f>
        <v>50</v>
      </c>
      <c r="I68" s="197">
        <v>100</v>
      </c>
      <c r="J68" s="268">
        <f t="shared" si="7"/>
        <v>5000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44392</v>
      </c>
      <c r="D69" s="196" t="s">
        <v>23</v>
      </c>
      <c r="E69" s="196" t="s">
        <v>25</v>
      </c>
      <c r="F69" s="197">
        <v>5415</v>
      </c>
      <c r="G69" s="197">
        <v>5355</v>
      </c>
      <c r="H69" s="196">
        <v>60</v>
      </c>
      <c r="I69" s="197">
        <v>100</v>
      </c>
      <c r="J69" s="268">
        <f t="shared" si="7"/>
        <v>6000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44393</v>
      </c>
      <c r="D70" s="196" t="s">
        <v>23</v>
      </c>
      <c r="E70" s="196" t="s">
        <v>25</v>
      </c>
      <c r="F70" s="197">
        <v>5370</v>
      </c>
      <c r="G70" s="197">
        <v>5345</v>
      </c>
      <c r="H70" s="196">
        <f>5370-5345</f>
        <v>25</v>
      </c>
      <c r="I70" s="197">
        <v>100</v>
      </c>
      <c r="J70" s="268">
        <f t="shared" si="7"/>
        <v>2500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44396</v>
      </c>
      <c r="D71" s="196" t="s">
        <v>23</v>
      </c>
      <c r="E71" s="196" t="s">
        <v>25</v>
      </c>
      <c r="F71" s="197">
        <v>5240</v>
      </c>
      <c r="G71" s="197">
        <v>5180</v>
      </c>
      <c r="H71" s="196">
        <f>5240-5180</f>
        <v>60</v>
      </c>
      <c r="I71" s="197">
        <v>100</v>
      </c>
      <c r="J71" s="268">
        <f t="shared" si="7"/>
        <v>6000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44397</v>
      </c>
      <c r="D72" s="196" t="s">
        <v>23</v>
      </c>
      <c r="E72" s="196" t="s">
        <v>25</v>
      </c>
      <c r="F72" s="197">
        <v>5015</v>
      </c>
      <c r="G72" s="197">
        <v>4955</v>
      </c>
      <c r="H72" s="196">
        <f>5015-4955</f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44399</v>
      </c>
      <c r="D73" s="196" t="s">
        <v>23</v>
      </c>
      <c r="E73" s="196" t="s">
        <v>25</v>
      </c>
      <c r="F73" s="197">
        <v>5310</v>
      </c>
      <c r="G73" s="197">
        <v>5280</v>
      </c>
      <c r="H73" s="196">
        <f>5310-5280</f>
        <v>30</v>
      </c>
      <c r="I73" s="197">
        <v>100</v>
      </c>
      <c r="J73" s="268">
        <f t="shared" si="7"/>
        <v>3000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44400</v>
      </c>
      <c r="D74" s="196" t="s">
        <v>23</v>
      </c>
      <c r="E74" s="196" t="s">
        <v>25</v>
      </c>
      <c r="F74" s="197">
        <v>5365</v>
      </c>
      <c r="G74" s="197">
        <v>5345</v>
      </c>
      <c r="H74" s="196">
        <v>20</v>
      </c>
      <c r="I74" s="197">
        <v>100</v>
      </c>
      <c r="J74" s="268">
        <f t="shared" si="7"/>
        <v>2000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44403</v>
      </c>
      <c r="D75" s="196" t="s">
        <v>23</v>
      </c>
      <c r="E75" s="196" t="s">
        <v>25</v>
      </c>
      <c r="F75" s="197">
        <v>5345</v>
      </c>
      <c r="G75" s="197">
        <v>5330</v>
      </c>
      <c r="H75" s="196">
        <v>15</v>
      </c>
      <c r="I75" s="197">
        <v>100</v>
      </c>
      <c r="J75" s="268">
        <f t="shared" si="7"/>
        <v>1500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44404</v>
      </c>
      <c r="D76" s="196" t="s">
        <v>23</v>
      </c>
      <c r="E76" s="196" t="s">
        <v>25</v>
      </c>
      <c r="F76" s="197">
        <v>5385</v>
      </c>
      <c r="G76" s="197">
        <v>5325</v>
      </c>
      <c r="H76" s="196">
        <v>60</v>
      </c>
      <c r="I76" s="197">
        <v>100</v>
      </c>
      <c r="J76" s="268">
        <f t="shared" si="7"/>
        <v>6000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44405</v>
      </c>
      <c r="D77" s="196" t="s">
        <v>23</v>
      </c>
      <c r="E77" s="196" t="s">
        <v>25</v>
      </c>
      <c r="F77" s="197">
        <v>5395</v>
      </c>
      <c r="G77" s="197">
        <v>5345</v>
      </c>
      <c r="H77" s="196">
        <f>5395-5345</f>
        <v>50</v>
      </c>
      <c r="I77" s="197">
        <v>100</v>
      </c>
      <c r="J77" s="268">
        <f t="shared" si="7"/>
        <v>5000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44406</v>
      </c>
      <c r="D78" s="196" t="s">
        <v>23</v>
      </c>
      <c r="E78" s="196" t="s">
        <v>25</v>
      </c>
      <c r="F78" s="197">
        <v>5420</v>
      </c>
      <c r="G78" s="197">
        <v>5400</v>
      </c>
      <c r="H78" s="196">
        <v>20</v>
      </c>
      <c r="I78" s="197">
        <v>100</v>
      </c>
      <c r="J78" s="268">
        <f t="shared" si="7"/>
        <v>2000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44407</v>
      </c>
      <c r="D79" s="196" t="s">
        <v>23</v>
      </c>
      <c r="E79" s="196" t="s">
        <v>25</v>
      </c>
      <c r="F79" s="197">
        <v>5470</v>
      </c>
      <c r="G79" s="197">
        <v>5455</v>
      </c>
      <c r="H79" s="196">
        <f>5470-5455</f>
        <v>15</v>
      </c>
      <c r="I79" s="197">
        <v>100</v>
      </c>
      <c r="J79" s="268">
        <f t="shared" si="7"/>
        <v>1500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66200</v>
      </c>
      <c r="K82" s="185"/>
      <c r="V82" s="183">
        <f>SUM(V59:V81)</f>
        <v>19</v>
      </c>
      <c r="W82" s="183">
        <f>SUM(W59:W81)</f>
        <v>2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44378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44378</v>
      </c>
      <c r="D90" s="216" t="s">
        <v>16</v>
      </c>
      <c r="E90" s="256" t="s">
        <v>28</v>
      </c>
      <c r="F90" s="256">
        <v>240.5</v>
      </c>
      <c r="G90" s="256">
        <v>239.5</v>
      </c>
      <c r="H90" s="256">
        <v>-1</v>
      </c>
      <c r="I90" s="218">
        <v>5000</v>
      </c>
      <c r="J90" s="273">
        <f>I90*H90</f>
        <v>-5000</v>
      </c>
      <c r="K90" s="185"/>
      <c r="M90" s="183" t="s">
        <v>870</v>
      </c>
      <c r="V90" s="183">
        <f>IF($J90&gt;0,1,0)</f>
        <v>0</v>
      </c>
      <c r="W90" s="183">
        <f>IF($J90&lt;0,1,0)</f>
        <v>1</v>
      </c>
    </row>
    <row r="91" spans="1:23" x14ac:dyDescent="0.3">
      <c r="A91" s="184"/>
      <c r="B91" s="194">
        <v>2</v>
      </c>
      <c r="C91" s="195">
        <v>44379</v>
      </c>
      <c r="D91" s="196" t="s">
        <v>23</v>
      </c>
      <c r="E91" s="222" t="s">
        <v>28</v>
      </c>
      <c r="F91" s="222">
        <v>237.5</v>
      </c>
      <c r="G91" s="222">
        <v>237.1</v>
      </c>
      <c r="H91" s="222">
        <f>237.5-237.1</f>
        <v>0.40000000000000568</v>
      </c>
      <c r="I91" s="197">
        <v>5000</v>
      </c>
      <c r="J91" s="268">
        <f t="shared" ref="J91:J112" si="10">I91*H91</f>
        <v>2000.0000000000284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44382</v>
      </c>
      <c r="D92" s="196" t="s">
        <v>23</v>
      </c>
      <c r="E92" s="222" t="s">
        <v>28</v>
      </c>
      <c r="F92" s="222">
        <v>239.5</v>
      </c>
      <c r="G92" s="222">
        <v>237.5</v>
      </c>
      <c r="H92" s="222">
        <v>2</v>
      </c>
      <c r="I92" s="197">
        <v>5000</v>
      </c>
      <c r="J92" s="268">
        <f t="shared" si="10"/>
        <v>10000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44383</v>
      </c>
      <c r="D93" s="196" t="s">
        <v>23</v>
      </c>
      <c r="E93" s="222" t="s">
        <v>28</v>
      </c>
      <c r="F93" s="222">
        <v>241.2</v>
      </c>
      <c r="G93" s="222">
        <v>240.2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44384</v>
      </c>
      <c r="D94" s="196" t="s">
        <v>23</v>
      </c>
      <c r="E94" s="222" t="s">
        <v>28</v>
      </c>
      <c r="F94" s="222">
        <v>240.5</v>
      </c>
      <c r="G94" s="222">
        <v>239.55</v>
      </c>
      <c r="H94" s="222">
        <f>240.5-239.55</f>
        <v>0.94999999999998863</v>
      </c>
      <c r="I94" s="197">
        <v>5000</v>
      </c>
      <c r="J94" s="268">
        <f t="shared" si="10"/>
        <v>4749.9999999999436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44385</v>
      </c>
      <c r="D95" s="196" t="s">
        <v>23</v>
      </c>
      <c r="E95" s="222" t="s">
        <v>28</v>
      </c>
      <c r="F95" s="222">
        <v>238.5</v>
      </c>
      <c r="G95" s="222">
        <v>238.15</v>
      </c>
      <c r="H95" s="222">
        <f>238.5-238.15</f>
        <v>0.34999999999999432</v>
      </c>
      <c r="I95" s="197">
        <v>5000</v>
      </c>
      <c r="J95" s="268">
        <f t="shared" si="10"/>
        <v>1749.9999999999716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44386</v>
      </c>
      <c r="D96" s="196" t="s">
        <v>23</v>
      </c>
      <c r="E96" s="222" t="s">
        <v>28</v>
      </c>
      <c r="F96" s="222">
        <v>241.7</v>
      </c>
      <c r="G96" s="222">
        <v>241.2</v>
      </c>
      <c r="H96" s="274">
        <f>241.7-241.2</f>
        <v>0.5</v>
      </c>
      <c r="I96" s="197">
        <v>5000</v>
      </c>
      <c r="J96" s="268">
        <f t="shared" si="10"/>
        <v>2500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44389</v>
      </c>
      <c r="D97" s="196" t="s">
        <v>23</v>
      </c>
      <c r="E97" s="222" t="s">
        <v>28</v>
      </c>
      <c r="F97" s="222">
        <v>241.5</v>
      </c>
      <c r="G97" s="222">
        <v>240.5</v>
      </c>
      <c r="H97" s="222">
        <v>1</v>
      </c>
      <c r="I97" s="197">
        <v>5000</v>
      </c>
      <c r="J97" s="268">
        <f t="shared" si="10"/>
        <v>5000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44390</v>
      </c>
      <c r="D98" s="196" t="s">
        <v>23</v>
      </c>
      <c r="E98" s="222" t="s">
        <v>28</v>
      </c>
      <c r="F98" s="222">
        <v>240.8</v>
      </c>
      <c r="G98" s="222">
        <v>239.4</v>
      </c>
      <c r="H98" s="222">
        <f>240.8-239.4</f>
        <v>1.4000000000000057</v>
      </c>
      <c r="I98" s="197">
        <v>5000</v>
      </c>
      <c r="J98" s="268">
        <f t="shared" si="10"/>
        <v>7000.0000000000282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44391</v>
      </c>
      <c r="D99" s="196" t="s">
        <v>23</v>
      </c>
      <c r="E99" s="222" t="s">
        <v>28</v>
      </c>
      <c r="F99" s="222">
        <v>240.2</v>
      </c>
      <c r="G99" s="222">
        <v>239.2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44392</v>
      </c>
      <c r="D100" s="196" t="s">
        <v>23</v>
      </c>
      <c r="E100" s="222" t="s">
        <v>28</v>
      </c>
      <c r="F100" s="222">
        <v>240.8</v>
      </c>
      <c r="G100" s="222">
        <v>240.2</v>
      </c>
      <c r="H100" s="274">
        <f>240.8-240.2</f>
        <v>0.60000000000002274</v>
      </c>
      <c r="I100" s="197">
        <v>5000</v>
      </c>
      <c r="J100" s="268">
        <f t="shared" si="10"/>
        <v>3000.0000000001137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44393</v>
      </c>
      <c r="D101" s="196" t="s">
        <v>23</v>
      </c>
      <c r="E101" s="222" t="s">
        <v>28</v>
      </c>
      <c r="F101" s="222">
        <v>242.3</v>
      </c>
      <c r="G101" s="222">
        <v>243.3</v>
      </c>
      <c r="H101" s="274">
        <v>-1</v>
      </c>
      <c r="I101" s="197">
        <v>5000</v>
      </c>
      <c r="J101" s="268">
        <f t="shared" si="10"/>
        <v>-5000</v>
      </c>
      <c r="K101" s="185"/>
      <c r="V101" s="183">
        <f t="shared" si="11"/>
        <v>0</v>
      </c>
      <c r="W101" s="183">
        <f t="shared" si="12"/>
        <v>1</v>
      </c>
    </row>
    <row r="102" spans="1:23" x14ac:dyDescent="0.3">
      <c r="A102" s="184"/>
      <c r="B102" s="194">
        <v>13</v>
      </c>
      <c r="C102" s="195">
        <v>44396</v>
      </c>
      <c r="D102" s="196" t="s">
        <v>23</v>
      </c>
      <c r="E102" s="222" t="s">
        <v>28</v>
      </c>
      <c r="F102" s="222">
        <v>242.7</v>
      </c>
      <c r="G102" s="222">
        <v>240.8</v>
      </c>
      <c r="H102" s="274">
        <f>242.7-240.8</f>
        <v>1.8999999999999773</v>
      </c>
      <c r="I102" s="197">
        <v>5000</v>
      </c>
      <c r="J102" s="268">
        <f t="shared" si="10"/>
        <v>9499.9999999998872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44397</v>
      </c>
      <c r="D103" s="196" t="s">
        <v>23</v>
      </c>
      <c r="E103" s="222" t="s">
        <v>28</v>
      </c>
      <c r="F103" s="222">
        <v>243.4</v>
      </c>
      <c r="G103" s="222">
        <v>242</v>
      </c>
      <c r="H103" s="274">
        <f>242-243.4</f>
        <v>-1.4000000000000057</v>
      </c>
      <c r="I103" s="197">
        <v>5000</v>
      </c>
      <c r="J103" s="268">
        <f t="shared" si="10"/>
        <v>-7000.0000000000282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15</v>
      </c>
      <c r="C104" s="195">
        <v>44399</v>
      </c>
      <c r="D104" s="196" t="s">
        <v>23</v>
      </c>
      <c r="E104" s="222" t="s">
        <v>28</v>
      </c>
      <c r="F104" s="223">
        <v>243.1</v>
      </c>
      <c r="G104" s="222">
        <v>242.35</v>
      </c>
      <c r="H104" s="274">
        <f>243.1-242.35</f>
        <v>0.75</v>
      </c>
      <c r="I104" s="197">
        <v>5000</v>
      </c>
      <c r="J104" s="268">
        <f t="shared" si="10"/>
        <v>3750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44400</v>
      </c>
      <c r="D105" s="196" t="s">
        <v>23</v>
      </c>
      <c r="E105" s="222" t="s">
        <v>28</v>
      </c>
      <c r="F105" s="222">
        <v>244</v>
      </c>
      <c r="G105" s="222">
        <v>243.4</v>
      </c>
      <c r="H105" s="274">
        <f>244-243.4</f>
        <v>0.59999999999999432</v>
      </c>
      <c r="I105" s="197">
        <v>5000</v>
      </c>
      <c r="J105" s="268">
        <f t="shared" si="10"/>
        <v>2999.9999999999718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44403</v>
      </c>
      <c r="D106" s="196" t="s">
        <v>23</v>
      </c>
      <c r="E106" s="222" t="s">
        <v>28</v>
      </c>
      <c r="F106" s="222">
        <v>243.8</v>
      </c>
      <c r="G106" s="222">
        <v>244.8</v>
      </c>
      <c r="H106" s="274">
        <v>-1</v>
      </c>
      <c r="I106" s="197">
        <v>5000</v>
      </c>
      <c r="J106" s="268">
        <f t="shared" si="10"/>
        <v>-5000</v>
      </c>
      <c r="K106" s="185"/>
      <c r="V106" s="183">
        <f t="shared" si="11"/>
        <v>0</v>
      </c>
      <c r="W106" s="183">
        <f t="shared" si="12"/>
        <v>1</v>
      </c>
    </row>
    <row r="107" spans="1:23" x14ac:dyDescent="0.3">
      <c r="A107" s="184"/>
      <c r="B107" s="194">
        <v>18</v>
      </c>
      <c r="C107" s="195">
        <v>44404</v>
      </c>
      <c r="D107" s="196" t="s">
        <v>23</v>
      </c>
      <c r="E107" s="222" t="s">
        <v>28</v>
      </c>
      <c r="F107" s="222">
        <v>244.8</v>
      </c>
      <c r="G107" s="222">
        <v>243.9</v>
      </c>
      <c r="H107" s="274">
        <f>244.8-243.9</f>
        <v>0.90000000000000568</v>
      </c>
      <c r="I107" s="197">
        <v>5000</v>
      </c>
      <c r="J107" s="268">
        <f t="shared" si="10"/>
        <v>4500.0000000000282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44405</v>
      </c>
      <c r="D108" s="196" t="s">
        <v>23</v>
      </c>
      <c r="E108" s="222" t="s">
        <v>28</v>
      </c>
      <c r="F108" s="222">
        <v>244.8</v>
      </c>
      <c r="G108" s="222">
        <v>243.8</v>
      </c>
      <c r="H108" s="274">
        <f>244.8-243.8</f>
        <v>1</v>
      </c>
      <c r="I108" s="197">
        <v>5000</v>
      </c>
      <c r="J108" s="268">
        <f t="shared" si="10"/>
        <v>5000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44406</v>
      </c>
      <c r="D109" s="196" t="s">
        <v>23</v>
      </c>
      <c r="E109" s="222" t="s">
        <v>28</v>
      </c>
      <c r="F109" s="222">
        <v>246.2</v>
      </c>
      <c r="G109" s="222">
        <v>247.2</v>
      </c>
      <c r="H109" s="274">
        <v>-1</v>
      </c>
      <c r="I109" s="197">
        <v>5000</v>
      </c>
      <c r="J109" s="268">
        <f t="shared" si="10"/>
        <v>-5000</v>
      </c>
      <c r="K109" s="185"/>
      <c r="V109" s="183">
        <f t="shared" si="11"/>
        <v>0</v>
      </c>
      <c r="W109" s="183">
        <f t="shared" si="12"/>
        <v>1</v>
      </c>
    </row>
    <row r="110" spans="1:23" x14ac:dyDescent="0.3">
      <c r="A110" s="184"/>
      <c r="B110" s="194">
        <v>21</v>
      </c>
      <c r="C110" s="195">
        <v>44407</v>
      </c>
      <c r="D110" s="196" t="s">
        <v>23</v>
      </c>
      <c r="E110" s="222" t="s">
        <v>28</v>
      </c>
      <c r="F110" s="222">
        <v>248</v>
      </c>
      <c r="G110" s="222">
        <v>249</v>
      </c>
      <c r="H110" s="274">
        <v>-1</v>
      </c>
      <c r="I110" s="197">
        <v>5000</v>
      </c>
      <c r="J110" s="268">
        <f t="shared" si="10"/>
        <v>-5000</v>
      </c>
      <c r="K110" s="185"/>
      <c r="V110" s="183">
        <f t="shared" si="11"/>
        <v>0</v>
      </c>
      <c r="W110" s="183">
        <f t="shared" si="12"/>
        <v>1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39749.999999999942</v>
      </c>
      <c r="K113" s="185"/>
      <c r="V113" s="183">
        <f>SUM(V90:V112)</f>
        <v>15</v>
      </c>
      <c r="W113" s="183">
        <f>SUM(W90:W112)</f>
        <v>6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700-000000000000}"/>
    <hyperlink ref="B82" r:id="rId2" xr:uid="{00000000-0004-0000-6700-000001000000}"/>
    <hyperlink ref="M4:M5" location="'JUNE 2021'!A1" display="BULLION" xr:uid="{00000000-0004-0000-6700-000002000000}"/>
    <hyperlink ref="B113" r:id="rId3" xr:uid="{00000000-0004-0000-6700-000003000000}"/>
    <hyperlink ref="M8:M9" location="'JUNE 2021'!A86" display="BASE METAL" xr:uid="{00000000-0004-0000-6700-000004000000}"/>
    <hyperlink ref="M1" location="MASTER!A1" display="Back" xr:uid="{00000000-0004-0000-6700-000005000000}"/>
    <hyperlink ref="M6:M7" location="'JUNE 2021'!A54" display="ENERGY" xr:uid="{00000000-0004-0000-6700-000006000000}"/>
  </hyperlinks>
  <pageMargins left="0" right="0" top="0" bottom="0" header="0" footer="0"/>
  <pageSetup paperSize="9" orientation="portrait" r:id="rId4"/>
  <drawing r:id="rId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W114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44409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37</v>
      </c>
      <c r="O4" s="355">
        <f>V51</f>
        <v>30</v>
      </c>
      <c r="P4" s="355">
        <f>W51</f>
        <v>6</v>
      </c>
      <c r="Q4" s="356">
        <f>N4-O4-P4</f>
        <v>1</v>
      </c>
      <c r="R4" s="343">
        <f>O4/N4</f>
        <v>0.81081081081081086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44410</v>
      </c>
      <c r="D6" s="192" t="s">
        <v>23</v>
      </c>
      <c r="E6" s="192" t="s">
        <v>24</v>
      </c>
      <c r="F6" s="193">
        <v>47850</v>
      </c>
      <c r="G6" s="193">
        <v>47800</v>
      </c>
      <c r="H6" s="192">
        <v>50</v>
      </c>
      <c r="I6" s="193">
        <v>100</v>
      </c>
      <c r="J6" s="267">
        <f>H6*I6</f>
        <v>5000</v>
      </c>
      <c r="K6" s="185"/>
      <c r="M6" s="364" t="s">
        <v>258</v>
      </c>
      <c r="N6" s="347">
        <f>COUNT(C59:C81)</f>
        <v>21</v>
      </c>
      <c r="O6" s="348">
        <f>V82</f>
        <v>18</v>
      </c>
      <c r="P6" s="348">
        <f>W82</f>
        <v>3</v>
      </c>
      <c r="Q6" s="349">
        <f>N6-O6-P6</f>
        <v>0</v>
      </c>
      <c r="R6" s="345">
        <f t="shared" ref="R6" si="0">O6/N6</f>
        <v>0.8571428571428571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44411</v>
      </c>
      <c r="D7" s="196" t="s">
        <v>23</v>
      </c>
      <c r="E7" s="196" t="s">
        <v>24</v>
      </c>
      <c r="F7" s="197">
        <v>47920</v>
      </c>
      <c r="G7" s="197">
        <v>47820</v>
      </c>
      <c r="H7" s="196">
        <v>100</v>
      </c>
      <c r="I7" s="197">
        <v>100</v>
      </c>
      <c r="J7" s="268">
        <f t="shared" ref="J7:J50" si="1">H7*I7</f>
        <v>10000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44411</v>
      </c>
      <c r="D8" s="196" t="s">
        <v>23</v>
      </c>
      <c r="E8" s="196" t="s">
        <v>22</v>
      </c>
      <c r="F8" s="197">
        <v>67600</v>
      </c>
      <c r="G8" s="197">
        <v>67512</v>
      </c>
      <c r="H8" s="196">
        <f>67600-67512</f>
        <v>88</v>
      </c>
      <c r="I8" s="197">
        <v>30</v>
      </c>
      <c r="J8" s="268">
        <f t="shared" si="1"/>
        <v>2640</v>
      </c>
      <c r="K8" s="185"/>
      <c r="M8" s="362" t="s">
        <v>877</v>
      </c>
      <c r="N8" s="347">
        <f>COUNT(C90:C112)</f>
        <v>21</v>
      </c>
      <c r="O8" s="348">
        <f>V113</f>
        <v>16</v>
      </c>
      <c r="P8" s="348">
        <f>W113</f>
        <v>5</v>
      </c>
      <c r="Q8" s="349">
        <f>N8-O8-P8</f>
        <v>0</v>
      </c>
      <c r="R8" s="345">
        <f t="shared" ref="R8" si="4">O8/N8</f>
        <v>0.76190476190476186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44412</v>
      </c>
      <c r="D9" s="196" t="s">
        <v>23</v>
      </c>
      <c r="E9" s="196" t="s">
        <v>24</v>
      </c>
      <c r="F9" s="197">
        <v>47940</v>
      </c>
      <c r="G9" s="197">
        <v>48040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44412</v>
      </c>
      <c r="D10" s="196" t="s">
        <v>23</v>
      </c>
      <c r="E10" s="196" t="s">
        <v>22</v>
      </c>
      <c r="F10" s="197">
        <v>68200</v>
      </c>
      <c r="G10" s="197">
        <v>68500</v>
      </c>
      <c r="H10" s="196">
        <v>-300</v>
      </c>
      <c r="I10" s="197">
        <v>30</v>
      </c>
      <c r="J10" s="268">
        <f t="shared" si="1"/>
        <v>-9000</v>
      </c>
      <c r="K10" s="185"/>
      <c r="M10" s="319" t="s">
        <v>300</v>
      </c>
      <c r="N10" s="321">
        <f>SUM(N4:N9)</f>
        <v>79</v>
      </c>
      <c r="O10" s="321">
        <f>SUM(O4:O9)</f>
        <v>64</v>
      </c>
      <c r="P10" s="321">
        <f>SUM(P4:P9)</f>
        <v>14</v>
      </c>
      <c r="Q10" s="341">
        <f>SUM(Q4:Q9)</f>
        <v>1</v>
      </c>
      <c r="R10" s="343">
        <f t="shared" ref="R10" si="5">O10/N10</f>
        <v>0.810126582278481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44414</v>
      </c>
      <c r="D11" s="196" t="s">
        <v>23</v>
      </c>
      <c r="E11" s="196" t="s">
        <v>24</v>
      </c>
      <c r="F11" s="197">
        <v>47500</v>
      </c>
      <c r="G11" s="197">
        <v>47400</v>
      </c>
      <c r="H11" s="196">
        <v>100</v>
      </c>
      <c r="I11" s="197">
        <v>100</v>
      </c>
      <c r="J11" s="268">
        <f t="shared" si="1"/>
        <v>10000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44414</v>
      </c>
      <c r="D12" s="196" t="s">
        <v>23</v>
      </c>
      <c r="E12" s="196" t="s">
        <v>22</v>
      </c>
      <c r="F12" s="197">
        <v>66650</v>
      </c>
      <c r="G12" s="197">
        <v>66200</v>
      </c>
      <c r="H12" s="196">
        <f>66650-66200</f>
        <v>450</v>
      </c>
      <c r="I12" s="197">
        <v>30</v>
      </c>
      <c r="J12" s="268">
        <f t="shared" si="1"/>
        <v>13500</v>
      </c>
      <c r="K12" s="185"/>
      <c r="M12" s="323" t="s">
        <v>878</v>
      </c>
      <c r="N12" s="324"/>
      <c r="O12" s="325"/>
      <c r="P12" s="332">
        <f>R10</f>
        <v>0.810126582278481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44417</v>
      </c>
      <c r="D13" s="196" t="s">
        <v>23</v>
      </c>
      <c r="E13" s="196" t="s">
        <v>24</v>
      </c>
      <c r="F13" s="197">
        <v>46150</v>
      </c>
      <c r="G13" s="197">
        <v>46250</v>
      </c>
      <c r="H13" s="196">
        <v>-100</v>
      </c>
      <c r="I13" s="197">
        <v>100</v>
      </c>
      <c r="J13" s="268">
        <f t="shared" si="1"/>
        <v>-10000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44417</v>
      </c>
      <c r="D14" s="196" t="s">
        <v>903</v>
      </c>
      <c r="E14" s="196" t="s">
        <v>22</v>
      </c>
      <c r="F14" s="197">
        <v>63750</v>
      </c>
      <c r="G14" s="197">
        <v>63500</v>
      </c>
      <c r="H14" s="196">
        <v>250</v>
      </c>
      <c r="I14" s="197">
        <v>30</v>
      </c>
      <c r="J14" s="268">
        <f t="shared" si="1"/>
        <v>7500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44418</v>
      </c>
      <c r="D15" s="196" t="s">
        <v>23</v>
      </c>
      <c r="E15" s="196" t="s">
        <v>24</v>
      </c>
      <c r="F15" s="197">
        <v>45950</v>
      </c>
      <c r="G15" s="197">
        <v>45875</v>
      </c>
      <c r="H15" s="196">
        <f>45950-45872</f>
        <v>78</v>
      </c>
      <c r="I15" s="197">
        <v>100</v>
      </c>
      <c r="J15" s="268">
        <f t="shared" si="1"/>
        <v>7800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44418</v>
      </c>
      <c r="D16" s="196" t="s">
        <v>23</v>
      </c>
      <c r="E16" s="196" t="s">
        <v>22</v>
      </c>
      <c r="F16" s="197">
        <v>62800</v>
      </c>
      <c r="G16" s="197">
        <v>62500</v>
      </c>
      <c r="H16" s="196">
        <v>300</v>
      </c>
      <c r="I16" s="197">
        <v>30</v>
      </c>
      <c r="J16" s="268">
        <f t="shared" si="1"/>
        <v>9000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44419</v>
      </c>
      <c r="D17" s="196" t="s">
        <v>23</v>
      </c>
      <c r="E17" s="196" t="s">
        <v>24</v>
      </c>
      <c r="F17" s="197">
        <v>46050</v>
      </c>
      <c r="G17" s="197">
        <v>46150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44419</v>
      </c>
      <c r="D18" s="196" t="s">
        <v>23</v>
      </c>
      <c r="E18" s="196" t="s">
        <v>22</v>
      </c>
      <c r="F18" s="197">
        <v>62500</v>
      </c>
      <c r="G18" s="197">
        <v>62800</v>
      </c>
      <c r="H18" s="196">
        <v>-300</v>
      </c>
      <c r="I18" s="197">
        <v>30</v>
      </c>
      <c r="J18" s="268">
        <f t="shared" si="1"/>
        <v>-9000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44420</v>
      </c>
      <c r="D19" s="196" t="s">
        <v>23</v>
      </c>
      <c r="E19" s="196" t="s">
        <v>24</v>
      </c>
      <c r="F19" s="197">
        <v>46400</v>
      </c>
      <c r="G19" s="197">
        <v>46200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44420</v>
      </c>
      <c r="D20" s="196" t="s">
        <v>23</v>
      </c>
      <c r="E20" s="196" t="s">
        <v>22</v>
      </c>
      <c r="F20" s="197">
        <v>62600</v>
      </c>
      <c r="G20" s="197">
        <v>62000</v>
      </c>
      <c r="H20" s="196">
        <v>600</v>
      </c>
      <c r="I20" s="197">
        <v>30</v>
      </c>
      <c r="J20" s="268">
        <f t="shared" si="1"/>
        <v>18000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44421</v>
      </c>
      <c r="D21" s="196" t="s">
        <v>23</v>
      </c>
      <c r="E21" s="196" t="s">
        <v>22</v>
      </c>
      <c r="F21" s="197">
        <v>62450</v>
      </c>
      <c r="G21" s="197">
        <v>62250</v>
      </c>
      <c r="H21" s="196">
        <v>200</v>
      </c>
      <c r="I21" s="197">
        <v>30</v>
      </c>
      <c r="J21" s="268">
        <f t="shared" si="1"/>
        <v>6000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44424</v>
      </c>
      <c r="D22" s="196" t="s">
        <v>23</v>
      </c>
      <c r="E22" s="196" t="s">
        <v>24</v>
      </c>
      <c r="F22" s="197">
        <v>46920</v>
      </c>
      <c r="G22" s="197">
        <v>46820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44424</v>
      </c>
      <c r="D23" s="196" t="s">
        <v>23</v>
      </c>
      <c r="E23" s="196" t="s">
        <v>22</v>
      </c>
      <c r="F23" s="197">
        <v>62850</v>
      </c>
      <c r="G23" s="197">
        <v>62550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44425</v>
      </c>
      <c r="D24" s="196" t="s">
        <v>23</v>
      </c>
      <c r="E24" s="196" t="s">
        <v>24</v>
      </c>
      <c r="F24" s="197">
        <v>47540</v>
      </c>
      <c r="G24" s="197">
        <v>47340</v>
      </c>
      <c r="H24" s="196">
        <f>47540-47340</f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44425</v>
      </c>
      <c r="D25" s="196" t="s">
        <v>23</v>
      </c>
      <c r="E25" s="196" t="s">
        <v>22</v>
      </c>
      <c r="F25" s="197">
        <v>63850</v>
      </c>
      <c r="G25" s="197">
        <v>63550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44426</v>
      </c>
      <c r="D26" s="196" t="s">
        <v>23</v>
      </c>
      <c r="E26" s="196" t="s">
        <v>24</v>
      </c>
      <c r="F26" s="197">
        <v>47300</v>
      </c>
      <c r="G26" s="197">
        <v>47100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44428</v>
      </c>
      <c r="D27" s="196" t="s">
        <v>23</v>
      </c>
      <c r="E27" s="196" t="s">
        <v>24</v>
      </c>
      <c r="F27" s="197">
        <v>47200</v>
      </c>
      <c r="G27" s="197">
        <v>47170</v>
      </c>
      <c r="H27" s="196">
        <f>47200-47170</f>
        <v>30</v>
      </c>
      <c r="I27" s="197">
        <v>100</v>
      </c>
      <c r="J27" s="268">
        <f t="shared" si="1"/>
        <v>3000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44428</v>
      </c>
      <c r="D28" s="196" t="s">
        <v>23</v>
      </c>
      <c r="E28" s="196" t="s">
        <v>22</v>
      </c>
      <c r="F28" s="197">
        <v>62000</v>
      </c>
      <c r="G28" s="197">
        <v>61800</v>
      </c>
      <c r="H28" s="196">
        <f>62000-61800</f>
        <v>200</v>
      </c>
      <c r="I28" s="197">
        <v>30</v>
      </c>
      <c r="J28" s="268">
        <f t="shared" si="1"/>
        <v>6000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44431</v>
      </c>
      <c r="D29" s="196" t="s">
        <v>16</v>
      </c>
      <c r="E29" s="196" t="s">
        <v>24</v>
      </c>
      <c r="F29" s="197">
        <v>47610</v>
      </c>
      <c r="G29" s="197">
        <v>47690</v>
      </c>
      <c r="H29" s="196">
        <v>80</v>
      </c>
      <c r="I29" s="197">
        <v>100</v>
      </c>
      <c r="J29" s="268">
        <f t="shared" si="1"/>
        <v>8000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44431</v>
      </c>
      <c r="D30" s="196" t="s">
        <v>23</v>
      </c>
      <c r="E30" s="196" t="s">
        <v>22</v>
      </c>
      <c r="F30" s="197">
        <v>62400</v>
      </c>
      <c r="G30" s="197">
        <v>62700</v>
      </c>
      <c r="H30" s="196">
        <v>-300</v>
      </c>
      <c r="I30" s="197">
        <v>30</v>
      </c>
      <c r="J30" s="268">
        <f t="shared" si="1"/>
        <v>-9000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44432</v>
      </c>
      <c r="D31" s="196" t="s">
        <v>16</v>
      </c>
      <c r="E31" s="196" t="s">
        <v>24</v>
      </c>
      <c r="F31" s="197">
        <v>47610</v>
      </c>
      <c r="G31" s="197">
        <v>470690</v>
      </c>
      <c r="H31" s="196">
        <v>80</v>
      </c>
      <c r="I31" s="197">
        <v>100</v>
      </c>
      <c r="J31" s="268">
        <f t="shared" si="1"/>
        <v>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44432</v>
      </c>
      <c r="D32" s="196" t="s">
        <v>16</v>
      </c>
      <c r="E32" s="196" t="s">
        <v>22</v>
      </c>
      <c r="F32" s="197">
        <v>63150</v>
      </c>
      <c r="G32" s="197">
        <v>63300</v>
      </c>
      <c r="H32" s="196">
        <v>150</v>
      </c>
      <c r="I32" s="197">
        <v>30</v>
      </c>
      <c r="J32" s="268">
        <f t="shared" si="1"/>
        <v>4500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44433</v>
      </c>
      <c r="D33" s="196" t="s">
        <v>23</v>
      </c>
      <c r="E33" s="196" t="s">
        <v>24</v>
      </c>
      <c r="F33" s="197">
        <v>47400</v>
      </c>
      <c r="G33" s="197">
        <v>47200</v>
      </c>
      <c r="H33" s="196">
        <v>200</v>
      </c>
      <c r="I33" s="197">
        <v>100</v>
      </c>
      <c r="J33" s="268">
        <f t="shared" si="1"/>
        <v>20000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44433</v>
      </c>
      <c r="D34" s="196" t="s">
        <v>23</v>
      </c>
      <c r="E34" s="196" t="s">
        <v>22</v>
      </c>
      <c r="F34" s="197">
        <v>63350</v>
      </c>
      <c r="G34" s="197">
        <v>62900</v>
      </c>
      <c r="H34" s="196">
        <f>63350-62900</f>
        <v>450</v>
      </c>
      <c r="I34" s="197">
        <v>30</v>
      </c>
      <c r="J34" s="268">
        <f t="shared" si="1"/>
        <v>13500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44434</v>
      </c>
      <c r="D35" s="196" t="s">
        <v>23</v>
      </c>
      <c r="E35" s="196" t="s">
        <v>24</v>
      </c>
      <c r="F35" s="197">
        <v>47170</v>
      </c>
      <c r="G35" s="197">
        <v>47070</v>
      </c>
      <c r="H35" s="196">
        <v>100</v>
      </c>
      <c r="I35" s="197">
        <v>100</v>
      </c>
      <c r="J35" s="268">
        <f t="shared" si="1"/>
        <v>10000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44434</v>
      </c>
      <c r="D36" s="196" t="s">
        <v>23</v>
      </c>
      <c r="E36" s="196" t="s">
        <v>22</v>
      </c>
      <c r="F36" s="197">
        <v>63050</v>
      </c>
      <c r="G36" s="197">
        <v>62650</v>
      </c>
      <c r="H36" s="196">
        <f>63050-62650</f>
        <v>400</v>
      </c>
      <c r="I36" s="197">
        <v>30</v>
      </c>
      <c r="J36" s="268">
        <f t="shared" si="1"/>
        <v>12000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44435</v>
      </c>
      <c r="D37" s="196" t="s">
        <v>23</v>
      </c>
      <c r="E37" s="196" t="s">
        <v>24</v>
      </c>
      <c r="F37" s="197">
        <v>47140</v>
      </c>
      <c r="G37" s="197">
        <v>46940</v>
      </c>
      <c r="H37" s="196">
        <v>200</v>
      </c>
      <c r="I37" s="197">
        <v>100</v>
      </c>
      <c r="J37" s="268">
        <f t="shared" si="1"/>
        <v>20000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44435</v>
      </c>
      <c r="D38" s="196" t="s">
        <v>23</v>
      </c>
      <c r="E38" s="196" t="s">
        <v>22</v>
      </c>
      <c r="F38" s="197">
        <v>5070</v>
      </c>
      <c r="G38" s="197">
        <v>5052</v>
      </c>
      <c r="H38" s="196">
        <f>5070-5052</f>
        <v>18</v>
      </c>
      <c r="I38" s="197">
        <v>30</v>
      </c>
      <c r="J38" s="268">
        <f t="shared" si="1"/>
        <v>540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44438</v>
      </c>
      <c r="D39" s="196" t="s">
        <v>23</v>
      </c>
      <c r="E39" s="196" t="s">
        <v>24</v>
      </c>
      <c r="F39" s="197">
        <v>47350</v>
      </c>
      <c r="G39" s="197">
        <v>47190</v>
      </c>
      <c r="H39" s="196">
        <f>47350-47190</f>
        <v>160</v>
      </c>
      <c r="I39" s="197">
        <v>100</v>
      </c>
      <c r="J39" s="268">
        <f t="shared" si="1"/>
        <v>16000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44438</v>
      </c>
      <c r="D40" s="196" t="s">
        <v>23</v>
      </c>
      <c r="E40" s="196" t="s">
        <v>22</v>
      </c>
      <c r="F40" s="197">
        <v>63900</v>
      </c>
      <c r="G40" s="197">
        <v>63500</v>
      </c>
      <c r="H40" s="196">
        <v>400</v>
      </c>
      <c r="I40" s="197">
        <v>30</v>
      </c>
      <c r="J40" s="268">
        <f t="shared" si="1"/>
        <v>12000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44439</v>
      </c>
      <c r="D41" s="196" t="s">
        <v>23</v>
      </c>
      <c r="E41" s="196" t="s">
        <v>24</v>
      </c>
      <c r="F41" s="197">
        <v>47150</v>
      </c>
      <c r="G41" s="197">
        <v>46950</v>
      </c>
      <c r="H41" s="196">
        <f>47150-46950</f>
        <v>200</v>
      </c>
      <c r="I41" s="197">
        <v>100</v>
      </c>
      <c r="J41" s="268">
        <f t="shared" si="1"/>
        <v>20000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44439</v>
      </c>
      <c r="D42" s="196" t="s">
        <v>23</v>
      </c>
      <c r="E42" s="196" t="s">
        <v>22</v>
      </c>
      <c r="F42" s="197">
        <v>63900</v>
      </c>
      <c r="G42" s="197">
        <v>63300</v>
      </c>
      <c r="H42" s="196">
        <v>300</v>
      </c>
      <c r="I42" s="197">
        <v>30</v>
      </c>
      <c r="J42" s="268">
        <f t="shared" si="1"/>
        <v>9000</v>
      </c>
      <c r="K42" s="185"/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282980</v>
      </c>
      <c r="K51" s="185"/>
      <c r="V51" s="183">
        <f>SUM(V6:V50)</f>
        <v>30</v>
      </c>
      <c r="W51" s="183">
        <f>SUM(W6:W50)</f>
        <v>6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44409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44410</v>
      </c>
      <c r="D59" s="192" t="s">
        <v>23</v>
      </c>
      <c r="E59" s="192" t="s">
        <v>25</v>
      </c>
      <c r="F59" s="193">
        <v>5450</v>
      </c>
      <c r="G59" s="193">
        <v>5390</v>
      </c>
      <c r="H59" s="192">
        <v>60</v>
      </c>
      <c r="I59" s="193">
        <v>100</v>
      </c>
      <c r="J59" s="267">
        <f t="shared" ref="J59:J81" si="7">I59*H59</f>
        <v>6000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44411</v>
      </c>
      <c r="D60" s="196" t="s">
        <v>23</v>
      </c>
      <c r="E60" s="196" t="s">
        <v>25</v>
      </c>
      <c r="F60" s="197">
        <v>5330</v>
      </c>
      <c r="G60" s="197">
        <v>5270</v>
      </c>
      <c r="H60" s="196">
        <v>60</v>
      </c>
      <c r="I60" s="197">
        <v>100</v>
      </c>
      <c r="J60" s="268">
        <f t="shared" si="7"/>
        <v>6000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44412</v>
      </c>
      <c r="D61" s="196" t="s">
        <v>23</v>
      </c>
      <c r="E61" s="196" t="s">
        <v>25</v>
      </c>
      <c r="F61" s="197">
        <v>5230</v>
      </c>
      <c r="G61" s="197">
        <v>5170</v>
      </c>
      <c r="H61" s="196">
        <f>5230-5170</f>
        <v>60</v>
      </c>
      <c r="I61" s="197">
        <v>100</v>
      </c>
      <c r="J61" s="268">
        <f t="shared" si="7"/>
        <v>6000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44413</v>
      </c>
      <c r="D62" s="196" t="s">
        <v>23</v>
      </c>
      <c r="E62" s="196" t="s">
        <v>25</v>
      </c>
      <c r="F62" s="197">
        <v>5115</v>
      </c>
      <c r="G62" s="197">
        <v>5055</v>
      </c>
      <c r="H62" s="196"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44414</v>
      </c>
      <c r="D63" s="196" t="s">
        <v>23</v>
      </c>
      <c r="E63" s="196" t="s">
        <v>25</v>
      </c>
      <c r="F63" s="197">
        <v>5160</v>
      </c>
      <c r="G63" s="197">
        <v>5190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44417</v>
      </c>
      <c r="D64" s="196" t="s">
        <v>23</v>
      </c>
      <c r="E64" s="196" t="s">
        <v>25</v>
      </c>
      <c r="F64" s="197">
        <v>4875</v>
      </c>
      <c r="G64" s="197">
        <v>4859</v>
      </c>
      <c r="H64" s="196">
        <f>4875-4859</f>
        <v>16</v>
      </c>
      <c r="I64" s="197">
        <v>100</v>
      </c>
      <c r="J64" s="268">
        <f t="shared" si="7"/>
        <v>1600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44418</v>
      </c>
      <c r="D65" s="196" t="s">
        <v>23</v>
      </c>
      <c r="E65" s="196" t="s">
        <v>25</v>
      </c>
      <c r="F65" s="222">
        <v>5025</v>
      </c>
      <c r="G65" s="222">
        <v>5007</v>
      </c>
      <c r="H65" s="196">
        <f>5025-5007</f>
        <v>18</v>
      </c>
      <c r="I65" s="197">
        <v>100</v>
      </c>
      <c r="J65" s="268">
        <f t="shared" si="7"/>
        <v>1800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44419</v>
      </c>
      <c r="D66" s="196" t="s">
        <v>23</v>
      </c>
      <c r="E66" s="196" t="s">
        <v>25</v>
      </c>
      <c r="F66" s="197">
        <v>5080</v>
      </c>
      <c r="G66" s="197">
        <v>5020</v>
      </c>
      <c r="H66" s="196"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44420</v>
      </c>
      <c r="D67" s="196" t="s">
        <v>23</v>
      </c>
      <c r="E67" s="196" t="s">
        <v>25</v>
      </c>
      <c r="F67" s="197">
        <v>5165</v>
      </c>
      <c r="G67" s="197">
        <v>5105</v>
      </c>
      <c r="H67" s="196">
        <f>5165-5105</f>
        <v>60</v>
      </c>
      <c r="I67" s="197">
        <v>100</v>
      </c>
      <c r="J67" s="268">
        <f t="shared" si="7"/>
        <v>6000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44421</v>
      </c>
      <c r="D68" s="196" t="s">
        <v>23</v>
      </c>
      <c r="E68" s="196" t="s">
        <v>25</v>
      </c>
      <c r="F68" s="197">
        <v>5120</v>
      </c>
      <c r="G68" s="197">
        <v>5094</v>
      </c>
      <c r="H68" s="196">
        <f>5120-5094</f>
        <v>26</v>
      </c>
      <c r="I68" s="197">
        <v>100</v>
      </c>
      <c r="J68" s="268">
        <f t="shared" si="7"/>
        <v>2600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44424</v>
      </c>
      <c r="D69" s="196" t="s">
        <v>23</v>
      </c>
      <c r="E69" s="196" t="s">
        <v>25</v>
      </c>
      <c r="F69" s="197">
        <v>5030</v>
      </c>
      <c r="G69" s="197">
        <v>4970</v>
      </c>
      <c r="H69" s="196">
        <f>5030-4970</f>
        <v>60</v>
      </c>
      <c r="I69" s="197">
        <v>100</v>
      </c>
      <c r="J69" s="268">
        <f t="shared" si="7"/>
        <v>6000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44425</v>
      </c>
      <c r="D70" s="196" t="s">
        <v>23</v>
      </c>
      <c r="E70" s="196" t="s">
        <v>25</v>
      </c>
      <c r="F70" s="197">
        <v>4975</v>
      </c>
      <c r="G70" s="197">
        <v>4935</v>
      </c>
      <c r="H70" s="196">
        <v>40</v>
      </c>
      <c r="I70" s="197">
        <v>100</v>
      </c>
      <c r="J70" s="268">
        <f t="shared" si="7"/>
        <v>4000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44426</v>
      </c>
      <c r="D71" s="196" t="s">
        <v>23</v>
      </c>
      <c r="E71" s="196" t="s">
        <v>25</v>
      </c>
      <c r="F71" s="197">
        <v>4970</v>
      </c>
      <c r="G71" s="197">
        <v>5000</v>
      </c>
      <c r="H71" s="196">
        <v>-30</v>
      </c>
      <c r="I71" s="197">
        <v>100</v>
      </c>
      <c r="J71" s="268">
        <f t="shared" si="7"/>
        <v>-3000</v>
      </c>
      <c r="K71" s="185"/>
      <c r="V71" s="183">
        <f t="shared" si="8"/>
        <v>0</v>
      </c>
      <c r="W71" s="183">
        <f t="shared" si="9"/>
        <v>1</v>
      </c>
    </row>
    <row r="72" spans="1:23" x14ac:dyDescent="0.3">
      <c r="A72" s="184"/>
      <c r="B72" s="194">
        <v>14</v>
      </c>
      <c r="C72" s="195">
        <v>44428</v>
      </c>
      <c r="D72" s="196" t="s">
        <v>23</v>
      </c>
      <c r="E72" s="196" t="s">
        <v>25</v>
      </c>
      <c r="F72" s="197">
        <v>4720</v>
      </c>
      <c r="G72" s="197">
        <v>4660</v>
      </c>
      <c r="H72" s="196">
        <f>4720-4660</f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44431</v>
      </c>
      <c r="D73" s="196" t="s">
        <v>23</v>
      </c>
      <c r="E73" s="196" t="s">
        <v>25</v>
      </c>
      <c r="F73" s="197">
        <v>4780</v>
      </c>
      <c r="G73" s="197">
        <v>4750</v>
      </c>
      <c r="H73" s="196">
        <v>30</v>
      </c>
      <c r="I73" s="197">
        <v>100</v>
      </c>
      <c r="J73" s="268">
        <f t="shared" si="7"/>
        <v>3000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44432</v>
      </c>
      <c r="D74" s="196" t="s">
        <v>16</v>
      </c>
      <c r="E74" s="196" t="s">
        <v>25</v>
      </c>
      <c r="F74" s="197">
        <v>4955</v>
      </c>
      <c r="G74" s="197">
        <v>4972</v>
      </c>
      <c r="H74" s="196">
        <f>4972-4955</f>
        <v>17</v>
      </c>
      <c r="I74" s="197">
        <v>100</v>
      </c>
      <c r="J74" s="268">
        <f t="shared" si="7"/>
        <v>1700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44433</v>
      </c>
      <c r="D75" s="196" t="s">
        <v>23</v>
      </c>
      <c r="E75" s="196" t="s">
        <v>25</v>
      </c>
      <c r="F75" s="197">
        <v>5020</v>
      </c>
      <c r="G75" s="197">
        <v>5050</v>
      </c>
      <c r="H75" s="196">
        <v>-30</v>
      </c>
      <c r="I75" s="197">
        <v>100</v>
      </c>
      <c r="J75" s="268">
        <f t="shared" si="7"/>
        <v>-3000</v>
      </c>
      <c r="K75" s="185"/>
      <c r="V75" s="183">
        <f t="shared" si="8"/>
        <v>0</v>
      </c>
      <c r="W75" s="183">
        <f t="shared" si="9"/>
        <v>1</v>
      </c>
    </row>
    <row r="76" spans="1:23" x14ac:dyDescent="0.3">
      <c r="A76" s="255"/>
      <c r="B76" s="194">
        <v>18</v>
      </c>
      <c r="C76" s="195">
        <v>44434</v>
      </c>
      <c r="D76" s="196" t="s">
        <v>23</v>
      </c>
      <c r="E76" s="196" t="s">
        <v>25</v>
      </c>
      <c r="F76" s="197">
        <v>5040</v>
      </c>
      <c r="G76" s="197">
        <v>5010</v>
      </c>
      <c r="H76" s="196">
        <v>30</v>
      </c>
      <c r="I76" s="197">
        <v>100</v>
      </c>
      <c r="J76" s="268">
        <f t="shared" si="7"/>
        <v>3000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44435</v>
      </c>
      <c r="D77" s="196" t="s">
        <v>23</v>
      </c>
      <c r="E77" s="196" t="s">
        <v>25</v>
      </c>
      <c r="F77" s="197">
        <v>5070</v>
      </c>
      <c r="G77" s="197">
        <v>5052</v>
      </c>
      <c r="H77" s="196">
        <f>5070-5052</f>
        <v>18</v>
      </c>
      <c r="I77" s="197">
        <v>100</v>
      </c>
      <c r="J77" s="268">
        <f t="shared" si="7"/>
        <v>1800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44438</v>
      </c>
      <c r="D78" s="196" t="s">
        <v>23</v>
      </c>
      <c r="E78" s="196" t="s">
        <v>25</v>
      </c>
      <c r="F78" s="197">
        <v>5020</v>
      </c>
      <c r="G78" s="197">
        <v>5003</v>
      </c>
      <c r="H78" s="196">
        <f>5020-5003</f>
        <v>17</v>
      </c>
      <c r="I78" s="197">
        <v>30</v>
      </c>
      <c r="J78" s="268">
        <f t="shared" si="7"/>
        <v>510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44439</v>
      </c>
      <c r="D79" s="196" t="s">
        <v>23</v>
      </c>
      <c r="E79" s="196" t="s">
        <v>25</v>
      </c>
      <c r="F79" s="197">
        <v>5015</v>
      </c>
      <c r="G79" s="197">
        <v>4995</v>
      </c>
      <c r="H79" s="196">
        <f>5015-4995</f>
        <v>20</v>
      </c>
      <c r="I79" s="197">
        <v>100</v>
      </c>
      <c r="J79" s="268">
        <f t="shared" si="7"/>
        <v>2000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61010</v>
      </c>
      <c r="K82" s="185"/>
      <c r="V82" s="183">
        <f>SUM(V59:V81)</f>
        <v>18</v>
      </c>
      <c r="W82" s="183">
        <f>SUM(W59:W81)</f>
        <v>3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44409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44410</v>
      </c>
      <c r="D90" s="216" t="s">
        <v>23</v>
      </c>
      <c r="E90" s="256" t="s">
        <v>28</v>
      </c>
      <c r="F90" s="256">
        <v>248.8</v>
      </c>
      <c r="G90" s="256">
        <v>248.4</v>
      </c>
      <c r="H90" s="256">
        <v>0.4</v>
      </c>
      <c r="I90" s="218">
        <v>5000</v>
      </c>
      <c r="J90" s="273">
        <f>I90*H90</f>
        <v>2000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44411</v>
      </c>
      <c r="D91" s="196" t="s">
        <v>23</v>
      </c>
      <c r="E91" s="222" t="s">
        <v>28</v>
      </c>
      <c r="F91" s="222">
        <v>245.6</v>
      </c>
      <c r="G91" s="222">
        <v>244.1</v>
      </c>
      <c r="H91" s="222">
        <f>245.6-244.1</f>
        <v>1.5</v>
      </c>
      <c r="I91" s="197">
        <v>5000</v>
      </c>
      <c r="J91" s="268">
        <f t="shared" ref="J91:J112" si="10">I91*H91</f>
        <v>7500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44412</v>
      </c>
      <c r="D92" s="196" t="s">
        <v>23</v>
      </c>
      <c r="E92" s="222" t="s">
        <v>28</v>
      </c>
      <c r="F92" s="222">
        <v>244.8</v>
      </c>
      <c r="G92" s="222">
        <v>244.35</v>
      </c>
      <c r="H92" s="222">
        <f>244.8-244.35</f>
        <v>0.45000000000001705</v>
      </c>
      <c r="I92" s="197">
        <v>5000</v>
      </c>
      <c r="J92" s="268">
        <f t="shared" si="10"/>
        <v>2250.0000000000855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44413</v>
      </c>
      <c r="D93" s="196" t="s">
        <v>23</v>
      </c>
      <c r="E93" s="222" t="s">
        <v>28</v>
      </c>
      <c r="F93" s="222">
        <v>246.1</v>
      </c>
      <c r="G93" s="222">
        <v>245.65</v>
      </c>
      <c r="H93" s="222">
        <f>246.1-245.65</f>
        <v>0.44999999999998863</v>
      </c>
      <c r="I93" s="197">
        <v>5000</v>
      </c>
      <c r="J93" s="268">
        <f t="shared" si="10"/>
        <v>2249.9999999999432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44414</v>
      </c>
      <c r="D94" s="196" t="s">
        <v>23</v>
      </c>
      <c r="E94" s="222" t="s">
        <v>28</v>
      </c>
      <c r="F94" s="222">
        <v>249</v>
      </c>
      <c r="G94" s="222">
        <v>248</v>
      </c>
      <c r="H94" s="222">
        <v>1</v>
      </c>
      <c r="I94" s="197">
        <v>5000</v>
      </c>
      <c r="J94" s="268">
        <f t="shared" si="10"/>
        <v>5000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44417</v>
      </c>
      <c r="D95" s="196" t="s">
        <v>23</v>
      </c>
      <c r="E95" s="222" t="s">
        <v>28</v>
      </c>
      <c r="F95" s="222">
        <v>245.5</v>
      </c>
      <c r="G95" s="222">
        <v>244.5</v>
      </c>
      <c r="H95" s="222">
        <v>1</v>
      </c>
      <c r="I95" s="197">
        <v>5000</v>
      </c>
      <c r="J95" s="268">
        <f t="shared" si="10"/>
        <v>5000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44418</v>
      </c>
      <c r="D96" s="196" t="s">
        <v>23</v>
      </c>
      <c r="E96" s="222" t="s">
        <v>28</v>
      </c>
      <c r="F96" s="222">
        <v>246.5</v>
      </c>
      <c r="G96" s="222">
        <v>247.5</v>
      </c>
      <c r="H96" s="274">
        <v>-1</v>
      </c>
      <c r="I96" s="197">
        <v>5000</v>
      </c>
      <c r="J96" s="268">
        <f t="shared" si="10"/>
        <v>-5000</v>
      </c>
      <c r="K96" s="185"/>
      <c r="V96" s="183">
        <f t="shared" si="11"/>
        <v>0</v>
      </c>
      <c r="W96" s="183">
        <f t="shared" si="12"/>
        <v>1</v>
      </c>
    </row>
    <row r="97" spans="1:23" x14ac:dyDescent="0.3">
      <c r="A97" s="184"/>
      <c r="B97" s="194">
        <v>8</v>
      </c>
      <c r="C97" s="195">
        <v>44419</v>
      </c>
      <c r="D97" s="196" t="s">
        <v>23</v>
      </c>
      <c r="E97" s="222" t="s">
        <v>28</v>
      </c>
      <c r="F97" s="222">
        <v>250.3</v>
      </c>
      <c r="G97" s="222">
        <v>249.9</v>
      </c>
      <c r="H97" s="222">
        <v>0.4</v>
      </c>
      <c r="I97" s="197">
        <v>5000</v>
      </c>
      <c r="J97" s="268">
        <f t="shared" si="10"/>
        <v>2000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44420</v>
      </c>
      <c r="D98" s="196" t="s">
        <v>23</v>
      </c>
      <c r="E98" s="222" t="s">
        <v>28</v>
      </c>
      <c r="F98" s="222">
        <v>251.3</v>
      </c>
      <c r="G98" s="222">
        <v>249.3</v>
      </c>
      <c r="H98" s="222">
        <v>2</v>
      </c>
      <c r="I98" s="197">
        <v>5000</v>
      </c>
      <c r="J98" s="268">
        <f t="shared" si="10"/>
        <v>10000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44421</v>
      </c>
      <c r="D99" s="196" t="s">
        <v>23</v>
      </c>
      <c r="E99" s="222" t="s">
        <v>28</v>
      </c>
      <c r="F99" s="222">
        <v>250.1</v>
      </c>
      <c r="G99" s="222">
        <v>251.1</v>
      </c>
      <c r="H99" s="222">
        <v>-1</v>
      </c>
      <c r="I99" s="197">
        <v>5000</v>
      </c>
      <c r="J99" s="268">
        <f t="shared" si="10"/>
        <v>-5000</v>
      </c>
      <c r="K99" s="185"/>
      <c r="V99" s="183">
        <f t="shared" si="11"/>
        <v>0</v>
      </c>
      <c r="W99" s="183">
        <f t="shared" si="12"/>
        <v>1</v>
      </c>
    </row>
    <row r="100" spans="1:23" x14ac:dyDescent="0.3">
      <c r="A100" s="184"/>
      <c r="B100" s="194">
        <v>11</v>
      </c>
      <c r="C100" s="195">
        <v>44424</v>
      </c>
      <c r="D100" s="196" t="s">
        <v>23</v>
      </c>
      <c r="E100" s="222" t="s">
        <v>28</v>
      </c>
      <c r="F100" s="222">
        <v>249.5</v>
      </c>
      <c r="G100" s="222">
        <v>250.5</v>
      </c>
      <c r="H100" s="274">
        <v>-1</v>
      </c>
      <c r="I100" s="197">
        <v>5000</v>
      </c>
      <c r="J100" s="268">
        <f t="shared" si="10"/>
        <v>-5000</v>
      </c>
      <c r="K100" s="185"/>
      <c r="V100" s="183">
        <f t="shared" si="11"/>
        <v>0</v>
      </c>
      <c r="W100" s="183">
        <f t="shared" si="12"/>
        <v>1</v>
      </c>
    </row>
    <row r="101" spans="1:23" x14ac:dyDescent="0.3">
      <c r="A101" s="184"/>
      <c r="B101" s="194">
        <v>12</v>
      </c>
      <c r="C101" s="195">
        <v>44425</v>
      </c>
      <c r="D101" s="196" t="s">
        <v>23</v>
      </c>
      <c r="E101" s="222" t="s">
        <v>28</v>
      </c>
      <c r="F101" s="222">
        <v>250.2</v>
      </c>
      <c r="G101" s="222">
        <v>248.2</v>
      </c>
      <c r="H101" s="274">
        <v>2</v>
      </c>
      <c r="I101" s="197">
        <v>5000</v>
      </c>
      <c r="J101" s="268">
        <f t="shared" si="10"/>
        <v>10000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44426</v>
      </c>
      <c r="D102" s="196" t="s">
        <v>16</v>
      </c>
      <c r="E102" s="222" t="s">
        <v>28</v>
      </c>
      <c r="F102" s="222">
        <v>248</v>
      </c>
      <c r="G102" s="222">
        <v>247</v>
      </c>
      <c r="H102" s="274">
        <v>-1</v>
      </c>
      <c r="I102" s="197">
        <v>5000</v>
      </c>
      <c r="J102" s="268">
        <f t="shared" si="10"/>
        <v>-5000</v>
      </c>
      <c r="K102" s="185"/>
      <c r="V102" s="183">
        <f t="shared" si="11"/>
        <v>0</v>
      </c>
      <c r="W102" s="183">
        <f t="shared" si="12"/>
        <v>1</v>
      </c>
    </row>
    <row r="103" spans="1:23" x14ac:dyDescent="0.3">
      <c r="A103" s="184"/>
      <c r="B103" s="194">
        <v>14</v>
      </c>
      <c r="C103" s="195">
        <v>44428</v>
      </c>
      <c r="D103" s="196" t="s">
        <v>23</v>
      </c>
      <c r="E103" s="222" t="s">
        <v>28</v>
      </c>
      <c r="F103" s="222">
        <v>245.6</v>
      </c>
      <c r="G103" s="222">
        <v>245</v>
      </c>
      <c r="H103" s="274">
        <v>0.6</v>
      </c>
      <c r="I103" s="197">
        <v>5000</v>
      </c>
      <c r="J103" s="268">
        <f t="shared" si="10"/>
        <v>3000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44431</v>
      </c>
      <c r="D104" s="196" t="s">
        <v>23</v>
      </c>
      <c r="E104" s="222" t="s">
        <v>28</v>
      </c>
      <c r="F104" s="223">
        <v>247.5</v>
      </c>
      <c r="G104" s="222">
        <v>247</v>
      </c>
      <c r="H104" s="274">
        <v>0.5</v>
      </c>
      <c r="I104" s="197">
        <v>5000</v>
      </c>
      <c r="J104" s="268">
        <f t="shared" si="10"/>
        <v>2500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44432</v>
      </c>
      <c r="D105" s="196" t="s">
        <v>23</v>
      </c>
      <c r="E105" s="222" t="s">
        <v>28</v>
      </c>
      <c r="F105" s="222">
        <v>247.4</v>
      </c>
      <c r="G105" s="222">
        <v>248.4</v>
      </c>
      <c r="H105" s="274">
        <v>-1</v>
      </c>
      <c r="I105" s="197">
        <v>5000</v>
      </c>
      <c r="J105" s="268">
        <f t="shared" si="10"/>
        <v>-5000</v>
      </c>
      <c r="K105" s="185"/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17</v>
      </c>
      <c r="C106" s="195">
        <v>44433</v>
      </c>
      <c r="D106" s="196" t="s">
        <v>23</v>
      </c>
      <c r="E106" s="222" t="s">
        <v>28</v>
      </c>
      <c r="F106" s="222">
        <v>248.9</v>
      </c>
      <c r="G106" s="222">
        <v>247</v>
      </c>
      <c r="H106" s="274">
        <f>248.9-247</f>
        <v>1.9000000000000057</v>
      </c>
      <c r="I106" s="197">
        <v>5000</v>
      </c>
      <c r="J106" s="268">
        <f t="shared" si="10"/>
        <v>9500.0000000000291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44434</v>
      </c>
      <c r="D107" s="196" t="s">
        <v>23</v>
      </c>
      <c r="E107" s="222" t="s">
        <v>28</v>
      </c>
      <c r="F107" s="222">
        <v>246.5</v>
      </c>
      <c r="G107" s="222">
        <v>245.9</v>
      </c>
      <c r="H107" s="274">
        <v>0.6</v>
      </c>
      <c r="I107" s="197">
        <v>5000</v>
      </c>
      <c r="J107" s="268">
        <f t="shared" si="10"/>
        <v>3000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44435</v>
      </c>
      <c r="D108" s="196" t="s">
        <v>23</v>
      </c>
      <c r="E108" s="222" t="s">
        <v>28</v>
      </c>
      <c r="F108" s="222">
        <v>246.2</v>
      </c>
      <c r="G108" s="222">
        <v>245.75</v>
      </c>
      <c r="H108" s="274">
        <f>246.2-245.75</f>
        <v>0.44999999999998863</v>
      </c>
      <c r="I108" s="197">
        <v>5000</v>
      </c>
      <c r="J108" s="268">
        <f t="shared" si="10"/>
        <v>2249.9999999999432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44438</v>
      </c>
      <c r="D109" s="196" t="s">
        <v>23</v>
      </c>
      <c r="E109" s="222" t="s">
        <v>28</v>
      </c>
      <c r="F109" s="222">
        <v>246.4</v>
      </c>
      <c r="G109" s="222">
        <v>246</v>
      </c>
      <c r="H109" s="274">
        <v>0.4</v>
      </c>
      <c r="I109" s="197">
        <v>5000</v>
      </c>
      <c r="J109" s="268">
        <f t="shared" si="10"/>
        <v>2000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>
        <v>44439</v>
      </c>
      <c r="D110" s="196" t="s">
        <v>23</v>
      </c>
      <c r="E110" s="222" t="s">
        <v>28</v>
      </c>
      <c r="F110" s="222">
        <v>244.9</v>
      </c>
      <c r="G110" s="222">
        <v>244.1</v>
      </c>
      <c r="H110" s="274">
        <f>244.9-244.1</f>
        <v>0.80000000000001137</v>
      </c>
      <c r="I110" s="197">
        <v>5000</v>
      </c>
      <c r="J110" s="268">
        <f t="shared" si="10"/>
        <v>4000.0000000000568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47250.000000000058</v>
      </c>
      <c r="K113" s="185"/>
      <c r="V113" s="183">
        <f>SUM(V90:V112)</f>
        <v>16</v>
      </c>
      <c r="W113" s="183">
        <f>SUM(W90:W112)</f>
        <v>5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800-000000000000}"/>
    <hyperlink ref="B82" r:id="rId2" xr:uid="{00000000-0004-0000-6800-000001000000}"/>
    <hyperlink ref="M4:M5" location="'AUGUST 2021'!A1" display="BULLION" xr:uid="{00000000-0004-0000-6800-000002000000}"/>
    <hyperlink ref="B113" r:id="rId3" xr:uid="{00000000-0004-0000-6800-000003000000}"/>
    <hyperlink ref="M8:M9" location="'AUGUST 2021'!A86" display="BASE METAL" xr:uid="{00000000-0004-0000-6800-000004000000}"/>
    <hyperlink ref="M1" location="MASTER!A1" display="Back" xr:uid="{00000000-0004-0000-6800-000005000000}"/>
    <hyperlink ref="M6:M7" location="'AUGUST 2021'!A54" display="ENERGY" xr:uid="{00000000-0004-0000-6800-000006000000}"/>
  </hyperlinks>
  <pageMargins left="0" right="0" top="0" bottom="0" header="0" footer="0"/>
  <pageSetup paperSize="9" orientation="portrait" r:id="rId4"/>
  <drawing r:id="rId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W114"/>
  <sheetViews>
    <sheetView topLeftCell="A31" zoomScaleNormal="100" workbookViewId="0">
      <selection activeCell="M19" sqref="M1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44440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42</v>
      </c>
      <c r="O4" s="355">
        <f>V51</f>
        <v>31</v>
      </c>
      <c r="P4" s="355">
        <f>W51</f>
        <v>5</v>
      </c>
      <c r="Q4" s="356">
        <f>N4-O4-P4</f>
        <v>6</v>
      </c>
      <c r="R4" s="343">
        <f>O4/N4</f>
        <v>0.73809523809523814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44440</v>
      </c>
      <c r="D6" s="192" t="s">
        <v>23</v>
      </c>
      <c r="E6" s="192" t="s">
        <v>24</v>
      </c>
      <c r="F6" s="193">
        <v>47150</v>
      </c>
      <c r="G6" s="193">
        <v>47050</v>
      </c>
      <c r="H6" s="192">
        <v>100</v>
      </c>
      <c r="I6" s="193">
        <v>100</v>
      </c>
      <c r="J6" s="267">
        <f>H6*I6</f>
        <v>10000</v>
      </c>
      <c r="K6" s="185"/>
      <c r="M6" s="364" t="s">
        <v>258</v>
      </c>
      <c r="N6" s="347">
        <f>COUNT(C59:C81)</f>
        <v>21</v>
      </c>
      <c r="O6" s="348">
        <f>V82</f>
        <v>18</v>
      </c>
      <c r="P6" s="348">
        <f>W82</f>
        <v>3</v>
      </c>
      <c r="Q6" s="349">
        <f>N6-O6-P6</f>
        <v>0</v>
      </c>
      <c r="R6" s="345">
        <f t="shared" ref="R6" si="0">O6/N6</f>
        <v>0.8571428571428571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44440</v>
      </c>
      <c r="D7" s="196" t="s">
        <v>23</v>
      </c>
      <c r="E7" s="196" t="s">
        <v>22</v>
      </c>
      <c r="F7" s="197">
        <v>63300</v>
      </c>
      <c r="G7" s="197">
        <v>63600</v>
      </c>
      <c r="H7" s="196">
        <v>-300</v>
      </c>
      <c r="I7" s="197">
        <v>30</v>
      </c>
      <c r="J7" s="268">
        <f t="shared" ref="J7:J50" si="1">H7*I7</f>
        <v>-9000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0</v>
      </c>
      <c r="W7" s="183">
        <f t="shared" ref="W7:W50" si="3">IF($J7&lt;0,1,0)</f>
        <v>1</v>
      </c>
    </row>
    <row r="8" spans="1:23" x14ac:dyDescent="0.3">
      <c r="A8" s="184"/>
      <c r="B8" s="194">
        <v>3</v>
      </c>
      <c r="C8" s="195">
        <v>44441</v>
      </c>
      <c r="D8" s="196" t="s">
        <v>23</v>
      </c>
      <c r="E8" s="196" t="s">
        <v>24</v>
      </c>
      <c r="F8" s="197">
        <v>47200</v>
      </c>
      <c r="G8" s="197">
        <v>47050</v>
      </c>
      <c r="H8" s="196">
        <f>47200-47050</f>
        <v>150</v>
      </c>
      <c r="I8" s="197">
        <v>100</v>
      </c>
      <c r="J8" s="268">
        <f t="shared" si="1"/>
        <v>15000</v>
      </c>
      <c r="K8" s="185"/>
      <c r="M8" s="362" t="s">
        <v>877</v>
      </c>
      <c r="N8" s="347">
        <f>COUNT(C90:C112)</f>
        <v>21</v>
      </c>
      <c r="O8" s="348">
        <f>V113</f>
        <v>16</v>
      </c>
      <c r="P8" s="348">
        <f>W113</f>
        <v>5</v>
      </c>
      <c r="Q8" s="349">
        <f>N8-O8-P8</f>
        <v>0</v>
      </c>
      <c r="R8" s="345">
        <f t="shared" ref="R8" si="4">O8/N8</f>
        <v>0.76190476190476186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44441</v>
      </c>
      <c r="D9" s="196" t="s">
        <v>23</v>
      </c>
      <c r="E9" s="196" t="s">
        <v>22</v>
      </c>
      <c r="F9" s="197">
        <v>64100</v>
      </c>
      <c r="G9" s="197">
        <v>63700</v>
      </c>
      <c r="H9" s="196">
        <f>64100-63700</f>
        <v>400</v>
      </c>
      <c r="I9" s="197">
        <v>30</v>
      </c>
      <c r="J9" s="268">
        <f t="shared" si="1"/>
        <v>12000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44442</v>
      </c>
      <c r="D10" s="196" t="s">
        <v>23</v>
      </c>
      <c r="E10" s="196" t="s">
        <v>24</v>
      </c>
      <c r="F10" s="197">
        <v>47100</v>
      </c>
      <c r="G10" s="197">
        <v>47050</v>
      </c>
      <c r="H10" s="196">
        <f>47100-47050</f>
        <v>50</v>
      </c>
      <c r="I10" s="197">
        <v>100</v>
      </c>
      <c r="J10" s="268">
        <f t="shared" si="1"/>
        <v>5000</v>
      </c>
      <c r="K10" s="185"/>
      <c r="M10" s="319" t="s">
        <v>300</v>
      </c>
      <c r="N10" s="321">
        <f>SUM(N4:N9)</f>
        <v>84</v>
      </c>
      <c r="O10" s="321">
        <f>SUM(O4:O9)</f>
        <v>65</v>
      </c>
      <c r="P10" s="321">
        <f>SUM(P4:P9)</f>
        <v>13</v>
      </c>
      <c r="Q10" s="341">
        <f>SUM(Q4:Q9)</f>
        <v>6</v>
      </c>
      <c r="R10" s="343">
        <f t="shared" ref="R10" si="5">O10/N10</f>
        <v>0.77380952380952384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44442</v>
      </c>
      <c r="D11" s="196" t="s">
        <v>23</v>
      </c>
      <c r="E11" s="196" t="s">
        <v>22</v>
      </c>
      <c r="F11" s="197">
        <v>63550</v>
      </c>
      <c r="G11" s="197">
        <v>63850</v>
      </c>
      <c r="H11" s="196">
        <v>-300</v>
      </c>
      <c r="I11" s="197">
        <v>30</v>
      </c>
      <c r="J11" s="268">
        <f t="shared" si="1"/>
        <v>-9000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44445</v>
      </c>
      <c r="D12" s="196" t="s">
        <v>23</v>
      </c>
      <c r="E12" s="196" t="s">
        <v>24</v>
      </c>
      <c r="F12" s="197">
        <v>47430</v>
      </c>
      <c r="G12" s="197">
        <v>47370</v>
      </c>
      <c r="H12" s="196">
        <f>47430-47370</f>
        <v>60</v>
      </c>
      <c r="I12" s="197">
        <v>100</v>
      </c>
      <c r="J12" s="268">
        <f t="shared" si="1"/>
        <v>6000</v>
      </c>
      <c r="K12" s="185"/>
      <c r="M12" s="323" t="s">
        <v>878</v>
      </c>
      <c r="N12" s="324"/>
      <c r="O12" s="325"/>
      <c r="P12" s="332">
        <f>R10</f>
        <v>0.77380952380952384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44445</v>
      </c>
      <c r="D13" s="196" t="s">
        <v>23</v>
      </c>
      <c r="E13" s="196" t="s">
        <v>22</v>
      </c>
      <c r="F13" s="197">
        <v>65450</v>
      </c>
      <c r="G13" s="197">
        <v>65150</v>
      </c>
      <c r="H13" s="196">
        <f>65450-65150</f>
        <v>300</v>
      </c>
      <c r="I13" s="197">
        <v>30</v>
      </c>
      <c r="J13" s="268">
        <f t="shared" si="1"/>
        <v>9000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44446</v>
      </c>
      <c r="D14" s="196" t="s">
        <v>23</v>
      </c>
      <c r="E14" s="196" t="s">
        <v>24</v>
      </c>
      <c r="F14" s="197">
        <v>47340</v>
      </c>
      <c r="G14" s="197">
        <v>47140</v>
      </c>
      <c r="H14" s="196">
        <v>200</v>
      </c>
      <c r="I14" s="197">
        <v>100</v>
      </c>
      <c r="J14" s="268">
        <f t="shared" si="1"/>
        <v>20000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44446</v>
      </c>
      <c r="D15" s="196" t="s">
        <v>23</v>
      </c>
      <c r="E15" s="196" t="s">
        <v>22</v>
      </c>
      <c r="F15" s="197">
        <v>64700</v>
      </c>
      <c r="G15" s="197">
        <v>64400</v>
      </c>
      <c r="H15" s="196">
        <v>300</v>
      </c>
      <c r="I15" s="197">
        <v>30</v>
      </c>
      <c r="J15" s="268">
        <f t="shared" si="1"/>
        <v>9000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44447</v>
      </c>
      <c r="D16" s="196" t="s">
        <v>23</v>
      </c>
      <c r="E16" s="196" t="s">
        <v>24</v>
      </c>
      <c r="F16" s="197">
        <v>47070</v>
      </c>
      <c r="G16" s="197">
        <v>46870</v>
      </c>
      <c r="H16" s="196">
        <f>47070-46870</f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44447</v>
      </c>
      <c r="D17" s="196" t="s">
        <v>23</v>
      </c>
      <c r="E17" s="196" t="s">
        <v>22</v>
      </c>
      <c r="F17" s="197">
        <v>64750</v>
      </c>
      <c r="G17" s="197">
        <v>64150</v>
      </c>
      <c r="H17" s="196">
        <v>600</v>
      </c>
      <c r="I17" s="197">
        <v>30</v>
      </c>
      <c r="J17" s="268">
        <f t="shared" si="1"/>
        <v>18000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44448</v>
      </c>
      <c r="D18" s="196" t="s">
        <v>16</v>
      </c>
      <c r="E18" s="196" t="s">
        <v>24</v>
      </c>
      <c r="F18" s="197">
        <v>46950</v>
      </c>
      <c r="G18" s="197">
        <v>47050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44448</v>
      </c>
      <c r="D19" s="196" t="s">
        <v>16</v>
      </c>
      <c r="E19" s="196" t="s">
        <v>22</v>
      </c>
      <c r="F19" s="197">
        <v>64250</v>
      </c>
      <c r="G19" s="197">
        <v>64550</v>
      </c>
      <c r="H19" s="196">
        <v>300</v>
      </c>
      <c r="I19" s="197">
        <v>30</v>
      </c>
      <c r="J19" s="268">
        <f t="shared" si="1"/>
        <v>9000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44452</v>
      </c>
      <c r="D20" s="196" t="s">
        <v>23</v>
      </c>
      <c r="E20" s="196" t="s">
        <v>24</v>
      </c>
      <c r="F20" s="197">
        <v>46880</v>
      </c>
      <c r="G20" s="197">
        <v>46780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44452</v>
      </c>
      <c r="D21" s="196" t="s">
        <v>23</v>
      </c>
      <c r="E21" s="196" t="s">
        <v>22</v>
      </c>
      <c r="F21" s="197">
        <v>63300</v>
      </c>
      <c r="G21" s="197">
        <v>63000</v>
      </c>
      <c r="H21" s="196">
        <v>300</v>
      </c>
      <c r="I21" s="197">
        <v>30</v>
      </c>
      <c r="J21" s="268">
        <f t="shared" si="1"/>
        <v>9000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44453</v>
      </c>
      <c r="D22" s="196" t="s">
        <v>23</v>
      </c>
      <c r="E22" s="196" t="s">
        <v>24</v>
      </c>
      <c r="F22" s="197">
        <v>46820</v>
      </c>
      <c r="G22" s="197">
        <v>46620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44453</v>
      </c>
      <c r="D23" s="196" t="s">
        <v>23</v>
      </c>
      <c r="E23" s="196" t="s">
        <v>22</v>
      </c>
      <c r="F23" s="197">
        <v>63050</v>
      </c>
      <c r="G23" s="197">
        <v>62630</v>
      </c>
      <c r="H23" s="196">
        <f>63050-62630</f>
        <v>420</v>
      </c>
      <c r="I23" s="197">
        <v>30</v>
      </c>
      <c r="J23" s="268">
        <f t="shared" si="1"/>
        <v>12600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44454</v>
      </c>
      <c r="D24" s="196" t="s">
        <v>23</v>
      </c>
      <c r="E24" s="196" t="s">
        <v>24</v>
      </c>
      <c r="F24" s="197">
        <v>47120</v>
      </c>
      <c r="G24" s="197">
        <v>47060</v>
      </c>
      <c r="H24" s="196">
        <f>47120-47060</f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44454</v>
      </c>
      <c r="D25" s="196" t="s">
        <v>23</v>
      </c>
      <c r="E25" s="196" t="s">
        <v>22</v>
      </c>
      <c r="F25" s="197">
        <v>63450</v>
      </c>
      <c r="G25" s="197">
        <v>63360</v>
      </c>
      <c r="H25" s="196">
        <f>63450-63360</f>
        <v>90</v>
      </c>
      <c r="I25" s="197">
        <v>30</v>
      </c>
      <c r="J25" s="268">
        <f t="shared" si="1"/>
        <v>2700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44455</v>
      </c>
      <c r="D26" s="196" t="s">
        <v>23</v>
      </c>
      <c r="E26" s="196" t="s">
        <v>24</v>
      </c>
      <c r="F26" s="197">
        <v>46520</v>
      </c>
      <c r="G26" s="197">
        <v>46320</v>
      </c>
      <c r="H26" s="196">
        <f>46520-46320</f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44455</v>
      </c>
      <c r="D27" s="196" t="s">
        <v>23</v>
      </c>
      <c r="E27" s="196" t="s">
        <v>22</v>
      </c>
      <c r="F27" s="197">
        <v>62700</v>
      </c>
      <c r="G27" s="197">
        <v>62100</v>
      </c>
      <c r="H27" s="196"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44456</v>
      </c>
      <c r="D28" s="196" t="s">
        <v>23</v>
      </c>
      <c r="E28" s="196" t="s">
        <v>24</v>
      </c>
      <c r="F28" s="197">
        <v>46120</v>
      </c>
      <c r="G28" s="197">
        <v>46020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44456</v>
      </c>
      <c r="D29" s="196" t="s">
        <v>23</v>
      </c>
      <c r="E29" s="196" t="s">
        <v>22</v>
      </c>
      <c r="F29" s="197">
        <v>61650</v>
      </c>
      <c r="G29" s="197">
        <v>61050</v>
      </c>
      <c r="H29" s="196">
        <f>61350-61050</f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44459</v>
      </c>
      <c r="D30" s="196" t="s">
        <v>23</v>
      </c>
      <c r="E30" s="196" t="s">
        <v>24</v>
      </c>
      <c r="F30" s="197">
        <v>46180</v>
      </c>
      <c r="G30" s="197">
        <v>46040</v>
      </c>
      <c r="H30" s="196">
        <f>46180-46040</f>
        <v>140</v>
      </c>
      <c r="I30" s="197">
        <v>100</v>
      </c>
      <c r="J30" s="268">
        <f t="shared" si="1"/>
        <v>14000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44459</v>
      </c>
      <c r="D31" s="196" t="s">
        <v>23</v>
      </c>
      <c r="E31" s="196" t="s">
        <v>22</v>
      </c>
      <c r="F31" s="197">
        <v>60100</v>
      </c>
      <c r="G31" s="197">
        <v>59560</v>
      </c>
      <c r="H31" s="196">
        <f>60100-59560</f>
        <v>540</v>
      </c>
      <c r="I31" s="197">
        <v>30</v>
      </c>
      <c r="J31" s="268">
        <f t="shared" si="1"/>
        <v>16200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44460</v>
      </c>
      <c r="D32" s="196" t="s">
        <v>23</v>
      </c>
      <c r="E32" s="196" t="s">
        <v>24</v>
      </c>
      <c r="F32" s="197">
        <v>46340</v>
      </c>
      <c r="G32" s="197">
        <v>46440</v>
      </c>
      <c r="H32" s="196">
        <v>-100</v>
      </c>
      <c r="I32" s="197">
        <v>100</v>
      </c>
      <c r="J32" s="268">
        <f t="shared" si="1"/>
        <v>-10000</v>
      </c>
      <c r="K32" s="185"/>
      <c r="V32" s="183">
        <f t="shared" si="2"/>
        <v>0</v>
      </c>
      <c r="W32" s="183">
        <f t="shared" si="3"/>
        <v>1</v>
      </c>
    </row>
    <row r="33" spans="1:23" x14ac:dyDescent="0.3">
      <c r="A33" s="184"/>
      <c r="B33" s="194">
        <v>28</v>
      </c>
      <c r="C33" s="195">
        <v>44460</v>
      </c>
      <c r="D33" s="196" t="s">
        <v>23</v>
      </c>
      <c r="E33" s="196" t="s">
        <v>22</v>
      </c>
      <c r="F33" s="197">
        <v>60300</v>
      </c>
      <c r="G33" s="197">
        <v>60007</v>
      </c>
      <c r="H33" s="196">
        <f>60300-60007</f>
        <v>293</v>
      </c>
      <c r="I33" s="197">
        <v>30</v>
      </c>
      <c r="J33" s="268">
        <f t="shared" si="1"/>
        <v>8790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44461</v>
      </c>
      <c r="D34" s="196" t="s">
        <v>16</v>
      </c>
      <c r="E34" s="196" t="s">
        <v>24</v>
      </c>
      <c r="F34" s="197">
        <v>46650</v>
      </c>
      <c r="G34" s="197">
        <v>46750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44461</v>
      </c>
      <c r="D35" s="196" t="s">
        <v>16</v>
      </c>
      <c r="E35" s="196" t="s">
        <v>22</v>
      </c>
      <c r="F35" s="197">
        <v>60750</v>
      </c>
      <c r="G35" s="197">
        <v>61050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44462</v>
      </c>
      <c r="D36" s="196" t="s">
        <v>23</v>
      </c>
      <c r="E36" s="196" t="s">
        <v>24</v>
      </c>
      <c r="F36" s="197">
        <v>46450</v>
      </c>
      <c r="G36" s="197">
        <v>46370</v>
      </c>
      <c r="H36" s="196">
        <f>46450-46370</f>
        <v>80</v>
      </c>
      <c r="I36" s="197">
        <v>100</v>
      </c>
      <c r="J36" s="268">
        <f t="shared" si="1"/>
        <v>8000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44462</v>
      </c>
      <c r="D37" s="196" t="s">
        <v>23</v>
      </c>
      <c r="E37" s="196" t="s">
        <v>22</v>
      </c>
      <c r="F37" s="197">
        <v>60800</v>
      </c>
      <c r="G37" s="197">
        <v>60600</v>
      </c>
      <c r="H37" s="196">
        <v>200</v>
      </c>
      <c r="I37" s="197">
        <v>30</v>
      </c>
      <c r="J37" s="268">
        <f t="shared" si="1"/>
        <v>6000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44463</v>
      </c>
      <c r="D38" s="196" t="s">
        <v>23</v>
      </c>
      <c r="E38" s="196" t="s">
        <v>24</v>
      </c>
      <c r="F38" s="197">
        <v>46070</v>
      </c>
      <c r="G38" s="197">
        <v>45930</v>
      </c>
      <c r="H38" s="196">
        <f>46070-45930</f>
        <v>140</v>
      </c>
      <c r="I38" s="197">
        <v>100</v>
      </c>
      <c r="J38" s="268">
        <f t="shared" si="1"/>
        <v>14000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44463</v>
      </c>
      <c r="D39" s="196" t="s">
        <v>23</v>
      </c>
      <c r="E39" s="196" t="s">
        <v>22</v>
      </c>
      <c r="F39" s="197">
        <v>60700</v>
      </c>
      <c r="G39" s="197">
        <v>60100</v>
      </c>
      <c r="H39" s="196">
        <v>600</v>
      </c>
      <c r="I39" s="197">
        <v>30</v>
      </c>
      <c r="J39" s="268">
        <f t="shared" si="1"/>
        <v>18000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44466</v>
      </c>
      <c r="D40" s="196" t="s">
        <v>23</v>
      </c>
      <c r="E40" s="196" t="s">
        <v>24</v>
      </c>
      <c r="F40" s="197">
        <v>45970</v>
      </c>
      <c r="G40" s="197">
        <v>46070</v>
      </c>
      <c r="H40" s="196">
        <v>-100</v>
      </c>
      <c r="I40" s="197">
        <v>100</v>
      </c>
      <c r="J40" s="268">
        <f t="shared" si="1"/>
        <v>-10000</v>
      </c>
      <c r="K40" s="185"/>
      <c r="V40" s="183">
        <f t="shared" si="2"/>
        <v>0</v>
      </c>
      <c r="W40" s="183">
        <f t="shared" si="6"/>
        <v>1</v>
      </c>
    </row>
    <row r="41" spans="1:23" x14ac:dyDescent="0.3">
      <c r="A41" s="184"/>
      <c r="B41" s="194">
        <v>36</v>
      </c>
      <c r="C41" s="195">
        <v>44466</v>
      </c>
      <c r="D41" s="196" t="s">
        <v>23</v>
      </c>
      <c r="E41" s="196" t="s">
        <v>22</v>
      </c>
      <c r="F41" s="197">
        <v>60500</v>
      </c>
      <c r="G41" s="197">
        <v>60800</v>
      </c>
      <c r="H41" s="196">
        <v>-300</v>
      </c>
      <c r="I41" s="197">
        <v>30</v>
      </c>
      <c r="J41" s="268">
        <f t="shared" si="1"/>
        <v>-9000</v>
      </c>
      <c r="K41" s="185"/>
      <c r="V41" s="183">
        <f t="shared" si="2"/>
        <v>0</v>
      </c>
      <c r="W41" s="183">
        <f t="shared" si="3"/>
        <v>1</v>
      </c>
    </row>
    <row r="42" spans="1:23" x14ac:dyDescent="0.3">
      <c r="A42" s="184"/>
      <c r="B42" s="194">
        <v>37</v>
      </c>
      <c r="C42" s="195">
        <v>44467</v>
      </c>
      <c r="D42" s="196" t="s">
        <v>23</v>
      </c>
      <c r="E42" s="196" t="s">
        <v>24</v>
      </c>
      <c r="F42" s="197">
        <v>45890</v>
      </c>
      <c r="G42" s="197">
        <v>45740</v>
      </c>
      <c r="H42" s="196">
        <f>45890-45740</f>
        <v>150</v>
      </c>
      <c r="I42" s="197">
        <v>100</v>
      </c>
      <c r="J42" s="268">
        <f t="shared" si="1"/>
        <v>15000</v>
      </c>
      <c r="K42" s="185"/>
    </row>
    <row r="43" spans="1:23" x14ac:dyDescent="0.3">
      <c r="A43" s="184"/>
      <c r="B43" s="194">
        <v>38</v>
      </c>
      <c r="C43" s="195">
        <v>44467</v>
      </c>
      <c r="D43" s="196" t="s">
        <v>23</v>
      </c>
      <c r="E43" s="196" t="s">
        <v>22</v>
      </c>
      <c r="F43" s="197">
        <v>59850</v>
      </c>
      <c r="G43" s="197">
        <v>59650</v>
      </c>
      <c r="H43" s="196">
        <v>200</v>
      </c>
      <c r="I43" s="197">
        <v>30</v>
      </c>
      <c r="J43" s="268">
        <f t="shared" si="1"/>
        <v>6000</v>
      </c>
      <c r="K43" s="185"/>
    </row>
    <row r="44" spans="1:23" x14ac:dyDescent="0.3">
      <c r="A44" s="184"/>
      <c r="B44" s="194">
        <v>39</v>
      </c>
      <c r="C44" s="195">
        <v>44468</v>
      </c>
      <c r="D44" s="196" t="s">
        <v>23</v>
      </c>
      <c r="E44" s="196" t="s">
        <v>24</v>
      </c>
      <c r="F44" s="197">
        <v>45980</v>
      </c>
      <c r="G44" s="197">
        <v>45850</v>
      </c>
      <c r="H44" s="196">
        <f>45980-45850</f>
        <v>130</v>
      </c>
      <c r="I44" s="197">
        <v>100</v>
      </c>
      <c r="J44" s="268">
        <f t="shared" si="1"/>
        <v>13000</v>
      </c>
      <c r="K44" s="185"/>
    </row>
    <row r="45" spans="1:23" x14ac:dyDescent="0.3">
      <c r="A45" s="184"/>
      <c r="B45" s="194">
        <v>40</v>
      </c>
      <c r="C45" s="195">
        <v>44468</v>
      </c>
      <c r="D45" s="196" t="s">
        <v>23</v>
      </c>
      <c r="E45" s="196" t="s">
        <v>22</v>
      </c>
      <c r="F45" s="197">
        <v>60000</v>
      </c>
      <c r="G45" s="197">
        <v>59708</v>
      </c>
      <c r="H45" s="196">
        <f>60000-59708</f>
        <v>292</v>
      </c>
      <c r="I45" s="197">
        <v>30</v>
      </c>
      <c r="J45" s="268">
        <f t="shared" si="1"/>
        <v>8760</v>
      </c>
      <c r="K45" s="185"/>
    </row>
    <row r="46" spans="1:23" x14ac:dyDescent="0.3">
      <c r="A46" s="184"/>
      <c r="B46" s="194">
        <v>41</v>
      </c>
      <c r="C46" s="195">
        <v>44469</v>
      </c>
      <c r="D46" s="196" t="s">
        <v>23</v>
      </c>
      <c r="E46" s="196" t="s">
        <v>24</v>
      </c>
      <c r="F46" s="197">
        <v>45870</v>
      </c>
      <c r="G46" s="197">
        <v>45770</v>
      </c>
      <c r="H46" s="196">
        <v>100</v>
      </c>
      <c r="I46" s="197">
        <v>100</v>
      </c>
      <c r="J46" s="268">
        <f t="shared" si="1"/>
        <v>10000</v>
      </c>
      <c r="K46" s="185"/>
    </row>
    <row r="47" spans="1:23" x14ac:dyDescent="0.3">
      <c r="A47" s="184"/>
      <c r="B47" s="194">
        <v>42</v>
      </c>
      <c r="C47" s="195">
        <v>44469</v>
      </c>
      <c r="D47" s="196" t="s">
        <v>23</v>
      </c>
      <c r="E47" s="196" t="s">
        <v>22</v>
      </c>
      <c r="F47" s="197">
        <v>58600</v>
      </c>
      <c r="G47" s="197">
        <v>58300</v>
      </c>
      <c r="H47" s="196">
        <v>300</v>
      </c>
      <c r="I47" s="197">
        <v>30</v>
      </c>
      <c r="J47" s="268">
        <f t="shared" si="1"/>
        <v>9000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379050</v>
      </c>
      <c r="K51" s="185"/>
      <c r="V51" s="183">
        <f>SUM(V6:V50)</f>
        <v>31</v>
      </c>
      <c r="W51" s="183">
        <f>SUM(W6:W50)</f>
        <v>5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44440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44440</v>
      </c>
      <c r="D59" s="192" t="s">
        <v>23</v>
      </c>
      <c r="E59" s="192" t="s">
        <v>25</v>
      </c>
      <c r="F59" s="193">
        <v>5035</v>
      </c>
      <c r="G59" s="193">
        <v>4975</v>
      </c>
      <c r="H59" s="192">
        <f>5035-4975</f>
        <v>60</v>
      </c>
      <c r="I59" s="193">
        <v>100</v>
      </c>
      <c r="J59" s="267">
        <f t="shared" ref="J59:J81" si="7">I59*H59</f>
        <v>6000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44441</v>
      </c>
      <c r="D60" s="196" t="s">
        <v>23</v>
      </c>
      <c r="E60" s="196" t="s">
        <v>25</v>
      </c>
      <c r="F60" s="197">
        <v>5040</v>
      </c>
      <c r="G60" s="197">
        <v>5070</v>
      </c>
      <c r="H60" s="196">
        <v>-30</v>
      </c>
      <c r="I60" s="197">
        <v>100</v>
      </c>
      <c r="J60" s="268">
        <f t="shared" si="7"/>
        <v>-3000</v>
      </c>
      <c r="K60" s="185"/>
      <c r="V60" s="183">
        <f t="shared" ref="V60:V81" si="8">IF($J60&gt;0,1,0)</f>
        <v>0</v>
      </c>
      <c r="W60" s="183">
        <f t="shared" ref="W60:W81" si="9">IF($J60&lt;0,1,0)</f>
        <v>1</v>
      </c>
    </row>
    <row r="61" spans="1:23" x14ac:dyDescent="0.3">
      <c r="A61" s="184"/>
      <c r="B61" s="194">
        <v>3</v>
      </c>
      <c r="C61" s="195">
        <v>44442</v>
      </c>
      <c r="D61" s="196" t="s">
        <v>23</v>
      </c>
      <c r="E61" s="196" t="s">
        <v>25</v>
      </c>
      <c r="F61" s="197">
        <v>5130</v>
      </c>
      <c r="G61" s="197">
        <v>5100</v>
      </c>
      <c r="H61" s="196">
        <v>30</v>
      </c>
      <c r="I61" s="197">
        <v>100</v>
      </c>
      <c r="J61" s="268">
        <f t="shared" si="7"/>
        <v>3000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44445</v>
      </c>
      <c r="D62" s="196" t="s">
        <v>23</v>
      </c>
      <c r="E62" s="196" t="s">
        <v>25</v>
      </c>
      <c r="F62" s="197">
        <v>5025</v>
      </c>
      <c r="G62" s="197">
        <v>5055</v>
      </c>
      <c r="H62" s="196">
        <v>-30</v>
      </c>
      <c r="I62" s="197">
        <v>100</v>
      </c>
      <c r="J62" s="268">
        <f t="shared" si="7"/>
        <v>-3000</v>
      </c>
      <c r="K62" s="185"/>
      <c r="V62" s="183">
        <f t="shared" si="8"/>
        <v>0</v>
      </c>
      <c r="W62" s="183">
        <f t="shared" si="9"/>
        <v>1</v>
      </c>
    </row>
    <row r="63" spans="1:23" x14ac:dyDescent="0.3">
      <c r="A63" s="184"/>
      <c r="B63" s="194">
        <v>5</v>
      </c>
      <c r="C63" s="195">
        <v>44446</v>
      </c>
      <c r="D63" s="196" t="s">
        <v>23</v>
      </c>
      <c r="E63" s="196" t="s">
        <v>25</v>
      </c>
      <c r="F63" s="197">
        <v>5070</v>
      </c>
      <c r="G63" s="197">
        <v>5010</v>
      </c>
      <c r="H63" s="196">
        <v>60</v>
      </c>
      <c r="I63" s="197">
        <v>100</v>
      </c>
      <c r="J63" s="268">
        <f t="shared" si="7"/>
        <v>6000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44447</v>
      </c>
      <c r="D64" s="196" t="s">
        <v>23</v>
      </c>
      <c r="E64" s="196" t="s">
        <v>25</v>
      </c>
      <c r="F64" s="197">
        <v>5105</v>
      </c>
      <c r="G64" s="197">
        <v>5085</v>
      </c>
      <c r="H64" s="196">
        <f>5105-5085</f>
        <v>20</v>
      </c>
      <c r="I64" s="197">
        <v>100</v>
      </c>
      <c r="J64" s="268">
        <f t="shared" si="7"/>
        <v>2000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44448</v>
      </c>
      <c r="D65" s="196" t="s">
        <v>23</v>
      </c>
      <c r="E65" s="196" t="s">
        <v>25</v>
      </c>
      <c r="F65" s="222">
        <v>5110</v>
      </c>
      <c r="G65" s="222">
        <v>5050</v>
      </c>
      <c r="H65" s="196">
        <f>5110-5050</f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44452</v>
      </c>
      <c r="D66" s="196" t="s">
        <v>23</v>
      </c>
      <c r="E66" s="196" t="s">
        <v>25</v>
      </c>
      <c r="F66" s="197">
        <v>5205</v>
      </c>
      <c r="G66" s="197">
        <v>5185</v>
      </c>
      <c r="H66" s="196">
        <f>5205-5185</f>
        <v>20</v>
      </c>
      <c r="I66" s="197">
        <v>100</v>
      </c>
      <c r="J66" s="268">
        <f t="shared" si="7"/>
        <v>2000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44453</v>
      </c>
      <c r="D67" s="196" t="s">
        <v>23</v>
      </c>
      <c r="E67" s="196" t="s">
        <v>25</v>
      </c>
      <c r="F67" s="197">
        <v>5235</v>
      </c>
      <c r="G67" s="197">
        <v>5190</v>
      </c>
      <c r="H67" s="196">
        <f>5235-5190</f>
        <v>45</v>
      </c>
      <c r="I67" s="197">
        <v>100</v>
      </c>
      <c r="J67" s="268">
        <f t="shared" si="7"/>
        <v>4500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44454</v>
      </c>
      <c r="D68" s="196" t="s">
        <v>23</v>
      </c>
      <c r="E68" s="196" t="s">
        <v>25</v>
      </c>
      <c r="F68" s="197">
        <v>5260</v>
      </c>
      <c r="G68" s="197">
        <v>5245</v>
      </c>
      <c r="H68" s="196">
        <f>5260-5245</f>
        <v>15</v>
      </c>
      <c r="I68" s="197">
        <v>100</v>
      </c>
      <c r="J68" s="268">
        <f t="shared" si="7"/>
        <v>1500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44455</v>
      </c>
      <c r="D69" s="196" t="s">
        <v>23</v>
      </c>
      <c r="E69" s="196" t="s">
        <v>25</v>
      </c>
      <c r="F69" s="197">
        <v>5340</v>
      </c>
      <c r="G69" s="197">
        <v>5300</v>
      </c>
      <c r="H69" s="196">
        <v>40</v>
      </c>
      <c r="I69" s="197">
        <v>100</v>
      </c>
      <c r="J69" s="268">
        <f t="shared" si="7"/>
        <v>4000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44456</v>
      </c>
      <c r="D70" s="196" t="s">
        <v>23</v>
      </c>
      <c r="E70" s="196" t="s">
        <v>25</v>
      </c>
      <c r="F70" s="197">
        <v>5305</v>
      </c>
      <c r="G70" s="197">
        <v>5285</v>
      </c>
      <c r="H70" s="196">
        <f>5305-5285</f>
        <v>20</v>
      </c>
      <c r="I70" s="197">
        <v>100</v>
      </c>
      <c r="J70" s="268">
        <f t="shared" si="7"/>
        <v>2000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44459</v>
      </c>
      <c r="D71" s="196" t="s">
        <v>23</v>
      </c>
      <c r="E71" s="196" t="s">
        <v>25</v>
      </c>
      <c r="F71" s="197">
        <v>5190</v>
      </c>
      <c r="G71" s="197">
        <v>5160</v>
      </c>
      <c r="H71" s="196">
        <v>30</v>
      </c>
      <c r="I71" s="197">
        <v>100</v>
      </c>
      <c r="J71" s="268">
        <f t="shared" si="7"/>
        <v>3000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44460</v>
      </c>
      <c r="D72" s="196" t="s">
        <v>23</v>
      </c>
      <c r="E72" s="196" t="s">
        <v>25</v>
      </c>
      <c r="F72" s="197">
        <v>5240</v>
      </c>
      <c r="G72" s="197">
        <v>5185</v>
      </c>
      <c r="H72" s="196">
        <f>5240-5185</f>
        <v>55</v>
      </c>
      <c r="I72" s="197">
        <v>100</v>
      </c>
      <c r="J72" s="268">
        <f t="shared" si="7"/>
        <v>5500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44461</v>
      </c>
      <c r="D73" s="196" t="s">
        <v>23</v>
      </c>
      <c r="E73" s="196" t="s">
        <v>25</v>
      </c>
      <c r="F73" s="197">
        <v>5295</v>
      </c>
      <c r="G73" s="197">
        <v>5280</v>
      </c>
      <c r="H73" s="196">
        <v>15</v>
      </c>
      <c r="I73" s="197">
        <v>100</v>
      </c>
      <c r="J73" s="268">
        <f t="shared" si="7"/>
        <v>1500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44462</v>
      </c>
      <c r="D74" s="196" t="s">
        <v>23</v>
      </c>
      <c r="E74" s="196" t="s">
        <v>25</v>
      </c>
      <c r="F74" s="197">
        <v>5320</v>
      </c>
      <c r="G74" s="197">
        <v>5292</v>
      </c>
      <c r="H74" s="196">
        <f>5320-5292</f>
        <v>28</v>
      </c>
      <c r="I74" s="197">
        <v>100</v>
      </c>
      <c r="J74" s="268">
        <f t="shared" si="7"/>
        <v>2800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44463</v>
      </c>
      <c r="D75" s="196" t="s">
        <v>23</v>
      </c>
      <c r="E75" s="196" t="s">
        <v>25</v>
      </c>
      <c r="F75" s="197">
        <v>5420</v>
      </c>
      <c r="G75" s="197">
        <v>5395</v>
      </c>
      <c r="H75" s="196">
        <f>5420-5395</f>
        <v>25</v>
      </c>
      <c r="I75" s="197">
        <v>100</v>
      </c>
      <c r="J75" s="268">
        <f t="shared" si="7"/>
        <v>2500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44466</v>
      </c>
      <c r="D76" s="196" t="s">
        <v>23</v>
      </c>
      <c r="E76" s="196" t="s">
        <v>25</v>
      </c>
      <c r="F76" s="197">
        <v>5550</v>
      </c>
      <c r="G76" s="197">
        <v>5580</v>
      </c>
      <c r="H76" s="196">
        <v>-30</v>
      </c>
      <c r="I76" s="197">
        <v>100</v>
      </c>
      <c r="J76" s="268">
        <f t="shared" si="7"/>
        <v>-3000</v>
      </c>
      <c r="K76" s="185"/>
      <c r="V76" s="183">
        <f t="shared" si="8"/>
        <v>0</v>
      </c>
      <c r="W76" s="183">
        <f t="shared" si="9"/>
        <v>1</v>
      </c>
    </row>
    <row r="77" spans="1:23" x14ac:dyDescent="0.3">
      <c r="A77" s="184"/>
      <c r="B77" s="194">
        <v>19</v>
      </c>
      <c r="C77" s="195">
        <v>44467</v>
      </c>
      <c r="D77" s="196" t="s">
        <v>23</v>
      </c>
      <c r="E77" s="196" t="s">
        <v>25</v>
      </c>
      <c r="F77" s="197">
        <v>5655</v>
      </c>
      <c r="G77" s="197">
        <v>5640</v>
      </c>
      <c r="H77" s="196">
        <f>5655-5640</f>
        <v>15</v>
      </c>
      <c r="I77" s="197">
        <v>100</v>
      </c>
      <c r="J77" s="268">
        <f t="shared" si="7"/>
        <v>1500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44468</v>
      </c>
      <c r="D78" s="196" t="s">
        <v>23</v>
      </c>
      <c r="E78" s="196" t="s">
        <v>25</v>
      </c>
      <c r="F78" s="197">
        <v>5550</v>
      </c>
      <c r="G78" s="197">
        <v>5520</v>
      </c>
      <c r="H78" s="196">
        <v>30</v>
      </c>
      <c r="I78" s="197">
        <v>100</v>
      </c>
      <c r="J78" s="268">
        <f t="shared" si="7"/>
        <v>3000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44469</v>
      </c>
      <c r="D79" s="196" t="s">
        <v>23</v>
      </c>
      <c r="E79" s="196" t="s">
        <v>25</v>
      </c>
      <c r="F79" s="197">
        <v>5590</v>
      </c>
      <c r="G79" s="197">
        <v>5575</v>
      </c>
      <c r="H79" s="196">
        <v>15</v>
      </c>
      <c r="I79" s="197">
        <v>100</v>
      </c>
      <c r="J79" s="268">
        <f t="shared" si="7"/>
        <v>1500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49300</v>
      </c>
      <c r="K82" s="185"/>
      <c r="V82" s="183">
        <f>SUM(V59:V81)</f>
        <v>18</v>
      </c>
      <c r="W82" s="183">
        <f>SUM(W59:W81)</f>
        <v>3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44440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44440</v>
      </c>
      <c r="D90" s="216" t="s">
        <v>23</v>
      </c>
      <c r="E90" s="256" t="s">
        <v>28</v>
      </c>
      <c r="F90" s="256">
        <v>243.3</v>
      </c>
      <c r="G90" s="256">
        <v>242.6</v>
      </c>
      <c r="H90" s="256">
        <f>243.3-242.6</f>
        <v>0.70000000000001705</v>
      </c>
      <c r="I90" s="218">
        <v>5000</v>
      </c>
      <c r="J90" s="273">
        <f>I90*H90</f>
        <v>3500.0000000000855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44441</v>
      </c>
      <c r="D91" s="196" t="s">
        <v>23</v>
      </c>
      <c r="E91" s="222" t="s">
        <v>28</v>
      </c>
      <c r="F91" s="222">
        <v>244.5</v>
      </c>
      <c r="G91" s="222">
        <v>243.5</v>
      </c>
      <c r="H91" s="222">
        <v>1</v>
      </c>
      <c r="I91" s="197">
        <v>5000</v>
      </c>
      <c r="J91" s="268">
        <f t="shared" ref="J91:J112" si="10">I91*H91</f>
        <v>5000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44442</v>
      </c>
      <c r="D92" s="196" t="s">
        <v>23</v>
      </c>
      <c r="E92" s="222" t="s">
        <v>28</v>
      </c>
      <c r="F92" s="222">
        <v>244.8</v>
      </c>
      <c r="G92" s="222">
        <v>244.2</v>
      </c>
      <c r="H92" s="222">
        <f>244.8-244.2</f>
        <v>0.60000000000002274</v>
      </c>
      <c r="I92" s="197">
        <v>5000</v>
      </c>
      <c r="J92" s="268">
        <f t="shared" si="10"/>
        <v>3000.0000000001137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44445</v>
      </c>
      <c r="D93" s="196" t="s">
        <v>23</v>
      </c>
      <c r="E93" s="222" t="s">
        <v>28</v>
      </c>
      <c r="F93" s="222">
        <v>246.3</v>
      </c>
      <c r="G93" s="222">
        <v>245.9</v>
      </c>
      <c r="H93" s="222">
        <f>246.3-245.9</f>
        <v>0.40000000000000568</v>
      </c>
      <c r="I93" s="197">
        <v>5000</v>
      </c>
      <c r="J93" s="268">
        <f t="shared" si="10"/>
        <v>2000.0000000000284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44446</v>
      </c>
      <c r="D94" s="196" t="s">
        <v>23</v>
      </c>
      <c r="E94" s="222" t="s">
        <v>28</v>
      </c>
      <c r="F94" s="222">
        <v>247.8</v>
      </c>
      <c r="G94" s="222">
        <v>248.8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44447</v>
      </c>
      <c r="D95" s="196" t="s">
        <v>16</v>
      </c>
      <c r="E95" s="222" t="s">
        <v>28</v>
      </c>
      <c r="F95" s="222">
        <v>250.6</v>
      </c>
      <c r="G95" s="222">
        <v>252.6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44448</v>
      </c>
      <c r="D96" s="196" t="s">
        <v>23</v>
      </c>
      <c r="E96" s="222" t="s">
        <v>28</v>
      </c>
      <c r="F96" s="222">
        <v>252.6</v>
      </c>
      <c r="G96" s="222">
        <v>252</v>
      </c>
      <c r="H96" s="274">
        <v>0.6</v>
      </c>
      <c r="I96" s="197">
        <v>5000</v>
      </c>
      <c r="J96" s="268">
        <f t="shared" si="10"/>
        <v>3000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44452</v>
      </c>
      <c r="D97" s="196" t="s">
        <v>23</v>
      </c>
      <c r="E97" s="222" t="s">
        <v>28</v>
      </c>
      <c r="F97" s="222">
        <v>254.6</v>
      </c>
      <c r="G97" s="222">
        <v>253.1</v>
      </c>
      <c r="H97" s="222">
        <f>254.6-253.1</f>
        <v>1.5</v>
      </c>
      <c r="I97" s="197">
        <v>5000</v>
      </c>
      <c r="J97" s="268">
        <f t="shared" si="10"/>
        <v>7500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44453</v>
      </c>
      <c r="D98" s="196" t="s">
        <v>23</v>
      </c>
      <c r="E98" s="222" t="s">
        <v>28</v>
      </c>
      <c r="F98" s="222">
        <v>250.4</v>
      </c>
      <c r="G98" s="222">
        <v>249</v>
      </c>
      <c r="H98" s="222">
        <v>1.4</v>
      </c>
      <c r="I98" s="197">
        <v>5000</v>
      </c>
      <c r="J98" s="268">
        <f t="shared" si="10"/>
        <v>7000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44454</v>
      </c>
      <c r="D99" s="196" t="s">
        <v>23</v>
      </c>
      <c r="E99" s="222" t="s">
        <v>28</v>
      </c>
      <c r="F99" s="222">
        <v>253.5</v>
      </c>
      <c r="G99" s="222">
        <v>253.1</v>
      </c>
      <c r="H99" s="222">
        <f>253.5-253.1</f>
        <v>0.40000000000000568</v>
      </c>
      <c r="I99" s="197">
        <v>5000</v>
      </c>
      <c r="J99" s="268">
        <f t="shared" si="10"/>
        <v>2000.0000000000284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44455</v>
      </c>
      <c r="D100" s="196" t="s">
        <v>23</v>
      </c>
      <c r="E100" s="222" t="s">
        <v>28</v>
      </c>
      <c r="F100" s="222">
        <v>253.7</v>
      </c>
      <c r="G100" s="222">
        <v>254.7</v>
      </c>
      <c r="H100" s="274">
        <v>-1</v>
      </c>
      <c r="I100" s="197">
        <v>5000</v>
      </c>
      <c r="J100" s="268">
        <f t="shared" si="10"/>
        <v>-5000</v>
      </c>
      <c r="K100" s="185"/>
      <c r="V100" s="183">
        <f t="shared" si="11"/>
        <v>0</v>
      </c>
      <c r="W100" s="183">
        <f t="shared" si="12"/>
        <v>1</v>
      </c>
    </row>
    <row r="101" spans="1:23" x14ac:dyDescent="0.3">
      <c r="A101" s="184"/>
      <c r="B101" s="194">
        <v>12</v>
      </c>
      <c r="C101" s="195">
        <v>44456</v>
      </c>
      <c r="D101" s="196" t="s">
        <v>23</v>
      </c>
      <c r="E101" s="222" t="s">
        <v>28</v>
      </c>
      <c r="F101" s="222">
        <v>257</v>
      </c>
      <c r="G101" s="222">
        <v>258</v>
      </c>
      <c r="H101" s="274">
        <v>-1</v>
      </c>
      <c r="I101" s="197">
        <v>5000</v>
      </c>
      <c r="J101" s="268">
        <f t="shared" si="10"/>
        <v>-5000</v>
      </c>
      <c r="K101" s="185"/>
      <c r="V101" s="183">
        <f t="shared" si="11"/>
        <v>0</v>
      </c>
      <c r="W101" s="183">
        <f t="shared" si="12"/>
        <v>1</v>
      </c>
    </row>
    <row r="102" spans="1:23" x14ac:dyDescent="0.3">
      <c r="A102" s="184"/>
      <c r="B102" s="194">
        <v>13</v>
      </c>
      <c r="C102" s="195">
        <v>44459</v>
      </c>
      <c r="D102" s="196" t="s">
        <v>16</v>
      </c>
      <c r="E102" s="222" t="s">
        <v>28</v>
      </c>
      <c r="F102" s="222">
        <v>254.3</v>
      </c>
      <c r="G102" s="222">
        <v>255.2</v>
      </c>
      <c r="H102" s="274">
        <f>255.2-254.3</f>
        <v>0.89999999999997726</v>
      </c>
      <c r="I102" s="197">
        <v>5000</v>
      </c>
      <c r="J102" s="268">
        <f t="shared" si="10"/>
        <v>4499.9999999998863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44460</v>
      </c>
      <c r="D103" s="196" t="s">
        <v>23</v>
      </c>
      <c r="E103" s="222" t="s">
        <v>28</v>
      </c>
      <c r="F103" s="222">
        <v>257.3</v>
      </c>
      <c r="G103" s="222">
        <v>255.3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44461</v>
      </c>
      <c r="D104" s="196" t="s">
        <v>16</v>
      </c>
      <c r="E104" s="222" t="s">
        <v>28</v>
      </c>
      <c r="F104" s="223">
        <v>258</v>
      </c>
      <c r="G104" s="222">
        <v>259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44462</v>
      </c>
      <c r="D105" s="196" t="s">
        <v>23</v>
      </c>
      <c r="E105" s="222" t="s">
        <v>28</v>
      </c>
      <c r="F105" s="222">
        <v>258.3</v>
      </c>
      <c r="G105" s="222">
        <v>259.3</v>
      </c>
      <c r="H105" s="274">
        <v>-1</v>
      </c>
      <c r="I105" s="197">
        <v>5000</v>
      </c>
      <c r="J105" s="268">
        <f t="shared" si="10"/>
        <v>-5000</v>
      </c>
      <c r="K105" s="185"/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17</v>
      </c>
      <c r="C106" s="195">
        <v>44463</v>
      </c>
      <c r="D106" s="196" t="s">
        <v>23</v>
      </c>
      <c r="E106" s="222" t="s">
        <v>28</v>
      </c>
      <c r="F106" s="222">
        <v>258.5</v>
      </c>
      <c r="G106" s="222">
        <v>259.3</v>
      </c>
      <c r="H106" s="274">
        <v>-1</v>
      </c>
      <c r="I106" s="197">
        <v>5000</v>
      </c>
      <c r="J106" s="268">
        <f t="shared" si="10"/>
        <v>-5000</v>
      </c>
      <c r="K106" s="185"/>
      <c r="V106" s="183">
        <f t="shared" si="11"/>
        <v>0</v>
      </c>
      <c r="W106" s="183">
        <f t="shared" si="12"/>
        <v>1</v>
      </c>
    </row>
    <row r="107" spans="1:23" x14ac:dyDescent="0.3">
      <c r="A107" s="184"/>
      <c r="B107" s="194">
        <v>18</v>
      </c>
      <c r="C107" s="195">
        <v>44466</v>
      </c>
      <c r="D107" s="196" t="s">
        <v>23</v>
      </c>
      <c r="E107" s="222" t="s">
        <v>28</v>
      </c>
      <c r="F107" s="222">
        <v>261.10000000000002</v>
      </c>
      <c r="G107" s="222">
        <v>260.60000000000002</v>
      </c>
      <c r="H107" s="274">
        <v>0.5</v>
      </c>
      <c r="I107" s="197">
        <v>5000</v>
      </c>
      <c r="J107" s="268">
        <f t="shared" si="10"/>
        <v>2500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44467</v>
      </c>
      <c r="D108" s="196" t="s">
        <v>23</v>
      </c>
      <c r="E108" s="222" t="s">
        <v>28</v>
      </c>
      <c r="F108" s="222">
        <v>259.3</v>
      </c>
      <c r="G108" s="222">
        <v>258.60000000000002</v>
      </c>
      <c r="H108" s="274">
        <f>259.3-258.6</f>
        <v>0.69999999999998863</v>
      </c>
      <c r="I108" s="197">
        <v>5000</v>
      </c>
      <c r="J108" s="268">
        <f t="shared" si="10"/>
        <v>3499.9999999999432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44468</v>
      </c>
      <c r="D109" s="196" t="s">
        <v>23</v>
      </c>
      <c r="E109" s="222" t="s">
        <v>28</v>
      </c>
      <c r="F109" s="222">
        <v>259.39999999999998</v>
      </c>
      <c r="G109" s="222">
        <v>258.39999999999998</v>
      </c>
      <c r="H109" s="274">
        <v>1</v>
      </c>
      <c r="I109" s="197">
        <v>5000</v>
      </c>
      <c r="J109" s="268">
        <f t="shared" si="10"/>
        <v>5000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>
        <v>44469</v>
      </c>
      <c r="D110" s="196" t="s">
        <v>23</v>
      </c>
      <c r="E110" s="222" t="s">
        <v>28</v>
      </c>
      <c r="F110" s="222">
        <v>255.5</v>
      </c>
      <c r="G110" s="222">
        <v>255</v>
      </c>
      <c r="H110" s="274">
        <v>0.5</v>
      </c>
      <c r="I110" s="197">
        <v>5000</v>
      </c>
      <c r="J110" s="268">
        <f t="shared" si="10"/>
        <v>2500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51000.000000000087</v>
      </c>
      <c r="K113" s="185"/>
      <c r="V113" s="183">
        <f>SUM(V90:V112)</f>
        <v>16</v>
      </c>
      <c r="W113" s="183">
        <f>SUM(W90:W112)</f>
        <v>5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900-000000000000}"/>
    <hyperlink ref="B82" r:id="rId2" xr:uid="{00000000-0004-0000-6900-000001000000}"/>
    <hyperlink ref="M4:M5" location="'SEP 2021'!A1" display="BULLION" xr:uid="{00000000-0004-0000-6900-000002000000}"/>
    <hyperlink ref="B113" r:id="rId3" xr:uid="{00000000-0004-0000-6900-000003000000}"/>
    <hyperlink ref="M8:M9" location="'SEP 2021'!A86" display="BASE METAL" xr:uid="{00000000-0004-0000-6900-000004000000}"/>
    <hyperlink ref="M1" location="MASTER!A1" display="Back" xr:uid="{00000000-0004-0000-6900-000005000000}"/>
    <hyperlink ref="M6:M7" location="'SEP 2021'!A54" display="ENERGY" xr:uid="{00000000-0004-0000-6900-000006000000}"/>
  </hyperlinks>
  <pageMargins left="0" right="0" top="0" bottom="0" header="0" footer="0"/>
  <pageSetup paperSize="9" orientation="portrait" r:id="rId4"/>
  <drawing r:id="rId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W114"/>
  <sheetViews>
    <sheetView zoomScaleNormal="100" workbookViewId="0">
      <selection activeCell="Q17" sqref="Q1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44470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40</v>
      </c>
      <c r="O4" s="355">
        <f>V51</f>
        <v>24</v>
      </c>
      <c r="P4" s="355">
        <f>W51</f>
        <v>12</v>
      </c>
      <c r="Q4" s="356">
        <f>N4-O4-P4</f>
        <v>4</v>
      </c>
      <c r="R4" s="343">
        <f>O4/N4</f>
        <v>0.6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44470</v>
      </c>
      <c r="D6" s="192" t="s">
        <v>16</v>
      </c>
      <c r="E6" s="192" t="s">
        <v>24</v>
      </c>
      <c r="F6" s="193">
        <v>43420</v>
      </c>
      <c r="G6" s="193">
        <v>46320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COUNT(C59:C81)</f>
        <v>20</v>
      </c>
      <c r="O6" s="348">
        <f>V82</f>
        <v>16</v>
      </c>
      <c r="P6" s="348">
        <f>W82</f>
        <v>4</v>
      </c>
      <c r="Q6" s="349">
        <f>N6-O6-P6</f>
        <v>0</v>
      </c>
      <c r="R6" s="345">
        <f t="shared" ref="R6" si="0">O6/N6</f>
        <v>0.8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44470</v>
      </c>
      <c r="D7" s="196" t="s">
        <v>16</v>
      </c>
      <c r="E7" s="196" t="s">
        <v>22</v>
      </c>
      <c r="F7" s="197">
        <v>59750</v>
      </c>
      <c r="G7" s="197">
        <v>60050</v>
      </c>
      <c r="H7" s="196">
        <f>60050-59750</f>
        <v>300</v>
      </c>
      <c r="I7" s="197">
        <v>30</v>
      </c>
      <c r="J7" s="268">
        <f t="shared" ref="J7:J50" si="1">H7*I7</f>
        <v>9000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44473</v>
      </c>
      <c r="D8" s="196" t="s">
        <v>23</v>
      </c>
      <c r="E8" s="196" t="s">
        <v>24</v>
      </c>
      <c r="F8" s="197">
        <v>46440</v>
      </c>
      <c r="G8" s="197">
        <v>46365</v>
      </c>
      <c r="H8" s="196">
        <f>46440-46365</f>
        <v>75</v>
      </c>
      <c r="I8" s="197">
        <v>100</v>
      </c>
      <c r="J8" s="268">
        <f t="shared" si="1"/>
        <v>7500</v>
      </c>
      <c r="K8" s="185"/>
      <c r="M8" s="362" t="s">
        <v>877</v>
      </c>
      <c r="N8" s="347">
        <f>COUNT(C90:C112)</f>
        <v>20</v>
      </c>
      <c r="O8" s="348">
        <f>V113</f>
        <v>15</v>
      </c>
      <c r="P8" s="348">
        <f>W113</f>
        <v>5</v>
      </c>
      <c r="Q8" s="349">
        <f>N8-O8-P8</f>
        <v>0</v>
      </c>
      <c r="R8" s="345">
        <f t="shared" ref="R8" si="4">O8/N8</f>
        <v>0.75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44473</v>
      </c>
      <c r="D9" s="196" t="s">
        <v>23</v>
      </c>
      <c r="E9" s="196" t="s">
        <v>22</v>
      </c>
      <c r="F9" s="197">
        <v>60300</v>
      </c>
      <c r="G9" s="197">
        <v>60100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44474</v>
      </c>
      <c r="D10" s="196" t="s">
        <v>23</v>
      </c>
      <c r="E10" s="196" t="s">
        <v>24</v>
      </c>
      <c r="F10" s="197">
        <v>46670</v>
      </c>
      <c r="G10" s="197">
        <v>46600</v>
      </c>
      <c r="H10" s="196">
        <v>70</v>
      </c>
      <c r="I10" s="197">
        <v>100</v>
      </c>
      <c r="J10" s="268">
        <f t="shared" si="1"/>
        <v>7000</v>
      </c>
      <c r="K10" s="185"/>
      <c r="M10" s="319" t="s">
        <v>300</v>
      </c>
      <c r="N10" s="321">
        <f>SUM(N4:N9)</f>
        <v>80</v>
      </c>
      <c r="O10" s="321">
        <f>SUM(O4:O9)</f>
        <v>55</v>
      </c>
      <c r="P10" s="321">
        <f>SUM(P4:P9)</f>
        <v>21</v>
      </c>
      <c r="Q10" s="341">
        <f>SUM(Q4:Q9)</f>
        <v>4</v>
      </c>
      <c r="R10" s="343">
        <f t="shared" ref="R10" si="5">O10/N10</f>
        <v>0.6875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44474</v>
      </c>
      <c r="D11" s="196" t="s">
        <v>23</v>
      </c>
      <c r="E11" s="196" t="s">
        <v>22</v>
      </c>
      <c r="F11" s="197">
        <v>60800</v>
      </c>
      <c r="G11" s="197">
        <v>60670</v>
      </c>
      <c r="H11" s="196">
        <f>60800-60670</f>
        <v>130</v>
      </c>
      <c r="I11" s="197">
        <v>30</v>
      </c>
      <c r="J11" s="268">
        <f t="shared" si="1"/>
        <v>3900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44475</v>
      </c>
      <c r="D12" s="196" t="s">
        <v>23</v>
      </c>
      <c r="E12" s="196" t="s">
        <v>24</v>
      </c>
      <c r="F12" s="197">
        <v>46700</v>
      </c>
      <c r="G12" s="197">
        <v>46800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0.6875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44475</v>
      </c>
      <c r="D13" s="196" t="s">
        <v>23</v>
      </c>
      <c r="E13" s="196" t="s">
        <v>22</v>
      </c>
      <c r="F13" s="197">
        <v>60600</v>
      </c>
      <c r="G13" s="197">
        <v>60900</v>
      </c>
      <c r="H13" s="196">
        <v>-300</v>
      </c>
      <c r="I13" s="197">
        <v>30</v>
      </c>
      <c r="J13" s="268">
        <f t="shared" si="1"/>
        <v>-9000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44476</v>
      </c>
      <c r="D14" s="196" t="s">
        <v>23</v>
      </c>
      <c r="E14" s="196" t="s">
        <v>24</v>
      </c>
      <c r="F14" s="197">
        <v>46870</v>
      </c>
      <c r="G14" s="197">
        <v>46770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44476</v>
      </c>
      <c r="D15" s="196" t="s">
        <v>23</v>
      </c>
      <c r="E15" s="196" t="s">
        <v>22</v>
      </c>
      <c r="F15" s="197">
        <v>61500</v>
      </c>
      <c r="G15" s="197">
        <v>60900</v>
      </c>
      <c r="H15" s="196">
        <f>61500-60900</f>
        <v>600</v>
      </c>
      <c r="I15" s="197">
        <v>30</v>
      </c>
      <c r="J15" s="268">
        <f t="shared" si="1"/>
        <v>18000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44477</v>
      </c>
      <c r="D16" s="196" t="s">
        <v>23</v>
      </c>
      <c r="E16" s="196" t="s">
        <v>24</v>
      </c>
      <c r="F16" s="197">
        <v>46940</v>
      </c>
      <c r="G16" s="197">
        <v>47040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44477</v>
      </c>
      <c r="D17" s="196" t="s">
        <v>23</v>
      </c>
      <c r="E17" s="196" t="s">
        <v>22</v>
      </c>
      <c r="F17" s="197">
        <v>61100</v>
      </c>
      <c r="G17" s="197">
        <v>61400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44480</v>
      </c>
      <c r="D18" s="196" t="s">
        <v>23</v>
      </c>
      <c r="E18" s="196" t="s">
        <v>24</v>
      </c>
      <c r="F18" s="197">
        <v>47000</v>
      </c>
      <c r="G18" s="197">
        <v>46800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44480</v>
      </c>
      <c r="D19" s="196" t="s">
        <v>23</v>
      </c>
      <c r="E19" s="196" t="s">
        <v>22</v>
      </c>
      <c r="F19" s="197">
        <v>61550</v>
      </c>
      <c r="G19" s="197">
        <v>60950</v>
      </c>
      <c r="H19" s="196">
        <v>600</v>
      </c>
      <c r="I19" s="197">
        <v>30</v>
      </c>
      <c r="J19" s="268">
        <f t="shared" si="1"/>
        <v>18000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44481</v>
      </c>
      <c r="D20" s="196" t="s">
        <v>23</v>
      </c>
      <c r="E20" s="196" t="s">
        <v>24</v>
      </c>
      <c r="F20" s="197">
        <v>47300</v>
      </c>
      <c r="G20" s="197">
        <v>47100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44481</v>
      </c>
      <c r="D21" s="196" t="s">
        <v>23</v>
      </c>
      <c r="E21" s="196" t="s">
        <v>22</v>
      </c>
      <c r="F21" s="197">
        <v>61850</v>
      </c>
      <c r="G21" s="197">
        <v>61250</v>
      </c>
      <c r="H21" s="196">
        <v>600</v>
      </c>
      <c r="I21" s="197">
        <v>100</v>
      </c>
      <c r="J21" s="268">
        <f t="shared" si="1"/>
        <v>60000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44482</v>
      </c>
      <c r="D22" s="196" t="s">
        <v>23</v>
      </c>
      <c r="E22" s="196" t="s">
        <v>24</v>
      </c>
      <c r="F22" s="197">
        <v>47350</v>
      </c>
      <c r="G22" s="197">
        <v>47450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44482</v>
      </c>
      <c r="D23" s="196" t="s">
        <v>23</v>
      </c>
      <c r="E23" s="196" t="s">
        <v>22</v>
      </c>
      <c r="F23" s="197">
        <v>62150</v>
      </c>
      <c r="G23" s="197">
        <v>62450</v>
      </c>
      <c r="H23" s="196">
        <v>-300</v>
      </c>
      <c r="I23" s="197">
        <v>30</v>
      </c>
      <c r="J23" s="268">
        <f t="shared" si="1"/>
        <v>-9000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44483</v>
      </c>
      <c r="D24" s="196" t="s">
        <v>23</v>
      </c>
      <c r="E24" s="196" t="s">
        <v>24</v>
      </c>
      <c r="F24" s="197">
        <v>48020</v>
      </c>
      <c r="G24" s="197">
        <v>47960</v>
      </c>
      <c r="H24" s="196">
        <f>48020-47960</f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44483</v>
      </c>
      <c r="D25" s="196" t="s">
        <v>23</v>
      </c>
      <c r="E25" s="196" t="s">
        <v>22</v>
      </c>
      <c r="F25" s="197">
        <v>63400</v>
      </c>
      <c r="G25" s="197">
        <v>63230</v>
      </c>
      <c r="H25" s="196">
        <f>63400-63230</f>
        <v>170</v>
      </c>
      <c r="I25" s="197">
        <v>30</v>
      </c>
      <c r="J25" s="268">
        <f t="shared" si="1"/>
        <v>5100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44487</v>
      </c>
      <c r="D26" s="196" t="s">
        <v>23</v>
      </c>
      <c r="E26" s="196" t="s">
        <v>24</v>
      </c>
      <c r="F26" s="197">
        <v>47200</v>
      </c>
      <c r="G26" s="197">
        <v>47300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44487</v>
      </c>
      <c r="D27" s="196" t="s">
        <v>23</v>
      </c>
      <c r="E27" s="196" t="s">
        <v>22</v>
      </c>
      <c r="F27" s="197">
        <v>63400</v>
      </c>
      <c r="G27" s="197">
        <v>63700</v>
      </c>
      <c r="H27" s="196">
        <v>-300</v>
      </c>
      <c r="I27" s="197">
        <v>30</v>
      </c>
      <c r="J27" s="268">
        <f t="shared" si="1"/>
        <v>-9000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44488</v>
      </c>
      <c r="D28" s="196" t="s">
        <v>23</v>
      </c>
      <c r="E28" s="196" t="s">
        <v>24</v>
      </c>
      <c r="F28" s="197">
        <v>47470</v>
      </c>
      <c r="G28" s="197">
        <v>47570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44488</v>
      </c>
      <c r="D29" s="196" t="s">
        <v>23</v>
      </c>
      <c r="E29" s="196" t="s">
        <v>22</v>
      </c>
      <c r="F29" s="197">
        <v>64250</v>
      </c>
      <c r="G29" s="197">
        <v>64120</v>
      </c>
      <c r="H29" s="196">
        <v>130</v>
      </c>
      <c r="I29" s="197">
        <v>30</v>
      </c>
      <c r="J29" s="268">
        <f t="shared" si="1"/>
        <v>3900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44489</v>
      </c>
      <c r="D30" s="196" t="s">
        <v>16</v>
      </c>
      <c r="E30" s="196" t="s">
        <v>24</v>
      </c>
      <c r="F30" s="197">
        <v>47380</v>
      </c>
      <c r="G30" s="197">
        <v>47580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44489</v>
      </c>
      <c r="D31" s="196" t="s">
        <v>16</v>
      </c>
      <c r="E31" s="196" t="s">
        <v>22</v>
      </c>
      <c r="F31" s="197">
        <v>64600</v>
      </c>
      <c r="G31" s="197">
        <v>65000</v>
      </c>
      <c r="H31" s="196">
        <f>65000-64600</f>
        <v>400</v>
      </c>
      <c r="I31" s="197">
        <v>30</v>
      </c>
      <c r="J31" s="268">
        <f t="shared" si="1"/>
        <v>12000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44490</v>
      </c>
      <c r="D32" s="196" t="s">
        <v>16</v>
      </c>
      <c r="E32" s="196" t="s">
        <v>24</v>
      </c>
      <c r="F32" s="197">
        <v>47500</v>
      </c>
      <c r="G32" s="197">
        <v>47600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44490</v>
      </c>
      <c r="D33" s="196" t="s">
        <v>16</v>
      </c>
      <c r="E33" s="196" t="s">
        <v>22</v>
      </c>
      <c r="F33" s="197">
        <v>65350</v>
      </c>
      <c r="G33" s="197">
        <v>65630</v>
      </c>
      <c r="H33" s="196">
        <v>280</v>
      </c>
      <c r="I33" s="197">
        <v>30</v>
      </c>
      <c r="J33" s="268">
        <f t="shared" si="1"/>
        <v>8400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44491</v>
      </c>
      <c r="D34" s="196" t="s">
        <v>16</v>
      </c>
      <c r="E34" s="196" t="s">
        <v>24</v>
      </c>
      <c r="F34" s="197">
        <v>47680</v>
      </c>
      <c r="G34" s="197">
        <v>47880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44491</v>
      </c>
      <c r="D35" s="196" t="s">
        <v>16</v>
      </c>
      <c r="E35" s="196" t="s">
        <v>22</v>
      </c>
      <c r="F35" s="197">
        <v>65550</v>
      </c>
      <c r="G35" s="197">
        <v>65960</v>
      </c>
      <c r="H35" s="196">
        <f>65960-65550</f>
        <v>410</v>
      </c>
      <c r="I35" s="197">
        <v>30</v>
      </c>
      <c r="J35" s="268">
        <f t="shared" si="1"/>
        <v>12300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44494</v>
      </c>
      <c r="D36" s="196" t="s">
        <v>23</v>
      </c>
      <c r="E36" s="196" t="s">
        <v>24</v>
      </c>
      <c r="F36" s="197">
        <v>48030</v>
      </c>
      <c r="G36" s="197">
        <v>48130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44494</v>
      </c>
      <c r="D37" s="196" t="s">
        <v>23</v>
      </c>
      <c r="E37" s="196" t="s">
        <v>22</v>
      </c>
      <c r="F37" s="197">
        <v>65950</v>
      </c>
      <c r="G37" s="197">
        <v>66250</v>
      </c>
      <c r="H37" s="196"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6"/>
        <v>1</v>
      </c>
    </row>
    <row r="38" spans="1:23" x14ac:dyDescent="0.3">
      <c r="A38" s="184"/>
      <c r="B38" s="194">
        <v>33</v>
      </c>
      <c r="C38" s="195">
        <v>44495</v>
      </c>
      <c r="D38" s="196" t="s">
        <v>23</v>
      </c>
      <c r="E38" s="196" t="s">
        <v>24</v>
      </c>
      <c r="F38" s="197">
        <v>48130</v>
      </c>
      <c r="G38" s="197">
        <v>47930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44495</v>
      </c>
      <c r="D39" s="196" t="s">
        <v>23</v>
      </c>
      <c r="E39" s="196" t="s">
        <v>22</v>
      </c>
      <c r="F39" s="197">
        <v>65700</v>
      </c>
      <c r="G39" s="197">
        <v>65400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44496</v>
      </c>
      <c r="D40" s="196" t="s">
        <v>16</v>
      </c>
      <c r="E40" s="196" t="s">
        <v>24</v>
      </c>
      <c r="F40" s="197">
        <v>4700</v>
      </c>
      <c r="G40" s="197">
        <v>47900</v>
      </c>
      <c r="H40" s="196">
        <v>200</v>
      </c>
      <c r="I40" s="197">
        <v>100</v>
      </c>
      <c r="J40" s="268">
        <f t="shared" si="1"/>
        <v>20000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44496</v>
      </c>
      <c r="D41" s="196" t="s">
        <v>23</v>
      </c>
      <c r="E41" s="196" t="s">
        <v>22</v>
      </c>
      <c r="F41" s="197">
        <v>64750</v>
      </c>
      <c r="G41" s="197">
        <v>65150</v>
      </c>
      <c r="H41" s="196">
        <f>65150-64750</f>
        <v>400</v>
      </c>
      <c r="I41" s="197">
        <v>30</v>
      </c>
      <c r="J41" s="268">
        <f t="shared" si="1"/>
        <v>12000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44497</v>
      </c>
      <c r="D42" s="196" t="s">
        <v>23</v>
      </c>
      <c r="E42" s="196" t="s">
        <v>24</v>
      </c>
      <c r="F42" s="197">
        <v>47970</v>
      </c>
      <c r="G42" s="197">
        <v>47900</v>
      </c>
      <c r="H42" s="196">
        <v>70</v>
      </c>
      <c r="I42" s="197">
        <v>100</v>
      </c>
      <c r="J42" s="268">
        <f t="shared" si="1"/>
        <v>7000</v>
      </c>
      <c r="K42" s="185"/>
    </row>
    <row r="43" spans="1:23" x14ac:dyDescent="0.3">
      <c r="A43" s="184"/>
      <c r="B43" s="194">
        <v>38</v>
      </c>
      <c r="C43" s="195">
        <v>44497</v>
      </c>
      <c r="D43" s="196" t="s">
        <v>23</v>
      </c>
      <c r="E43" s="196" t="s">
        <v>22</v>
      </c>
      <c r="F43" s="197">
        <v>65000</v>
      </c>
      <c r="G43" s="197">
        <v>64850</v>
      </c>
      <c r="H43" s="196">
        <f>65000-64850</f>
        <v>150</v>
      </c>
      <c r="I43" s="197">
        <v>30</v>
      </c>
      <c r="J43" s="268">
        <f t="shared" si="1"/>
        <v>4500</v>
      </c>
      <c r="K43" s="185"/>
    </row>
    <row r="44" spans="1:23" x14ac:dyDescent="0.3">
      <c r="A44" s="184"/>
      <c r="B44" s="194">
        <v>39</v>
      </c>
      <c r="C44" s="195">
        <v>44498</v>
      </c>
      <c r="D44" s="196" t="s">
        <v>16</v>
      </c>
      <c r="E44" s="196" t="s">
        <v>24</v>
      </c>
      <c r="F44" s="197">
        <v>47850</v>
      </c>
      <c r="G44" s="197">
        <v>47910</v>
      </c>
      <c r="H44" s="196">
        <v>60</v>
      </c>
      <c r="I44" s="197">
        <v>100</v>
      </c>
      <c r="J44" s="268">
        <f t="shared" si="1"/>
        <v>6000</v>
      </c>
      <c r="K44" s="185"/>
    </row>
    <row r="45" spans="1:23" x14ac:dyDescent="0.3">
      <c r="A45" s="184"/>
      <c r="B45" s="194">
        <v>40</v>
      </c>
      <c r="C45" s="195">
        <v>44498</v>
      </c>
      <c r="D45" s="196" t="s">
        <v>23</v>
      </c>
      <c r="E45" s="196" t="s">
        <v>22</v>
      </c>
      <c r="F45" s="197">
        <v>64500</v>
      </c>
      <c r="G45" s="197">
        <v>64800</v>
      </c>
      <c r="H45" s="196">
        <f>64800-64500</f>
        <v>300</v>
      </c>
      <c r="I45" s="197">
        <v>30</v>
      </c>
      <c r="J45" s="268">
        <f t="shared" si="1"/>
        <v>9000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249600</v>
      </c>
      <c r="K51" s="185"/>
      <c r="V51" s="183">
        <f>SUM(V6:V50)</f>
        <v>24</v>
      </c>
      <c r="W51" s="183">
        <f>SUM(W6:W50)</f>
        <v>12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44470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44470</v>
      </c>
      <c r="D59" s="192" t="s">
        <v>23</v>
      </c>
      <c r="E59" s="192" t="s">
        <v>25</v>
      </c>
      <c r="F59" s="193">
        <v>5535</v>
      </c>
      <c r="G59" s="193">
        <v>5509</v>
      </c>
      <c r="H59" s="192">
        <f>5535-5509</f>
        <v>26</v>
      </c>
      <c r="I59" s="193">
        <v>100</v>
      </c>
      <c r="J59" s="267">
        <f t="shared" ref="J59:J81" si="7">I59*H59</f>
        <v>2600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44473</v>
      </c>
      <c r="D60" s="196" t="s">
        <v>23</v>
      </c>
      <c r="E60" s="196" t="s">
        <v>25</v>
      </c>
      <c r="F60" s="197">
        <v>5640</v>
      </c>
      <c r="G60" s="197">
        <v>5670</v>
      </c>
      <c r="H60" s="196">
        <v>-30</v>
      </c>
      <c r="I60" s="197">
        <v>100</v>
      </c>
      <c r="J60" s="268">
        <f t="shared" si="7"/>
        <v>-3000</v>
      </c>
      <c r="K60" s="185"/>
      <c r="V60" s="183">
        <f t="shared" ref="V60:V81" si="8">IF($J60&gt;0,1,0)</f>
        <v>0</v>
      </c>
      <c r="W60" s="183">
        <f t="shared" ref="W60:W81" si="9">IF($J60&lt;0,1,0)</f>
        <v>1</v>
      </c>
    </row>
    <row r="61" spans="1:23" x14ac:dyDescent="0.3">
      <c r="A61" s="184"/>
      <c r="B61" s="194">
        <v>3</v>
      </c>
      <c r="C61" s="195">
        <v>44474</v>
      </c>
      <c r="D61" s="196" t="s">
        <v>23</v>
      </c>
      <c r="E61" s="196" t="s">
        <v>25</v>
      </c>
      <c r="F61" s="197">
        <v>5805</v>
      </c>
      <c r="G61" s="197">
        <v>5835</v>
      </c>
      <c r="H61" s="196">
        <v>-30</v>
      </c>
      <c r="I61" s="197">
        <v>100</v>
      </c>
      <c r="J61" s="268">
        <f t="shared" si="7"/>
        <v>-3000</v>
      </c>
      <c r="K61" s="185"/>
      <c r="V61" s="183">
        <f t="shared" si="8"/>
        <v>0</v>
      </c>
      <c r="W61" s="183">
        <f t="shared" si="9"/>
        <v>1</v>
      </c>
    </row>
    <row r="62" spans="1:23" x14ac:dyDescent="0.3">
      <c r="A62" s="184"/>
      <c r="B62" s="194">
        <v>4</v>
      </c>
      <c r="C62" s="195">
        <v>44475</v>
      </c>
      <c r="D62" s="196" t="s">
        <v>23</v>
      </c>
      <c r="E62" s="196" t="s">
        <v>25</v>
      </c>
      <c r="F62" s="197">
        <v>5890</v>
      </c>
      <c r="G62" s="197">
        <v>5830</v>
      </c>
      <c r="H62" s="196"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44476</v>
      </c>
      <c r="D63" s="196" t="s">
        <v>23</v>
      </c>
      <c r="E63" s="196" t="s">
        <v>25</v>
      </c>
      <c r="F63" s="197">
        <v>5690</v>
      </c>
      <c r="G63" s="197">
        <v>5720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44477</v>
      </c>
      <c r="D64" s="196" t="s">
        <v>23</v>
      </c>
      <c r="E64" s="196" t="s">
        <v>25</v>
      </c>
      <c r="F64" s="197">
        <v>5930</v>
      </c>
      <c r="G64" s="197">
        <v>5870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44480</v>
      </c>
      <c r="D65" s="196" t="s">
        <v>23</v>
      </c>
      <c r="E65" s="196" t="s">
        <v>25</v>
      </c>
      <c r="F65" s="222">
        <v>6125</v>
      </c>
      <c r="G65" s="222">
        <v>6065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44481</v>
      </c>
      <c r="D66" s="196" t="s">
        <v>23</v>
      </c>
      <c r="E66" s="196" t="s">
        <v>25</v>
      </c>
      <c r="F66" s="197">
        <v>6115</v>
      </c>
      <c r="G66" s="197">
        <v>6055</v>
      </c>
      <c r="H66" s="196"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44482</v>
      </c>
      <c r="D67" s="196" t="s">
        <v>23</v>
      </c>
      <c r="E67" s="196" t="s">
        <v>25</v>
      </c>
      <c r="F67" s="197">
        <v>6065</v>
      </c>
      <c r="G67" s="197">
        <v>6035</v>
      </c>
      <c r="H67" s="196">
        <v>30</v>
      </c>
      <c r="I67" s="197">
        <v>100</v>
      </c>
      <c r="J67" s="268">
        <f t="shared" si="7"/>
        <v>3000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44483</v>
      </c>
      <c r="D68" s="196" t="s">
        <v>16</v>
      </c>
      <c r="E68" s="196" t="s">
        <v>25</v>
      </c>
      <c r="F68" s="197">
        <v>6125</v>
      </c>
      <c r="G68" s="197">
        <v>6147</v>
      </c>
      <c r="H68" s="196">
        <f>6147-6125</f>
        <v>22</v>
      </c>
      <c r="I68" s="197">
        <v>100</v>
      </c>
      <c r="J68" s="268">
        <f t="shared" si="7"/>
        <v>2200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44487</v>
      </c>
      <c r="D69" s="196" t="s">
        <v>23</v>
      </c>
      <c r="E69" s="196" t="s">
        <v>25</v>
      </c>
      <c r="F69" s="197">
        <v>6315</v>
      </c>
      <c r="G69" s="197">
        <v>6285</v>
      </c>
      <c r="H69" s="196">
        <f>6315-6285</f>
        <v>30</v>
      </c>
      <c r="I69" s="197">
        <v>100</v>
      </c>
      <c r="J69" s="268">
        <f t="shared" si="7"/>
        <v>3000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44488</v>
      </c>
      <c r="D70" s="196" t="s">
        <v>23</v>
      </c>
      <c r="E70" s="196" t="s">
        <v>25</v>
      </c>
      <c r="F70" s="197">
        <v>6230</v>
      </c>
      <c r="G70" s="197">
        <v>6170</v>
      </c>
      <c r="H70" s="196"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44489</v>
      </c>
      <c r="D71" s="196" t="s">
        <v>23</v>
      </c>
      <c r="E71" s="196" t="s">
        <v>25</v>
      </c>
      <c r="F71" s="197">
        <v>6130</v>
      </c>
      <c r="G71" s="197">
        <v>6070</v>
      </c>
      <c r="H71" s="196">
        <v>60</v>
      </c>
      <c r="I71" s="197">
        <v>100</v>
      </c>
      <c r="J71" s="268">
        <f t="shared" si="7"/>
        <v>6000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44490</v>
      </c>
      <c r="D72" s="196" t="s">
        <v>23</v>
      </c>
      <c r="E72" s="196" t="s">
        <v>25</v>
      </c>
      <c r="F72" s="197">
        <v>6220</v>
      </c>
      <c r="G72" s="197">
        <v>6160</v>
      </c>
      <c r="H72" s="196">
        <f>6220-6160</f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44491</v>
      </c>
      <c r="D73" s="196" t="s">
        <v>23</v>
      </c>
      <c r="E73" s="196" t="s">
        <v>25</v>
      </c>
      <c r="F73" s="197">
        <v>6220</v>
      </c>
      <c r="G73" s="197">
        <v>6198</v>
      </c>
      <c r="H73" s="196">
        <f>6220-6198</f>
        <v>22</v>
      </c>
      <c r="I73" s="197">
        <v>100</v>
      </c>
      <c r="J73" s="268">
        <f t="shared" si="7"/>
        <v>2200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44494</v>
      </c>
      <c r="D74" s="196" t="s">
        <v>23</v>
      </c>
      <c r="E74" s="196" t="s">
        <v>25</v>
      </c>
      <c r="F74" s="197">
        <v>6350</v>
      </c>
      <c r="G74" s="197">
        <v>6380</v>
      </c>
      <c r="H74" s="196">
        <v>-30</v>
      </c>
      <c r="I74" s="197">
        <v>100</v>
      </c>
      <c r="J74" s="268">
        <f t="shared" si="7"/>
        <v>-3000</v>
      </c>
      <c r="K74" s="185"/>
      <c r="V74" s="183">
        <f t="shared" si="8"/>
        <v>0</v>
      </c>
      <c r="W74" s="183">
        <f t="shared" si="9"/>
        <v>1</v>
      </c>
    </row>
    <row r="75" spans="1:23" x14ac:dyDescent="0.3">
      <c r="A75" s="184"/>
      <c r="B75" s="194">
        <v>17</v>
      </c>
      <c r="C75" s="195">
        <v>44495</v>
      </c>
      <c r="D75" s="196" t="s">
        <v>23</v>
      </c>
      <c r="E75" s="196" t="s">
        <v>25</v>
      </c>
      <c r="F75" s="197">
        <v>6260</v>
      </c>
      <c r="G75" s="197">
        <v>6245</v>
      </c>
      <c r="H75" s="196">
        <f>6260-6245</f>
        <v>15</v>
      </c>
      <c r="I75" s="197">
        <v>100</v>
      </c>
      <c r="J75" s="268">
        <f t="shared" si="7"/>
        <v>1500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44496</v>
      </c>
      <c r="D76" s="196" t="s">
        <v>16</v>
      </c>
      <c r="E76" s="196" t="s">
        <v>25</v>
      </c>
      <c r="F76" s="197">
        <v>6290</v>
      </c>
      <c r="G76" s="197">
        <v>6310</v>
      </c>
      <c r="H76" s="196">
        <v>30</v>
      </c>
      <c r="I76" s="197">
        <v>100</v>
      </c>
      <c r="J76" s="268">
        <f t="shared" si="7"/>
        <v>3000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44497</v>
      </c>
      <c r="D77" s="196" t="s">
        <v>23</v>
      </c>
      <c r="E77" s="196" t="s">
        <v>25</v>
      </c>
      <c r="F77" s="197">
        <v>6230</v>
      </c>
      <c r="G77" s="197">
        <v>6070</v>
      </c>
      <c r="H77" s="196">
        <v>60</v>
      </c>
      <c r="I77" s="197">
        <v>100</v>
      </c>
      <c r="J77" s="268">
        <f t="shared" si="7"/>
        <v>6000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44498</v>
      </c>
      <c r="D78" s="196" t="s">
        <v>23</v>
      </c>
      <c r="E78" s="196" t="s">
        <v>25</v>
      </c>
      <c r="F78" s="197">
        <v>6240</v>
      </c>
      <c r="G78" s="197">
        <v>6210</v>
      </c>
      <c r="H78" s="196">
        <v>30</v>
      </c>
      <c r="I78" s="197">
        <v>100</v>
      </c>
      <c r="J78" s="268">
        <f t="shared" si="7"/>
        <v>3000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56500</v>
      </c>
      <c r="K82" s="185"/>
      <c r="V82" s="183">
        <f>SUM(V59:V81)</f>
        <v>16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44470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44470</v>
      </c>
      <c r="D90" s="216" t="s">
        <v>23</v>
      </c>
      <c r="E90" s="256" t="s">
        <v>28</v>
      </c>
      <c r="F90" s="256">
        <v>252.8</v>
      </c>
      <c r="G90" s="256">
        <v>253.8</v>
      </c>
      <c r="H90" s="256">
        <v>-1</v>
      </c>
      <c r="I90" s="218">
        <v>5000</v>
      </c>
      <c r="J90" s="273">
        <f>I90*H90</f>
        <v>-5000</v>
      </c>
      <c r="K90" s="185"/>
      <c r="M90" s="183" t="s">
        <v>870</v>
      </c>
      <c r="V90" s="183">
        <f>IF($J90&gt;0,1,0)</f>
        <v>0</v>
      </c>
      <c r="W90" s="183">
        <f>IF($J90&lt;0,1,0)</f>
        <v>1</v>
      </c>
    </row>
    <row r="91" spans="1:23" x14ac:dyDescent="0.3">
      <c r="A91" s="184"/>
      <c r="B91" s="194">
        <v>2</v>
      </c>
      <c r="C91" s="195">
        <v>44473</v>
      </c>
      <c r="D91" s="196" t="s">
        <v>23</v>
      </c>
      <c r="E91" s="222" t="s">
        <v>28</v>
      </c>
      <c r="F91" s="222">
        <v>255.5</v>
      </c>
      <c r="G91" s="222">
        <v>256.5</v>
      </c>
      <c r="H91" s="222">
        <v>-1</v>
      </c>
      <c r="I91" s="197">
        <v>5000</v>
      </c>
      <c r="J91" s="268">
        <f t="shared" ref="J91:J112" si="10">I91*H91</f>
        <v>-5000</v>
      </c>
      <c r="K91" s="185"/>
      <c r="V91" s="183">
        <f t="shared" ref="V91:V112" si="11">IF($J91&gt;0,1,0)</f>
        <v>0</v>
      </c>
      <c r="W91" s="183">
        <f t="shared" ref="W91:W112" si="12">IF($J91&lt;0,1,0)</f>
        <v>1</v>
      </c>
    </row>
    <row r="92" spans="1:23" x14ac:dyDescent="0.3">
      <c r="A92" s="184"/>
      <c r="B92" s="194">
        <v>3</v>
      </c>
      <c r="C92" s="195">
        <v>44474</v>
      </c>
      <c r="D92" s="196" t="s">
        <v>23</v>
      </c>
      <c r="E92" s="222" t="s">
        <v>28</v>
      </c>
      <c r="F92" s="222">
        <v>256.5</v>
      </c>
      <c r="G92" s="222">
        <v>255.5</v>
      </c>
      <c r="H92" s="222">
        <v>1</v>
      </c>
      <c r="I92" s="197">
        <v>5000</v>
      </c>
      <c r="J92" s="268">
        <f t="shared" si="10"/>
        <v>5000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44475</v>
      </c>
      <c r="D93" s="196" t="s">
        <v>16</v>
      </c>
      <c r="E93" s="222" t="s">
        <v>28</v>
      </c>
      <c r="F93" s="222">
        <v>257.10000000000002</v>
      </c>
      <c r="G93" s="222">
        <v>259.10000000000002</v>
      </c>
      <c r="H93" s="222">
        <v>2</v>
      </c>
      <c r="I93" s="197">
        <v>5000</v>
      </c>
      <c r="J93" s="268">
        <f t="shared" si="10"/>
        <v>10000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44476</v>
      </c>
      <c r="D94" s="196" t="s">
        <v>23</v>
      </c>
      <c r="E94" s="222" t="s">
        <v>28</v>
      </c>
      <c r="F94" s="222">
        <v>258.7</v>
      </c>
      <c r="G94" s="222">
        <v>259.7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44477</v>
      </c>
      <c r="D95" s="196" t="s">
        <v>16</v>
      </c>
      <c r="E95" s="222" t="s">
        <v>28</v>
      </c>
      <c r="F95" s="222">
        <v>264</v>
      </c>
      <c r="G95" s="222">
        <v>266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44480</v>
      </c>
      <c r="D96" s="196" t="s">
        <v>16</v>
      </c>
      <c r="E96" s="222" t="s">
        <v>28</v>
      </c>
      <c r="F96" s="222">
        <v>271.89999999999998</v>
      </c>
      <c r="G96" s="222">
        <v>272.89999999999998</v>
      </c>
      <c r="H96" s="274">
        <v>1</v>
      </c>
      <c r="I96" s="197">
        <v>5000</v>
      </c>
      <c r="J96" s="268">
        <f t="shared" si="10"/>
        <v>5000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44481</v>
      </c>
      <c r="D97" s="196" t="s">
        <v>16</v>
      </c>
      <c r="E97" s="222" t="s">
        <v>28</v>
      </c>
      <c r="F97" s="222">
        <v>270.3</v>
      </c>
      <c r="G97" s="222">
        <v>271.3</v>
      </c>
      <c r="H97" s="222">
        <v>1</v>
      </c>
      <c r="I97" s="197">
        <v>5000</v>
      </c>
      <c r="J97" s="268">
        <f t="shared" si="10"/>
        <v>5000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44482</v>
      </c>
      <c r="D98" s="196" t="s">
        <v>23</v>
      </c>
      <c r="E98" s="222" t="s">
        <v>28</v>
      </c>
      <c r="F98" s="222">
        <v>277.5</v>
      </c>
      <c r="G98" s="222">
        <v>278.5</v>
      </c>
      <c r="H98" s="222">
        <v>-1</v>
      </c>
      <c r="I98" s="197">
        <v>5000</v>
      </c>
      <c r="J98" s="268">
        <f t="shared" si="10"/>
        <v>-5000</v>
      </c>
      <c r="K98" s="185"/>
      <c r="V98" s="183">
        <f t="shared" si="11"/>
        <v>0</v>
      </c>
      <c r="W98" s="183">
        <f t="shared" si="12"/>
        <v>1</v>
      </c>
    </row>
    <row r="99" spans="1:23" x14ac:dyDescent="0.3">
      <c r="A99" s="184"/>
      <c r="B99" s="194">
        <v>10</v>
      </c>
      <c r="C99" s="195">
        <v>44483</v>
      </c>
      <c r="D99" s="196" t="s">
        <v>23</v>
      </c>
      <c r="E99" s="222" t="s">
        <v>28</v>
      </c>
      <c r="F99" s="222">
        <v>292.8</v>
      </c>
      <c r="G99" s="222">
        <v>290.8</v>
      </c>
      <c r="H99" s="222">
        <v>2</v>
      </c>
      <c r="I99" s="197">
        <v>5000</v>
      </c>
      <c r="J99" s="268">
        <f t="shared" si="10"/>
        <v>10000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44487</v>
      </c>
      <c r="D100" s="196" t="s">
        <v>23</v>
      </c>
      <c r="E100" s="222" t="s">
        <v>28</v>
      </c>
      <c r="F100" s="222">
        <v>314</v>
      </c>
      <c r="G100" s="222">
        <v>313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44488</v>
      </c>
      <c r="D101" s="196" t="s">
        <v>23</v>
      </c>
      <c r="E101" s="222" t="s">
        <v>28</v>
      </c>
      <c r="F101" s="222">
        <v>308</v>
      </c>
      <c r="G101" s="222">
        <v>307</v>
      </c>
      <c r="H101" s="274">
        <v>1</v>
      </c>
      <c r="I101" s="197">
        <v>5000</v>
      </c>
      <c r="J101" s="268">
        <f t="shared" si="10"/>
        <v>5000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44489</v>
      </c>
      <c r="D102" s="196" t="s">
        <v>23</v>
      </c>
      <c r="E102" s="222" t="s">
        <v>28</v>
      </c>
      <c r="F102" s="222">
        <v>296</v>
      </c>
      <c r="G102" s="222">
        <v>294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44490</v>
      </c>
      <c r="D103" s="196" t="s">
        <v>23</v>
      </c>
      <c r="E103" s="222" t="s">
        <v>28</v>
      </c>
      <c r="F103" s="222">
        <v>299.3</v>
      </c>
      <c r="G103" s="222">
        <v>297.3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44491</v>
      </c>
      <c r="D104" s="196" t="s">
        <v>16</v>
      </c>
      <c r="E104" s="222" t="s">
        <v>28</v>
      </c>
      <c r="F104" s="223">
        <v>287.5</v>
      </c>
      <c r="G104" s="222">
        <v>288</v>
      </c>
      <c r="H104" s="274">
        <v>0.5</v>
      </c>
      <c r="I104" s="197">
        <v>5000</v>
      </c>
      <c r="J104" s="268">
        <f t="shared" si="10"/>
        <v>2500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44494</v>
      </c>
      <c r="D105" s="196" t="s">
        <v>23</v>
      </c>
      <c r="E105" s="222" t="s">
        <v>28</v>
      </c>
      <c r="F105" s="222">
        <v>287.2</v>
      </c>
      <c r="G105" s="222">
        <v>285.8</v>
      </c>
      <c r="H105" s="274">
        <v>1.4</v>
      </c>
      <c r="I105" s="197">
        <v>5000</v>
      </c>
      <c r="J105" s="268">
        <f t="shared" si="10"/>
        <v>7000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44495</v>
      </c>
      <c r="D106" s="196" t="s">
        <v>23</v>
      </c>
      <c r="E106" s="222" t="s">
        <v>28</v>
      </c>
      <c r="F106" s="222">
        <v>282.60000000000002</v>
      </c>
      <c r="G106" s="222">
        <v>281.60000000000002</v>
      </c>
      <c r="H106" s="274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44496</v>
      </c>
      <c r="D107" s="196" t="s">
        <v>23</v>
      </c>
      <c r="E107" s="222" t="s">
        <v>28</v>
      </c>
      <c r="F107" s="222">
        <v>278</v>
      </c>
      <c r="G107" s="222">
        <v>276.5</v>
      </c>
      <c r="H107" s="274">
        <f>278-276.5</f>
        <v>1.5</v>
      </c>
      <c r="I107" s="197">
        <v>5000</v>
      </c>
      <c r="J107" s="268">
        <f t="shared" si="10"/>
        <v>7500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44497</v>
      </c>
      <c r="D108" s="196" t="s">
        <v>23</v>
      </c>
      <c r="E108" s="222" t="s">
        <v>28</v>
      </c>
      <c r="F108" s="222">
        <v>283.39999999999998</v>
      </c>
      <c r="G108" s="222">
        <v>284.39999999999998</v>
      </c>
      <c r="H108" s="274">
        <v>-1</v>
      </c>
      <c r="I108" s="197">
        <v>5000</v>
      </c>
      <c r="J108" s="268">
        <f t="shared" si="10"/>
        <v>-5000</v>
      </c>
      <c r="K108" s="185"/>
      <c r="V108" s="183">
        <f t="shared" si="11"/>
        <v>0</v>
      </c>
      <c r="W108" s="183">
        <f t="shared" si="12"/>
        <v>1</v>
      </c>
    </row>
    <row r="109" spans="1:23" x14ac:dyDescent="0.3">
      <c r="A109" s="184"/>
      <c r="B109" s="194">
        <v>20</v>
      </c>
      <c r="C109" s="195">
        <v>44498</v>
      </c>
      <c r="D109" s="196" t="s">
        <v>23</v>
      </c>
      <c r="E109" s="222" t="s">
        <v>28</v>
      </c>
      <c r="F109" s="222">
        <v>282</v>
      </c>
      <c r="G109" s="222">
        <v>280.60000000000002</v>
      </c>
      <c r="H109" s="274">
        <f>282-280.6</f>
        <v>1.3999999999999773</v>
      </c>
      <c r="I109" s="197">
        <v>5000</v>
      </c>
      <c r="J109" s="268">
        <f t="shared" si="10"/>
        <v>6999.9999999998863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78999.999999999884</v>
      </c>
      <c r="K113" s="185"/>
      <c r="V113" s="183">
        <f>SUM(V90:V112)</f>
        <v>15</v>
      </c>
      <c r="W113" s="183">
        <f>SUM(W90:W112)</f>
        <v>5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A00-000000000000}"/>
    <hyperlink ref="B82" r:id="rId2" xr:uid="{00000000-0004-0000-6A00-000001000000}"/>
    <hyperlink ref="M4:M5" location="'OCT 2021'!A1" display="BULLION" xr:uid="{00000000-0004-0000-6A00-000002000000}"/>
    <hyperlink ref="B113" r:id="rId3" xr:uid="{00000000-0004-0000-6A00-000003000000}"/>
    <hyperlink ref="M8:M9" location="'OCT 2021'!A86" display="BASE METAL" xr:uid="{00000000-0004-0000-6A00-000004000000}"/>
    <hyperlink ref="M1" location="MASTER!A1" display="Back" xr:uid="{00000000-0004-0000-6A00-000005000000}"/>
    <hyperlink ref="M6:M7" location="'OCT 2021'!A54" display="ENERGY" xr:uid="{00000000-0004-0000-6A00-000006000000}"/>
  </hyperlinks>
  <pageMargins left="0" right="0" top="0" bottom="0" header="0" footer="0"/>
  <pageSetup paperSize="9" orientation="portrait" r:id="rId4"/>
  <drawing r:id="rId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W114"/>
  <sheetViews>
    <sheetView topLeftCell="A16" zoomScaleNormal="100" workbookViewId="0">
      <selection activeCell="L19" sqref="L1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44501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34</v>
      </c>
      <c r="O4" s="355">
        <f>V51</f>
        <v>30</v>
      </c>
      <c r="P4" s="355">
        <f>W51</f>
        <v>4</v>
      </c>
      <c r="Q4" s="356">
        <f>N4-O4-P4</f>
        <v>0</v>
      </c>
      <c r="R4" s="343">
        <f>O4/N4</f>
        <v>0.88235294117647056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44501</v>
      </c>
      <c r="D6" s="192" t="s">
        <v>23</v>
      </c>
      <c r="E6" s="192" t="s">
        <v>24</v>
      </c>
      <c r="F6" s="193">
        <v>47650</v>
      </c>
      <c r="G6" s="193">
        <v>47590</v>
      </c>
      <c r="H6" s="192">
        <f>47650-47590</f>
        <v>60</v>
      </c>
      <c r="I6" s="193">
        <v>100</v>
      </c>
      <c r="J6" s="267">
        <f>H6*I6</f>
        <v>6000</v>
      </c>
      <c r="K6" s="185"/>
      <c r="M6" s="364" t="s">
        <v>258</v>
      </c>
      <c r="N6" s="347">
        <f>COUNT(C59:C81)</f>
        <v>17</v>
      </c>
      <c r="O6" s="348">
        <f>V82</f>
        <v>15</v>
      </c>
      <c r="P6" s="348">
        <f>W82</f>
        <v>2</v>
      </c>
      <c r="Q6" s="349">
        <f>N6-O6-P6</f>
        <v>0</v>
      </c>
      <c r="R6" s="345">
        <f t="shared" ref="R6" si="0">O6/N6</f>
        <v>0.88235294117647056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44501</v>
      </c>
      <c r="D7" s="196" t="s">
        <v>23</v>
      </c>
      <c r="E7" s="196" t="s">
        <v>22</v>
      </c>
      <c r="F7" s="197">
        <v>64450</v>
      </c>
      <c r="G7" s="197">
        <v>64250</v>
      </c>
      <c r="H7" s="196">
        <f>64450-64250</f>
        <v>200</v>
      </c>
      <c r="I7" s="197">
        <v>30</v>
      </c>
      <c r="J7" s="268">
        <f t="shared" ref="J7:J50" si="1">H7*I7</f>
        <v>6000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44502</v>
      </c>
      <c r="D8" s="196" t="s">
        <v>23</v>
      </c>
      <c r="E8" s="196" t="s">
        <v>24</v>
      </c>
      <c r="F8" s="197">
        <v>47840</v>
      </c>
      <c r="G8" s="197">
        <v>47700</v>
      </c>
      <c r="H8" s="196">
        <f>47840-47700</f>
        <v>140</v>
      </c>
      <c r="I8" s="197">
        <v>100</v>
      </c>
      <c r="J8" s="268">
        <f t="shared" si="1"/>
        <v>14000</v>
      </c>
      <c r="K8" s="185"/>
      <c r="M8" s="362" t="s">
        <v>877</v>
      </c>
      <c r="N8" s="347">
        <f>COUNT(C90:C112)</f>
        <v>17</v>
      </c>
      <c r="O8" s="348">
        <f>V113</f>
        <v>12</v>
      </c>
      <c r="P8" s="348">
        <f>W113</f>
        <v>5</v>
      </c>
      <c r="Q8" s="349">
        <f>N8-O8-P8</f>
        <v>0</v>
      </c>
      <c r="R8" s="345">
        <f t="shared" ref="R8" si="4">O8/N8</f>
        <v>0.70588235294117652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44502</v>
      </c>
      <c r="D9" s="196" t="s">
        <v>23</v>
      </c>
      <c r="E9" s="196" t="s">
        <v>22</v>
      </c>
      <c r="F9" s="197">
        <v>64600</v>
      </c>
      <c r="G9" s="197">
        <v>64300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44509</v>
      </c>
      <c r="D10" s="196" t="s">
        <v>23</v>
      </c>
      <c r="E10" s="196" t="s">
        <v>24</v>
      </c>
      <c r="F10" s="197">
        <v>48120</v>
      </c>
      <c r="G10" s="197">
        <v>48220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68</v>
      </c>
      <c r="O10" s="321">
        <f>SUM(O4:O9)</f>
        <v>57</v>
      </c>
      <c r="P10" s="321">
        <f>SUM(P4:P9)</f>
        <v>11</v>
      </c>
      <c r="Q10" s="341">
        <f>SUM(Q4:Q9)</f>
        <v>0</v>
      </c>
      <c r="R10" s="343">
        <f t="shared" ref="R10" si="5">O10/N10</f>
        <v>0.83823529411764708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44509</v>
      </c>
      <c r="D11" s="196" t="s">
        <v>23</v>
      </c>
      <c r="E11" s="196" t="s">
        <v>22</v>
      </c>
      <c r="F11" s="197">
        <v>65000</v>
      </c>
      <c r="G11" s="197">
        <v>64400</v>
      </c>
      <c r="H11" s="196">
        <f>65000-64400</f>
        <v>600</v>
      </c>
      <c r="I11" s="197">
        <v>30</v>
      </c>
      <c r="J11" s="268">
        <f t="shared" si="1"/>
        <v>18000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44510</v>
      </c>
      <c r="D12" s="196" t="s">
        <v>23</v>
      </c>
      <c r="E12" s="196" t="s">
        <v>24</v>
      </c>
      <c r="F12" s="197">
        <v>48330</v>
      </c>
      <c r="G12" s="197">
        <v>48260</v>
      </c>
      <c r="H12" s="196">
        <f>48330-48260</f>
        <v>70</v>
      </c>
      <c r="I12" s="197">
        <v>100</v>
      </c>
      <c r="J12" s="268">
        <f t="shared" si="1"/>
        <v>7000</v>
      </c>
      <c r="K12" s="185"/>
      <c r="M12" s="323" t="s">
        <v>878</v>
      </c>
      <c r="N12" s="324"/>
      <c r="O12" s="325"/>
      <c r="P12" s="332">
        <f>R10</f>
        <v>0.83823529411764708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44510</v>
      </c>
      <c r="D13" s="196" t="s">
        <v>23</v>
      </c>
      <c r="E13" s="196" t="s">
        <v>22</v>
      </c>
      <c r="F13" s="197">
        <v>64800</v>
      </c>
      <c r="G13" s="197">
        <v>64500</v>
      </c>
      <c r="H13" s="196">
        <v>300</v>
      </c>
      <c r="I13" s="197">
        <v>30</v>
      </c>
      <c r="J13" s="268">
        <f t="shared" si="1"/>
        <v>9000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44511</v>
      </c>
      <c r="D14" s="196" t="s">
        <v>23</v>
      </c>
      <c r="E14" s="196" t="s">
        <v>24</v>
      </c>
      <c r="F14" s="197">
        <v>49220</v>
      </c>
      <c r="G14" s="197">
        <v>49320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44511</v>
      </c>
      <c r="D15" s="196" t="s">
        <v>23</v>
      </c>
      <c r="E15" s="196" t="s">
        <v>22</v>
      </c>
      <c r="F15" s="197">
        <v>66500</v>
      </c>
      <c r="G15" s="197">
        <v>66250</v>
      </c>
      <c r="H15" s="196">
        <v>250</v>
      </c>
      <c r="I15" s="197">
        <v>30</v>
      </c>
      <c r="J15" s="268">
        <f t="shared" si="1"/>
        <v>7500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44512</v>
      </c>
      <c r="D16" s="196" t="s">
        <v>23</v>
      </c>
      <c r="E16" s="196" t="s">
        <v>24</v>
      </c>
      <c r="F16" s="197">
        <v>49070</v>
      </c>
      <c r="G16" s="197">
        <v>48900</v>
      </c>
      <c r="H16" s="196">
        <v>170</v>
      </c>
      <c r="I16" s="197">
        <v>100</v>
      </c>
      <c r="J16" s="268">
        <f t="shared" si="1"/>
        <v>17000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44512</v>
      </c>
      <c r="D17" s="196" t="s">
        <v>23</v>
      </c>
      <c r="E17" s="196" t="s">
        <v>22</v>
      </c>
      <c r="F17" s="197">
        <v>66500</v>
      </c>
      <c r="G17" s="197">
        <v>66300</v>
      </c>
      <c r="H17" s="196">
        <v>200</v>
      </c>
      <c r="I17" s="197">
        <v>30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44515</v>
      </c>
      <c r="D18" s="196" t="s">
        <v>23</v>
      </c>
      <c r="E18" s="196" t="s">
        <v>24</v>
      </c>
      <c r="F18" s="197">
        <v>49350</v>
      </c>
      <c r="G18" s="197">
        <v>49290</v>
      </c>
      <c r="H18" s="196">
        <f>49350-49290</f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44515</v>
      </c>
      <c r="D19" s="196" t="s">
        <v>23</v>
      </c>
      <c r="E19" s="196" t="s">
        <v>22</v>
      </c>
      <c r="F19" s="197">
        <v>67100</v>
      </c>
      <c r="G19" s="197">
        <v>66980</v>
      </c>
      <c r="H19" s="196">
        <f>67100-66980</f>
        <v>120</v>
      </c>
      <c r="I19" s="197">
        <v>30</v>
      </c>
      <c r="J19" s="268">
        <f t="shared" si="1"/>
        <v>3600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44516</v>
      </c>
      <c r="D20" s="196" t="s">
        <v>23</v>
      </c>
      <c r="E20" s="196" t="s">
        <v>24</v>
      </c>
      <c r="F20" s="197">
        <v>49330</v>
      </c>
      <c r="G20" s="197">
        <v>49270</v>
      </c>
      <c r="H20" s="196">
        <f>49330-49270</f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44516</v>
      </c>
      <c r="D21" s="196" t="s">
        <v>23</v>
      </c>
      <c r="E21" s="196" t="s">
        <v>22</v>
      </c>
      <c r="F21" s="197">
        <v>66700</v>
      </c>
      <c r="G21" s="197">
        <v>67000</v>
      </c>
      <c r="H21" s="196">
        <v>-300</v>
      </c>
      <c r="I21" s="197">
        <v>30</v>
      </c>
      <c r="J21" s="268">
        <f t="shared" si="1"/>
        <v>-9000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44517</v>
      </c>
      <c r="D22" s="196" t="s">
        <v>23</v>
      </c>
      <c r="E22" s="196" t="s">
        <v>24</v>
      </c>
      <c r="F22" s="197">
        <v>49120</v>
      </c>
      <c r="G22" s="197">
        <v>48920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44517</v>
      </c>
      <c r="D23" s="196" t="s">
        <v>23</v>
      </c>
      <c r="E23" s="196" t="s">
        <v>22</v>
      </c>
      <c r="F23" s="197">
        <v>66550</v>
      </c>
      <c r="G23" s="197">
        <v>65950</v>
      </c>
      <c r="H23" s="196"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44518</v>
      </c>
      <c r="D24" s="196" t="s">
        <v>23</v>
      </c>
      <c r="E24" s="196" t="s">
        <v>24</v>
      </c>
      <c r="F24" s="197">
        <v>49170</v>
      </c>
      <c r="G24" s="197">
        <v>49100</v>
      </c>
      <c r="H24" s="196">
        <v>70</v>
      </c>
      <c r="I24" s="197">
        <v>100</v>
      </c>
      <c r="J24" s="268">
        <f t="shared" si="1"/>
        <v>7000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44518</v>
      </c>
      <c r="D25" s="196" t="s">
        <v>23</v>
      </c>
      <c r="E25" s="196" t="s">
        <v>22</v>
      </c>
      <c r="F25" s="197">
        <v>66500</v>
      </c>
      <c r="G25" s="197">
        <v>66250</v>
      </c>
      <c r="H25" s="196">
        <v>250</v>
      </c>
      <c r="I25" s="197">
        <v>30</v>
      </c>
      <c r="J25" s="268">
        <f t="shared" si="1"/>
        <v>7500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44522</v>
      </c>
      <c r="D26" s="196" t="s">
        <v>16</v>
      </c>
      <c r="E26" s="196" t="s">
        <v>24</v>
      </c>
      <c r="F26" s="197">
        <v>48800</v>
      </c>
      <c r="G26" s="197">
        <v>48860</v>
      </c>
      <c r="H26" s="196">
        <v>60</v>
      </c>
      <c r="I26" s="197">
        <v>100</v>
      </c>
      <c r="J26" s="268">
        <f t="shared" si="1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44522</v>
      </c>
      <c r="D27" s="196" t="s">
        <v>16</v>
      </c>
      <c r="E27" s="196" t="s">
        <v>22</v>
      </c>
      <c r="F27" s="197">
        <v>65900</v>
      </c>
      <c r="G27" s="197">
        <v>66050</v>
      </c>
      <c r="H27" s="196"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44523</v>
      </c>
      <c r="D28" s="196" t="s">
        <v>23</v>
      </c>
      <c r="E28" s="196" t="s">
        <v>24</v>
      </c>
      <c r="F28" s="197">
        <v>47850</v>
      </c>
      <c r="G28" s="197">
        <v>47650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44523</v>
      </c>
      <c r="D29" s="196" t="s">
        <v>23</v>
      </c>
      <c r="E29" s="196" t="s">
        <v>22</v>
      </c>
      <c r="F29" s="197">
        <v>63900</v>
      </c>
      <c r="G29" s="197">
        <v>63500</v>
      </c>
      <c r="H29" s="196">
        <v>400</v>
      </c>
      <c r="I29" s="197">
        <v>30</v>
      </c>
      <c r="J29" s="268">
        <f t="shared" si="1"/>
        <v>12000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44524</v>
      </c>
      <c r="D30" s="196" t="s">
        <v>23</v>
      </c>
      <c r="E30" s="196" t="s">
        <v>24</v>
      </c>
      <c r="F30" s="197">
        <v>47460</v>
      </c>
      <c r="G30" s="197">
        <v>47310</v>
      </c>
      <c r="H30" s="196">
        <f>47460-47310</f>
        <v>150</v>
      </c>
      <c r="I30" s="197">
        <v>100</v>
      </c>
      <c r="J30" s="268">
        <f t="shared" si="1"/>
        <v>15000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44524</v>
      </c>
      <c r="D31" s="196" t="s">
        <v>23</v>
      </c>
      <c r="E31" s="196" t="s">
        <v>22</v>
      </c>
      <c r="F31" s="197">
        <v>62850</v>
      </c>
      <c r="G31" s="197">
        <v>62450</v>
      </c>
      <c r="H31" s="196">
        <v>400</v>
      </c>
      <c r="I31" s="197">
        <v>30</v>
      </c>
      <c r="J31" s="268">
        <f t="shared" si="1"/>
        <v>12000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44525</v>
      </c>
      <c r="D32" s="196" t="s">
        <v>23</v>
      </c>
      <c r="E32" s="196" t="s">
        <v>24</v>
      </c>
      <c r="F32" s="197">
        <v>47550</v>
      </c>
      <c r="G32" s="197">
        <v>47450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44525</v>
      </c>
      <c r="D33" s="196" t="s">
        <v>23</v>
      </c>
      <c r="E33" s="196" t="s">
        <v>22</v>
      </c>
      <c r="F33" s="197">
        <v>63100</v>
      </c>
      <c r="G33" s="197">
        <v>62900</v>
      </c>
      <c r="H33" s="196">
        <f>63100-62900</f>
        <v>200</v>
      </c>
      <c r="I33" s="197">
        <v>30</v>
      </c>
      <c r="J33" s="268">
        <f t="shared" si="1"/>
        <v>6000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44526</v>
      </c>
      <c r="D34" s="196" t="s">
        <v>23</v>
      </c>
      <c r="E34" s="196" t="s">
        <v>24</v>
      </c>
      <c r="F34" s="197">
        <v>48020</v>
      </c>
      <c r="G34" s="197">
        <v>47880</v>
      </c>
      <c r="H34" s="196">
        <f>48020-47880</f>
        <v>140</v>
      </c>
      <c r="I34" s="197">
        <v>100</v>
      </c>
      <c r="J34" s="268">
        <f t="shared" si="1"/>
        <v>14000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44526</v>
      </c>
      <c r="D35" s="196" t="s">
        <v>23</v>
      </c>
      <c r="E35" s="196" t="s">
        <v>22</v>
      </c>
      <c r="F35" s="197">
        <v>63400</v>
      </c>
      <c r="G35" s="197">
        <v>62800</v>
      </c>
      <c r="H35" s="196">
        <v>600</v>
      </c>
      <c r="I35" s="197">
        <v>30</v>
      </c>
      <c r="J35" s="268">
        <f t="shared" si="1"/>
        <v>18000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44529</v>
      </c>
      <c r="D36" s="196" t="s">
        <v>23</v>
      </c>
      <c r="E36" s="196" t="s">
        <v>24</v>
      </c>
      <c r="F36" s="197">
        <v>47750</v>
      </c>
      <c r="G36" s="197">
        <v>47850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44529</v>
      </c>
      <c r="D37" s="196" t="s">
        <v>23</v>
      </c>
      <c r="E37" s="196" t="s">
        <v>22</v>
      </c>
      <c r="F37" s="197">
        <v>62800</v>
      </c>
      <c r="G37" s="197">
        <v>62500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44530</v>
      </c>
      <c r="D38" s="196" t="s">
        <v>23</v>
      </c>
      <c r="E38" s="196" t="s">
        <v>24</v>
      </c>
      <c r="F38" s="197">
        <v>48200</v>
      </c>
      <c r="G38" s="197">
        <v>48300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44530</v>
      </c>
      <c r="D39" s="196" t="s">
        <v>23</v>
      </c>
      <c r="E39" s="196" t="s">
        <v>22</v>
      </c>
      <c r="F39" s="197">
        <v>62500</v>
      </c>
      <c r="G39" s="197">
        <v>62250</v>
      </c>
      <c r="H39" s="196">
        <v>250</v>
      </c>
      <c r="I39" s="197">
        <v>30</v>
      </c>
      <c r="J39" s="268">
        <f t="shared" si="1"/>
        <v>7500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V40" s="183">
        <f t="shared" si="2"/>
        <v>0</v>
      </c>
      <c r="W40" s="183">
        <f t="shared" si="6"/>
        <v>0</v>
      </c>
    </row>
    <row r="41" spans="1:23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272600</v>
      </c>
      <c r="K51" s="185"/>
      <c r="V51" s="183">
        <f>SUM(V6:V50)</f>
        <v>30</v>
      </c>
      <c r="W51" s="183">
        <f>SUM(W6:W50)</f>
        <v>4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44501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44501</v>
      </c>
      <c r="D59" s="192" t="s">
        <v>23</v>
      </c>
      <c r="E59" s="192" t="s">
        <v>25</v>
      </c>
      <c r="F59" s="193">
        <v>6290</v>
      </c>
      <c r="G59" s="193">
        <v>6320</v>
      </c>
      <c r="H59" s="192">
        <f>6320-6290</f>
        <v>30</v>
      </c>
      <c r="I59" s="193">
        <v>100</v>
      </c>
      <c r="J59" s="267">
        <f t="shared" ref="J59:J81" si="7">I59*H59</f>
        <v>3000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44502</v>
      </c>
      <c r="D60" s="196" t="s">
        <v>23</v>
      </c>
      <c r="E60" s="196" t="s">
        <v>25</v>
      </c>
      <c r="F60" s="197">
        <v>6305</v>
      </c>
      <c r="G60" s="197">
        <v>6245</v>
      </c>
      <c r="H60" s="196">
        <f>6305-6245</f>
        <v>60</v>
      </c>
      <c r="I60" s="197">
        <v>100</v>
      </c>
      <c r="J60" s="268">
        <f t="shared" si="7"/>
        <v>6000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44509</v>
      </c>
      <c r="D61" s="196" t="s">
        <v>23</v>
      </c>
      <c r="E61" s="196" t="s">
        <v>25</v>
      </c>
      <c r="F61" s="197">
        <v>6120</v>
      </c>
      <c r="G61" s="197">
        <v>6060</v>
      </c>
      <c r="H61" s="196">
        <f>6120-6060</f>
        <v>60</v>
      </c>
      <c r="I61" s="197">
        <v>100</v>
      </c>
      <c r="J61" s="268">
        <f t="shared" si="7"/>
        <v>6000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44510</v>
      </c>
      <c r="D62" s="196" t="s">
        <v>23</v>
      </c>
      <c r="E62" s="196" t="s">
        <v>25</v>
      </c>
      <c r="F62" s="197">
        <v>6240</v>
      </c>
      <c r="G62" s="197">
        <v>6180</v>
      </c>
      <c r="H62" s="196">
        <f>6240-6180</f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44511</v>
      </c>
      <c r="D63" s="196" t="s">
        <v>23</v>
      </c>
      <c r="E63" s="196" t="s">
        <v>25</v>
      </c>
      <c r="F63" s="197">
        <v>6070</v>
      </c>
      <c r="G63" s="197">
        <v>6010</v>
      </c>
      <c r="H63" s="196">
        <v>60</v>
      </c>
      <c r="I63" s="197">
        <v>100</v>
      </c>
      <c r="J63" s="268">
        <f t="shared" si="7"/>
        <v>6000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44512</v>
      </c>
      <c r="D64" s="196" t="s">
        <v>23</v>
      </c>
      <c r="E64" s="196" t="s">
        <v>25</v>
      </c>
      <c r="F64" s="197">
        <v>5980</v>
      </c>
      <c r="G64" s="197">
        <v>5950</v>
      </c>
      <c r="H64" s="196">
        <v>30</v>
      </c>
      <c r="I64" s="197">
        <v>100</v>
      </c>
      <c r="J64" s="268">
        <f t="shared" si="7"/>
        <v>3000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44515</v>
      </c>
      <c r="D65" s="196" t="s">
        <v>23</v>
      </c>
      <c r="E65" s="196" t="s">
        <v>25</v>
      </c>
      <c r="F65" s="222">
        <v>5970</v>
      </c>
      <c r="G65" s="222">
        <v>5930</v>
      </c>
      <c r="H65" s="196">
        <v>40</v>
      </c>
      <c r="I65" s="197">
        <v>100</v>
      </c>
      <c r="J65" s="268">
        <f t="shared" si="7"/>
        <v>4000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44516</v>
      </c>
      <c r="D66" s="196" t="s">
        <v>23</v>
      </c>
      <c r="E66" s="196" t="s">
        <v>25</v>
      </c>
      <c r="F66" s="197">
        <v>6075</v>
      </c>
      <c r="G66" s="197">
        <v>6015</v>
      </c>
      <c r="H66" s="196">
        <f>6075-6015</f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44517</v>
      </c>
      <c r="D67" s="196" t="s">
        <v>23</v>
      </c>
      <c r="E67" s="196" t="s">
        <v>25</v>
      </c>
      <c r="F67" s="197">
        <v>5930</v>
      </c>
      <c r="G67" s="197">
        <v>5913</v>
      </c>
      <c r="H67" s="196">
        <f>5930-5913</f>
        <v>17</v>
      </c>
      <c r="I67" s="197">
        <v>100</v>
      </c>
      <c r="J67" s="268">
        <f t="shared" si="7"/>
        <v>1700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44518</v>
      </c>
      <c r="D68" s="196" t="s">
        <v>23</v>
      </c>
      <c r="E68" s="196" t="s">
        <v>25</v>
      </c>
      <c r="F68" s="197">
        <v>5770</v>
      </c>
      <c r="G68" s="197">
        <v>5755</v>
      </c>
      <c r="H68" s="196">
        <f>5770-5755</f>
        <v>15</v>
      </c>
      <c r="I68" s="197">
        <v>100</v>
      </c>
      <c r="J68" s="268">
        <f t="shared" si="7"/>
        <v>1500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44522</v>
      </c>
      <c r="D69" s="196" t="s">
        <v>23</v>
      </c>
      <c r="E69" s="196" t="s">
        <v>25</v>
      </c>
      <c r="F69" s="197">
        <v>5680</v>
      </c>
      <c r="G69" s="197">
        <v>5710</v>
      </c>
      <c r="H69" s="196">
        <f>5680-5710</f>
        <v>-30</v>
      </c>
      <c r="I69" s="197">
        <v>100</v>
      </c>
      <c r="J69" s="268">
        <f t="shared" si="7"/>
        <v>-3000</v>
      </c>
      <c r="K69" s="185"/>
      <c r="V69" s="183">
        <f t="shared" si="8"/>
        <v>0</v>
      </c>
      <c r="W69" s="183">
        <f t="shared" si="9"/>
        <v>1</v>
      </c>
    </row>
    <row r="70" spans="1:23" x14ac:dyDescent="0.3">
      <c r="A70" s="184"/>
      <c r="B70" s="194">
        <v>12</v>
      </c>
      <c r="C70" s="195">
        <v>44523</v>
      </c>
      <c r="D70" s="196" t="s">
        <v>23</v>
      </c>
      <c r="E70" s="196" t="s">
        <v>25</v>
      </c>
      <c r="F70" s="197">
        <v>5655</v>
      </c>
      <c r="G70" s="197">
        <v>5640</v>
      </c>
      <c r="H70" s="196">
        <f>5655-5640</f>
        <v>15</v>
      </c>
      <c r="I70" s="197">
        <v>100</v>
      </c>
      <c r="J70" s="268">
        <f t="shared" si="7"/>
        <v>1500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44524</v>
      </c>
      <c r="D71" s="196" t="s">
        <v>23</v>
      </c>
      <c r="E71" s="196" t="s">
        <v>25</v>
      </c>
      <c r="F71" s="197">
        <v>5880</v>
      </c>
      <c r="G71" s="197">
        <v>5840</v>
      </c>
      <c r="H71" s="196">
        <v>40</v>
      </c>
      <c r="I71" s="197">
        <v>100</v>
      </c>
      <c r="J71" s="268">
        <f t="shared" si="7"/>
        <v>4000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44525</v>
      </c>
      <c r="D72" s="196" t="s">
        <v>23</v>
      </c>
      <c r="E72" s="196" t="s">
        <v>25</v>
      </c>
      <c r="F72" s="197">
        <v>5850</v>
      </c>
      <c r="G72" s="197">
        <v>5811</v>
      </c>
      <c r="H72" s="196">
        <f>5850-5811</f>
        <v>39</v>
      </c>
      <c r="I72" s="197">
        <v>100</v>
      </c>
      <c r="J72" s="268">
        <f t="shared" si="7"/>
        <v>3900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44526</v>
      </c>
      <c r="D73" s="196" t="s">
        <v>23</v>
      </c>
      <c r="E73" s="196" t="s">
        <v>25</v>
      </c>
      <c r="F73" s="197">
        <v>5530</v>
      </c>
      <c r="G73" s="197">
        <v>5560</v>
      </c>
      <c r="H73" s="196">
        <v>-30</v>
      </c>
      <c r="I73" s="197">
        <v>100</v>
      </c>
      <c r="J73" s="268">
        <f t="shared" si="7"/>
        <v>-3000</v>
      </c>
      <c r="K73" s="185"/>
      <c r="V73" s="183">
        <f t="shared" si="8"/>
        <v>0</v>
      </c>
      <c r="W73" s="183">
        <f t="shared" si="9"/>
        <v>1</v>
      </c>
    </row>
    <row r="74" spans="1:23" x14ac:dyDescent="0.3">
      <c r="A74" s="184"/>
      <c r="B74" s="194">
        <v>16</v>
      </c>
      <c r="C74" s="195">
        <v>44529</v>
      </c>
      <c r="D74" s="196" t="s">
        <v>16</v>
      </c>
      <c r="E74" s="196" t="s">
        <v>25</v>
      </c>
      <c r="F74" s="197">
        <v>5360</v>
      </c>
      <c r="G74" s="197">
        <v>5405</v>
      </c>
      <c r="H74" s="196">
        <f>5405-5360</f>
        <v>45</v>
      </c>
      <c r="I74" s="197">
        <v>100</v>
      </c>
      <c r="J74" s="268">
        <f t="shared" si="7"/>
        <v>4500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44530</v>
      </c>
      <c r="D75" s="196" t="s">
        <v>23</v>
      </c>
      <c r="E75" s="196" t="s">
        <v>25</v>
      </c>
      <c r="F75" s="197">
        <v>5120</v>
      </c>
      <c r="G75" s="197">
        <v>5105</v>
      </c>
      <c r="H75" s="196">
        <f>5120-5105</f>
        <v>15</v>
      </c>
      <c r="I75" s="197">
        <v>100</v>
      </c>
      <c r="J75" s="268">
        <f t="shared" si="7"/>
        <v>1500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/>
      <c r="D76" s="196"/>
      <c r="E76" s="196"/>
      <c r="F76" s="197"/>
      <c r="G76" s="197"/>
      <c r="H76" s="196"/>
      <c r="I76" s="197"/>
      <c r="J76" s="268">
        <f t="shared" si="7"/>
        <v>0</v>
      </c>
      <c r="K76" s="185"/>
      <c r="V76" s="183">
        <f t="shared" si="8"/>
        <v>0</v>
      </c>
      <c r="W76" s="183">
        <f t="shared" si="9"/>
        <v>0</v>
      </c>
    </row>
    <row r="77" spans="1:23" x14ac:dyDescent="0.3">
      <c r="A77" s="184"/>
      <c r="B77" s="194">
        <v>19</v>
      </c>
      <c r="C77" s="195"/>
      <c r="D77" s="196"/>
      <c r="E77" s="196"/>
      <c r="F77" s="197"/>
      <c r="G77" s="197"/>
      <c r="H77" s="196"/>
      <c r="I77" s="197"/>
      <c r="J77" s="268">
        <f t="shared" si="7"/>
        <v>0</v>
      </c>
      <c r="K77" s="185"/>
      <c r="V77" s="183">
        <f t="shared" si="8"/>
        <v>0</v>
      </c>
      <c r="W77" s="183">
        <f t="shared" si="9"/>
        <v>0</v>
      </c>
    </row>
    <row r="78" spans="1:23" x14ac:dyDescent="0.3">
      <c r="A78" s="184"/>
      <c r="B78" s="194">
        <v>20</v>
      </c>
      <c r="C78" s="195"/>
      <c r="D78" s="196"/>
      <c r="E78" s="196"/>
      <c r="F78" s="197"/>
      <c r="G78" s="197"/>
      <c r="H78" s="196"/>
      <c r="I78" s="197"/>
      <c r="J78" s="268">
        <f t="shared" si="7"/>
        <v>0</v>
      </c>
      <c r="K78" s="185"/>
      <c r="V78" s="183">
        <f t="shared" si="8"/>
        <v>0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52600</v>
      </c>
      <c r="K82" s="185"/>
      <c r="V82" s="183">
        <f>SUM(V59:V81)</f>
        <v>15</v>
      </c>
      <c r="W82" s="183">
        <f>SUM(W59:W81)</f>
        <v>2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44501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44501</v>
      </c>
      <c r="D90" s="216" t="s">
        <v>23</v>
      </c>
      <c r="E90" s="256" t="s">
        <v>28</v>
      </c>
      <c r="F90" s="256">
        <v>285</v>
      </c>
      <c r="G90" s="256">
        <v>283</v>
      </c>
      <c r="H90" s="256">
        <v>2</v>
      </c>
      <c r="I90" s="218">
        <v>5000</v>
      </c>
      <c r="J90" s="273">
        <f>I90*H90</f>
        <v>10000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44502</v>
      </c>
      <c r="D91" s="196" t="s">
        <v>23</v>
      </c>
      <c r="E91" s="222" t="s">
        <v>28</v>
      </c>
      <c r="F91" s="222">
        <v>282</v>
      </c>
      <c r="G91" s="222">
        <v>281.39999999999998</v>
      </c>
      <c r="H91" s="222">
        <f>282-281.4</f>
        <v>0.60000000000002274</v>
      </c>
      <c r="I91" s="197">
        <v>5000</v>
      </c>
      <c r="J91" s="268">
        <f t="shared" ref="J91:J112" si="10">I91*H91</f>
        <v>3000.0000000001137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44509</v>
      </c>
      <c r="D92" s="196" t="s">
        <v>23</v>
      </c>
      <c r="E92" s="222" t="s">
        <v>28</v>
      </c>
      <c r="F92" s="222">
        <v>280.2</v>
      </c>
      <c r="G92" s="222">
        <v>278.2</v>
      </c>
      <c r="H92" s="222">
        <v>2</v>
      </c>
      <c r="I92" s="197">
        <v>5000</v>
      </c>
      <c r="J92" s="268">
        <f t="shared" si="10"/>
        <v>10000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44510</v>
      </c>
      <c r="D93" s="196" t="s">
        <v>23</v>
      </c>
      <c r="E93" s="222" t="s">
        <v>28</v>
      </c>
      <c r="F93" s="222">
        <v>280</v>
      </c>
      <c r="G93" s="222">
        <v>279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44511</v>
      </c>
      <c r="D94" s="196" t="s">
        <v>23</v>
      </c>
      <c r="E94" s="222" t="s">
        <v>28</v>
      </c>
      <c r="F94" s="222">
        <v>279.39999999999998</v>
      </c>
      <c r="G94" s="222">
        <v>280.39999999999998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44512</v>
      </c>
      <c r="D95" s="196" t="s">
        <v>16</v>
      </c>
      <c r="E95" s="222" t="s">
        <v>28</v>
      </c>
      <c r="F95" s="222">
        <v>277.8</v>
      </c>
      <c r="G95" s="222">
        <v>276.8</v>
      </c>
      <c r="H95" s="222">
        <v>-1</v>
      </c>
      <c r="I95" s="197">
        <v>5000</v>
      </c>
      <c r="J95" s="268">
        <f t="shared" si="10"/>
        <v>-5000</v>
      </c>
      <c r="K95" s="185"/>
      <c r="V95" s="183">
        <f t="shared" si="11"/>
        <v>0</v>
      </c>
      <c r="W95" s="183">
        <f t="shared" si="12"/>
        <v>1</v>
      </c>
    </row>
    <row r="96" spans="1:23" x14ac:dyDescent="0.3">
      <c r="A96" s="184"/>
      <c r="B96" s="194">
        <v>7</v>
      </c>
      <c r="C96" s="195">
        <v>44515</v>
      </c>
      <c r="D96" s="196" t="s">
        <v>23</v>
      </c>
      <c r="E96" s="222" t="s">
        <v>28</v>
      </c>
      <c r="F96" s="222">
        <v>275.2</v>
      </c>
      <c r="G96" s="222">
        <v>274.7</v>
      </c>
      <c r="H96" s="274">
        <f>275.2-274.7</f>
        <v>0.5</v>
      </c>
      <c r="I96" s="197">
        <v>5000</v>
      </c>
      <c r="J96" s="268">
        <f t="shared" si="10"/>
        <v>2500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44516</v>
      </c>
      <c r="D97" s="196" t="s">
        <v>23</v>
      </c>
      <c r="E97" s="222" t="s">
        <v>28</v>
      </c>
      <c r="F97" s="222">
        <v>270.39999999999998</v>
      </c>
      <c r="G97" s="222">
        <v>269.39999999999998</v>
      </c>
      <c r="H97" s="222">
        <v>1</v>
      </c>
      <c r="I97" s="197">
        <v>5000</v>
      </c>
      <c r="J97" s="268">
        <f t="shared" si="10"/>
        <v>5000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44517</v>
      </c>
      <c r="D98" s="196" t="s">
        <v>23</v>
      </c>
      <c r="E98" s="222" t="s">
        <v>28</v>
      </c>
      <c r="F98" s="222">
        <v>269</v>
      </c>
      <c r="G98" s="222">
        <v>267</v>
      </c>
      <c r="H98" s="222">
        <v>2</v>
      </c>
      <c r="I98" s="197">
        <v>5000</v>
      </c>
      <c r="J98" s="268">
        <f t="shared" si="10"/>
        <v>10000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44518</v>
      </c>
      <c r="D99" s="196" t="s">
        <v>23</v>
      </c>
      <c r="E99" s="222" t="s">
        <v>28</v>
      </c>
      <c r="F99" s="222">
        <v>202</v>
      </c>
      <c r="G99" s="222">
        <v>201.6</v>
      </c>
      <c r="H99" s="222">
        <f>202-201.6</f>
        <v>0.40000000000000568</v>
      </c>
      <c r="I99" s="197">
        <v>5000</v>
      </c>
      <c r="J99" s="268">
        <f t="shared" si="10"/>
        <v>2000.0000000000284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44522</v>
      </c>
      <c r="D100" s="196" t="s">
        <v>23</v>
      </c>
      <c r="E100" s="222" t="s">
        <v>28</v>
      </c>
      <c r="F100" s="222">
        <v>268.60000000000002</v>
      </c>
      <c r="G100" s="222">
        <v>269.60000000000002</v>
      </c>
      <c r="H100" s="274">
        <v>-1</v>
      </c>
      <c r="I100" s="197">
        <v>5000</v>
      </c>
      <c r="J100" s="268">
        <f t="shared" si="10"/>
        <v>-5000</v>
      </c>
      <c r="K100" s="185"/>
      <c r="V100" s="183">
        <f t="shared" si="11"/>
        <v>0</v>
      </c>
      <c r="W100" s="183">
        <f t="shared" si="12"/>
        <v>1</v>
      </c>
    </row>
    <row r="101" spans="1:23" x14ac:dyDescent="0.3">
      <c r="A101" s="184"/>
      <c r="B101" s="194">
        <v>12</v>
      </c>
      <c r="C101" s="195">
        <v>44523</v>
      </c>
      <c r="D101" s="196" t="s">
        <v>23</v>
      </c>
      <c r="E101" s="222" t="s">
        <v>28</v>
      </c>
      <c r="F101" s="222">
        <v>277</v>
      </c>
      <c r="G101" s="222">
        <v>278</v>
      </c>
      <c r="H101" s="274">
        <v>-1</v>
      </c>
      <c r="I101" s="197">
        <v>5000</v>
      </c>
      <c r="J101" s="268">
        <f t="shared" si="10"/>
        <v>-5000</v>
      </c>
      <c r="K101" s="185"/>
      <c r="V101" s="183">
        <f t="shared" si="11"/>
        <v>0</v>
      </c>
      <c r="W101" s="183">
        <f t="shared" si="12"/>
        <v>1</v>
      </c>
    </row>
    <row r="102" spans="1:23" x14ac:dyDescent="0.3">
      <c r="A102" s="184"/>
      <c r="B102" s="194">
        <v>13</v>
      </c>
      <c r="C102" s="195">
        <v>44524</v>
      </c>
      <c r="D102" s="196" t="s">
        <v>23</v>
      </c>
      <c r="E102" s="222" t="s">
        <v>28</v>
      </c>
      <c r="F102" s="222">
        <v>277.10000000000002</v>
      </c>
      <c r="G102" s="222">
        <v>276.5</v>
      </c>
      <c r="H102" s="274">
        <f>277.1-276.5</f>
        <v>0.60000000000002274</v>
      </c>
      <c r="I102" s="197">
        <v>5000</v>
      </c>
      <c r="J102" s="268">
        <f t="shared" si="10"/>
        <v>3000.0000000001137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44525</v>
      </c>
      <c r="D103" s="196" t="s">
        <v>23</v>
      </c>
      <c r="E103" s="222" t="s">
        <v>28</v>
      </c>
      <c r="F103" s="222">
        <v>277.60000000000002</v>
      </c>
      <c r="G103" s="222">
        <v>275.60000000000002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44526</v>
      </c>
      <c r="D104" s="196" t="s">
        <v>23</v>
      </c>
      <c r="E104" s="222" t="s">
        <v>28</v>
      </c>
      <c r="F104" s="223">
        <v>269.7</v>
      </c>
      <c r="G104" s="222">
        <v>270.7</v>
      </c>
      <c r="H104" s="274">
        <v>-1</v>
      </c>
      <c r="I104" s="197">
        <v>5000</v>
      </c>
      <c r="J104" s="268">
        <f t="shared" si="10"/>
        <v>-5000</v>
      </c>
      <c r="K104" s="185"/>
      <c r="V104" s="183">
        <f t="shared" si="11"/>
        <v>0</v>
      </c>
      <c r="W104" s="183">
        <f t="shared" si="12"/>
        <v>1</v>
      </c>
    </row>
    <row r="105" spans="1:23" x14ac:dyDescent="0.3">
      <c r="A105" s="184"/>
      <c r="B105" s="194">
        <v>16</v>
      </c>
      <c r="C105" s="195">
        <v>44529</v>
      </c>
      <c r="D105" s="196" t="s">
        <v>23</v>
      </c>
      <c r="E105" s="222" t="s">
        <v>28</v>
      </c>
      <c r="F105" s="222">
        <v>270</v>
      </c>
      <c r="G105" s="222">
        <v>269</v>
      </c>
      <c r="H105" s="274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44530</v>
      </c>
      <c r="D106" s="196" t="s">
        <v>23</v>
      </c>
      <c r="E106" s="222" t="s">
        <v>28</v>
      </c>
      <c r="F106" s="222">
        <v>275.5</v>
      </c>
      <c r="G106" s="222">
        <v>274.5</v>
      </c>
      <c r="H106" s="274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/>
      <c r="D107" s="196"/>
      <c r="E107" s="222"/>
      <c r="F107" s="222"/>
      <c r="G107" s="222"/>
      <c r="H107" s="274"/>
      <c r="I107" s="197"/>
      <c r="J107" s="268">
        <f t="shared" si="10"/>
        <v>0</v>
      </c>
      <c r="K107" s="185"/>
      <c r="V107" s="183">
        <f t="shared" si="11"/>
        <v>0</v>
      </c>
      <c r="W107" s="183">
        <f t="shared" si="12"/>
        <v>0</v>
      </c>
    </row>
    <row r="108" spans="1:23" x14ac:dyDescent="0.3">
      <c r="A108" s="184"/>
      <c r="B108" s="194">
        <v>19</v>
      </c>
      <c r="C108" s="195"/>
      <c r="D108" s="196"/>
      <c r="E108" s="222"/>
      <c r="F108" s="222"/>
      <c r="G108" s="222"/>
      <c r="H108" s="274"/>
      <c r="I108" s="197"/>
      <c r="J108" s="268">
        <f t="shared" si="10"/>
        <v>0</v>
      </c>
      <c r="K108" s="185"/>
      <c r="V108" s="183">
        <f t="shared" si="11"/>
        <v>0</v>
      </c>
      <c r="W108" s="183">
        <f t="shared" si="12"/>
        <v>0</v>
      </c>
    </row>
    <row r="109" spans="1:23" x14ac:dyDescent="0.3">
      <c r="A109" s="184"/>
      <c r="B109" s="194">
        <v>20</v>
      </c>
      <c r="C109" s="195"/>
      <c r="D109" s="196"/>
      <c r="E109" s="222"/>
      <c r="F109" s="222"/>
      <c r="G109" s="222"/>
      <c r="H109" s="274"/>
      <c r="I109" s="197"/>
      <c r="J109" s="268">
        <f t="shared" si="10"/>
        <v>0</v>
      </c>
      <c r="K109" s="185"/>
      <c r="V109" s="183">
        <f t="shared" si="11"/>
        <v>0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45500.000000000262</v>
      </c>
      <c r="K113" s="185"/>
      <c r="V113" s="183">
        <f>SUM(V90:V112)</f>
        <v>12</v>
      </c>
      <c r="W113" s="183">
        <f>SUM(W90:W112)</f>
        <v>5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B00-000000000000}"/>
    <hyperlink ref="B82" r:id="rId2" xr:uid="{00000000-0004-0000-6B00-000001000000}"/>
    <hyperlink ref="M4:M5" location="'OCT 2021'!A1" display="BULLION" xr:uid="{00000000-0004-0000-6B00-000002000000}"/>
    <hyperlink ref="B113" r:id="rId3" xr:uid="{00000000-0004-0000-6B00-000003000000}"/>
    <hyperlink ref="M8:M9" location="'OCT 2021'!A86" display="BASE METAL" xr:uid="{00000000-0004-0000-6B00-000004000000}"/>
    <hyperlink ref="M1" location="MASTER!A1" display="Back" xr:uid="{00000000-0004-0000-6B00-000005000000}"/>
    <hyperlink ref="M6:M7" location="'OCT 2021'!A54" display="ENERGY" xr:uid="{00000000-0004-0000-6B00-000006000000}"/>
  </hyperlinks>
  <pageMargins left="0" right="0" top="0" bottom="0" header="0" footer="0"/>
  <pageSetup paperSize="9" orientation="portrait" r:id="rId4"/>
  <drawing r:id="rId5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W11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10.6640625" style="183" customWidth="1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44531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46</v>
      </c>
      <c r="O4" s="355">
        <v>39</v>
      </c>
      <c r="P4" s="355">
        <f>W52</f>
        <v>7</v>
      </c>
      <c r="Q4" s="356">
        <v>0</v>
      </c>
      <c r="R4" s="343">
        <f>O4/N4</f>
        <v>0.84782608695652173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44531</v>
      </c>
      <c r="D6" s="192" t="s">
        <v>16</v>
      </c>
      <c r="E6" s="192" t="s">
        <v>24</v>
      </c>
      <c r="F6" s="193">
        <v>47800</v>
      </c>
      <c r="G6" s="193">
        <v>47940</v>
      </c>
      <c r="H6" s="192">
        <v>140</v>
      </c>
      <c r="I6" s="193">
        <v>100</v>
      </c>
      <c r="J6" s="267">
        <f>H6*I6</f>
        <v>14000</v>
      </c>
      <c r="K6" s="185"/>
      <c r="M6" s="364" t="s">
        <v>258</v>
      </c>
      <c r="N6" s="347">
        <f>COUNT(C60:C82)</f>
        <v>23</v>
      </c>
      <c r="O6" s="348">
        <f>V83</f>
        <v>19</v>
      </c>
      <c r="P6" s="348">
        <f>W83</f>
        <v>4</v>
      </c>
      <c r="Q6" s="349">
        <f>N6-O6-P6</f>
        <v>0</v>
      </c>
      <c r="R6" s="345">
        <f t="shared" ref="R6" si="0">O6/N6</f>
        <v>0.82608695652173914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44531</v>
      </c>
      <c r="D7" s="196" t="s">
        <v>16</v>
      </c>
      <c r="E7" s="196" t="s">
        <v>22</v>
      </c>
      <c r="F7" s="197">
        <v>62300</v>
      </c>
      <c r="G7" s="197">
        <v>62500</v>
      </c>
      <c r="H7" s="196">
        <v>200</v>
      </c>
      <c r="I7" s="197">
        <v>30</v>
      </c>
      <c r="J7" s="268">
        <f t="shared" ref="J7:J51" si="1">H7*I7</f>
        <v>6000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44532</v>
      </c>
      <c r="D8" s="196" t="s">
        <v>16</v>
      </c>
      <c r="E8" s="196" t="s">
        <v>24</v>
      </c>
      <c r="F8" s="197">
        <v>47640</v>
      </c>
      <c r="G8" s="197">
        <v>47820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COUNT(C91:C113)</f>
        <v>23</v>
      </c>
      <c r="O8" s="348">
        <f>V114</f>
        <v>19</v>
      </c>
      <c r="P8" s="348">
        <f>W114</f>
        <v>4</v>
      </c>
      <c r="Q8" s="349">
        <f>N8-O8-P8</f>
        <v>0</v>
      </c>
      <c r="R8" s="345">
        <f t="shared" ref="R8" si="4">O8/N8</f>
        <v>0.82608695652173914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44532</v>
      </c>
      <c r="D9" s="196" t="s">
        <v>16</v>
      </c>
      <c r="E9" s="196" t="s">
        <v>22</v>
      </c>
      <c r="F9" s="197">
        <v>61050</v>
      </c>
      <c r="G9" s="197">
        <v>61450</v>
      </c>
      <c r="H9" s="196">
        <f>61450-61050</f>
        <v>400</v>
      </c>
      <c r="I9" s="197">
        <v>30</v>
      </c>
      <c r="J9" s="268">
        <f t="shared" si="1"/>
        <v>12000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44533</v>
      </c>
      <c r="D10" s="196" t="s">
        <v>23</v>
      </c>
      <c r="E10" s="196" t="s">
        <v>24</v>
      </c>
      <c r="F10" s="197">
        <v>47600</v>
      </c>
      <c r="G10" s="197">
        <v>47525</v>
      </c>
      <c r="H10" s="196">
        <f>47600-47525</f>
        <v>75</v>
      </c>
      <c r="I10" s="197">
        <v>100</v>
      </c>
      <c r="J10" s="268">
        <f t="shared" si="1"/>
        <v>7500</v>
      </c>
      <c r="K10" s="185"/>
      <c r="M10" s="319" t="s">
        <v>300</v>
      </c>
      <c r="N10" s="321">
        <f>SUM(N4:N9)</f>
        <v>92</v>
      </c>
      <c r="O10" s="321">
        <f>SUM(O4:O9)</f>
        <v>77</v>
      </c>
      <c r="P10" s="321">
        <f>SUM(P4:P9)</f>
        <v>15</v>
      </c>
      <c r="Q10" s="341">
        <f>SUM(Q4:Q9)</f>
        <v>0</v>
      </c>
      <c r="R10" s="343">
        <f t="shared" ref="R10" si="5">O10/N10</f>
        <v>0.83695652173913049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44533</v>
      </c>
      <c r="D11" s="196" t="s">
        <v>23</v>
      </c>
      <c r="E11" s="196" t="s">
        <v>22</v>
      </c>
      <c r="F11" s="197">
        <v>61300</v>
      </c>
      <c r="G11" s="197">
        <v>61100</v>
      </c>
      <c r="H11" s="196">
        <v>200</v>
      </c>
      <c r="I11" s="197">
        <v>30</v>
      </c>
      <c r="J11" s="268">
        <f t="shared" si="1"/>
        <v>6000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44536</v>
      </c>
      <c r="D12" s="196" t="s">
        <v>23</v>
      </c>
      <c r="E12" s="196" t="s">
        <v>24</v>
      </c>
      <c r="F12" s="197">
        <v>47950</v>
      </c>
      <c r="G12" s="197">
        <v>47900</v>
      </c>
      <c r="H12" s="196">
        <v>50</v>
      </c>
      <c r="I12" s="197">
        <v>100</v>
      </c>
      <c r="J12" s="268">
        <f t="shared" si="1"/>
        <v>5000</v>
      </c>
      <c r="K12" s="185"/>
      <c r="M12" s="323" t="s">
        <v>878</v>
      </c>
      <c r="N12" s="324"/>
      <c r="O12" s="325"/>
      <c r="P12" s="332">
        <f>R10</f>
        <v>0.83695652173913049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44536</v>
      </c>
      <c r="D13" s="196" t="s">
        <v>23</v>
      </c>
      <c r="E13" s="196" t="s">
        <v>22</v>
      </c>
      <c r="F13" s="197">
        <v>61350</v>
      </c>
      <c r="G13" s="197">
        <v>61250</v>
      </c>
      <c r="H13" s="196">
        <v>100</v>
      </c>
      <c r="I13" s="197">
        <v>30</v>
      </c>
      <c r="J13" s="268">
        <f t="shared" si="1"/>
        <v>3000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44537</v>
      </c>
      <c r="D14" s="196" t="s">
        <v>23</v>
      </c>
      <c r="E14" s="196" t="s">
        <v>24</v>
      </c>
      <c r="F14" s="197">
        <v>47940</v>
      </c>
      <c r="G14" s="197">
        <v>48040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44537</v>
      </c>
      <c r="D15" s="196" t="s">
        <v>23</v>
      </c>
      <c r="E15" s="196" t="s">
        <v>22</v>
      </c>
      <c r="F15" s="197">
        <v>61600</v>
      </c>
      <c r="G15" s="197">
        <v>61440</v>
      </c>
      <c r="H15" s="196">
        <v>160</v>
      </c>
      <c r="I15" s="197">
        <v>30</v>
      </c>
      <c r="J15" s="268">
        <f t="shared" si="1"/>
        <v>4800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44538</v>
      </c>
      <c r="D16" s="196" t="s">
        <v>16</v>
      </c>
      <c r="E16" s="196" t="s">
        <v>24</v>
      </c>
      <c r="F16" s="197">
        <v>48180</v>
      </c>
      <c r="G16" s="197">
        <v>48280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44538</v>
      </c>
      <c r="D17" s="196" t="s">
        <v>16</v>
      </c>
      <c r="E17" s="196" t="s">
        <v>22</v>
      </c>
      <c r="F17" s="197">
        <v>61700</v>
      </c>
      <c r="G17" s="197">
        <v>61400</v>
      </c>
      <c r="H17" s="196">
        <v>-300</v>
      </c>
      <c r="I17" s="197">
        <v>100</v>
      </c>
      <c r="J17" s="268">
        <f t="shared" si="1"/>
        <v>-30000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44539</v>
      </c>
      <c r="D18" s="196" t="s">
        <v>23</v>
      </c>
      <c r="E18" s="196" t="s">
        <v>24</v>
      </c>
      <c r="F18" s="197">
        <v>48100</v>
      </c>
      <c r="G18" s="197">
        <v>47900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44539</v>
      </c>
      <c r="D19" s="196" t="s">
        <v>23</v>
      </c>
      <c r="E19" s="196" t="s">
        <v>22</v>
      </c>
      <c r="F19" s="197">
        <v>61400</v>
      </c>
      <c r="G19" s="197">
        <v>60800</v>
      </c>
      <c r="H19" s="196">
        <v>600</v>
      </c>
      <c r="I19" s="197">
        <v>30</v>
      </c>
      <c r="J19" s="268">
        <f t="shared" si="1"/>
        <v>18000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44540</v>
      </c>
      <c r="D20" s="196" t="s">
        <v>23</v>
      </c>
      <c r="E20" s="196" t="s">
        <v>24</v>
      </c>
      <c r="F20" s="197">
        <v>47920</v>
      </c>
      <c r="G20" s="197">
        <v>47870</v>
      </c>
      <c r="H20" s="196">
        <f>47920-47870</f>
        <v>50</v>
      </c>
      <c r="I20" s="197">
        <v>100</v>
      </c>
      <c r="J20" s="268">
        <f t="shared" si="1"/>
        <v>5000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44540</v>
      </c>
      <c r="D21" s="196" t="s">
        <v>23</v>
      </c>
      <c r="E21" s="196" t="s">
        <v>22</v>
      </c>
      <c r="F21" s="197">
        <v>60600</v>
      </c>
      <c r="G21" s="197">
        <v>60440</v>
      </c>
      <c r="H21" s="196">
        <f>60600-60440</f>
        <v>160</v>
      </c>
      <c r="I21" s="197">
        <v>30</v>
      </c>
      <c r="J21" s="268">
        <f t="shared" si="1"/>
        <v>4800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44543</v>
      </c>
      <c r="D22" s="196" t="s">
        <v>23</v>
      </c>
      <c r="E22" s="196" t="s">
        <v>24</v>
      </c>
      <c r="F22" s="197">
        <v>48220</v>
      </c>
      <c r="G22" s="197">
        <v>48320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44543</v>
      </c>
      <c r="D23" s="196" t="s">
        <v>23</v>
      </c>
      <c r="E23" s="196" t="s">
        <v>22</v>
      </c>
      <c r="F23" s="197">
        <v>61250</v>
      </c>
      <c r="G23" s="197">
        <v>61550</v>
      </c>
      <c r="H23" s="196">
        <v>-300</v>
      </c>
      <c r="I23" s="197">
        <v>30</v>
      </c>
      <c r="J23" s="268">
        <f t="shared" si="1"/>
        <v>-9000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44544</v>
      </c>
      <c r="D24" s="196" t="s">
        <v>23</v>
      </c>
      <c r="E24" s="196" t="s">
        <v>24</v>
      </c>
      <c r="F24" s="197">
        <v>48340</v>
      </c>
      <c r="G24" s="197">
        <v>48170</v>
      </c>
      <c r="H24" s="196">
        <f>48340-48170</f>
        <v>170</v>
      </c>
      <c r="I24" s="197">
        <v>100</v>
      </c>
      <c r="J24" s="268">
        <f t="shared" si="1"/>
        <v>17000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44544</v>
      </c>
      <c r="D25" s="196" t="s">
        <v>23</v>
      </c>
      <c r="E25" s="196" t="s">
        <v>22</v>
      </c>
      <c r="F25" s="197">
        <v>61600</v>
      </c>
      <c r="G25" s="197">
        <v>61180</v>
      </c>
      <c r="H25" s="196">
        <f>61600-61180</f>
        <v>420</v>
      </c>
      <c r="I25" s="197">
        <v>30</v>
      </c>
      <c r="J25" s="268">
        <f t="shared" si="1"/>
        <v>12600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44545</v>
      </c>
      <c r="D26" s="196" t="s">
        <v>23</v>
      </c>
      <c r="E26" s="196" t="s">
        <v>24</v>
      </c>
      <c r="F26" s="197">
        <v>48000</v>
      </c>
      <c r="G26" s="197">
        <v>48100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44545</v>
      </c>
      <c r="D27" s="196" t="s">
        <v>23</v>
      </c>
      <c r="E27" s="196" t="s">
        <v>22</v>
      </c>
      <c r="F27" s="197">
        <v>60800</v>
      </c>
      <c r="G27" s="197">
        <v>60650</v>
      </c>
      <c r="H27" s="196">
        <f>60800-60650</f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44546</v>
      </c>
      <c r="D28" s="196" t="s">
        <v>23</v>
      </c>
      <c r="E28" s="196" t="s">
        <v>24</v>
      </c>
      <c r="F28" s="197">
        <v>48420</v>
      </c>
      <c r="G28" s="197">
        <v>48330</v>
      </c>
      <c r="H28" s="196">
        <f>48420-48330</f>
        <v>90</v>
      </c>
      <c r="I28" s="197">
        <v>100</v>
      </c>
      <c r="J28" s="268">
        <f t="shared" si="1"/>
        <v>9000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44546</v>
      </c>
      <c r="D29" s="196" t="s">
        <v>23</v>
      </c>
      <c r="E29" s="196" t="s">
        <v>22</v>
      </c>
      <c r="F29" s="197">
        <v>61450</v>
      </c>
      <c r="G29" s="197">
        <v>61320</v>
      </c>
      <c r="H29" s="196">
        <f>61450-61320</f>
        <v>130</v>
      </c>
      <c r="I29" s="197">
        <v>30</v>
      </c>
      <c r="J29" s="268">
        <f t="shared" si="1"/>
        <v>3900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44547</v>
      </c>
      <c r="D30" s="196" t="s">
        <v>23</v>
      </c>
      <c r="E30" s="196" t="s">
        <v>24</v>
      </c>
      <c r="F30" s="197">
        <v>48750</v>
      </c>
      <c r="G30" s="197">
        <v>48650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44547</v>
      </c>
      <c r="D31" s="196" t="s">
        <v>23</v>
      </c>
      <c r="E31" s="196" t="s">
        <v>22</v>
      </c>
      <c r="F31" s="197">
        <v>62400</v>
      </c>
      <c r="G31" s="197">
        <v>62150</v>
      </c>
      <c r="H31" s="196">
        <f>62400-62150</f>
        <v>250</v>
      </c>
      <c r="I31" s="197">
        <v>30</v>
      </c>
      <c r="J31" s="268">
        <f t="shared" si="1"/>
        <v>7500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44550</v>
      </c>
      <c r="D32" s="196" t="s">
        <v>23</v>
      </c>
      <c r="E32" s="196" t="s">
        <v>24</v>
      </c>
      <c r="F32" s="197">
        <v>48470</v>
      </c>
      <c r="G32" s="197">
        <v>48370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44550</v>
      </c>
      <c r="D33" s="196" t="s">
        <v>23</v>
      </c>
      <c r="E33" s="196" t="s">
        <v>22</v>
      </c>
      <c r="F33" s="197">
        <v>61550</v>
      </c>
      <c r="G33" s="197">
        <v>61280</v>
      </c>
      <c r="H33" s="196">
        <f>61550-61280</f>
        <v>270</v>
      </c>
      <c r="I33" s="197">
        <v>30</v>
      </c>
      <c r="J33" s="268">
        <f t="shared" si="1"/>
        <v>8100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44551</v>
      </c>
      <c r="D34" s="196" t="s">
        <v>23</v>
      </c>
      <c r="E34" s="196" t="s">
        <v>24</v>
      </c>
      <c r="F34" s="197">
        <v>48080</v>
      </c>
      <c r="G34" s="197">
        <v>47980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44551</v>
      </c>
      <c r="D35" s="196" t="s">
        <v>23</v>
      </c>
      <c r="E35" s="196" t="s">
        <v>22</v>
      </c>
      <c r="F35" s="197">
        <v>61500</v>
      </c>
      <c r="G35" s="197">
        <v>61360</v>
      </c>
      <c r="H35" s="196">
        <f>61500-61360</f>
        <v>140</v>
      </c>
      <c r="I35" s="197">
        <v>30</v>
      </c>
      <c r="J35" s="268">
        <f t="shared" si="1"/>
        <v>4200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44552</v>
      </c>
      <c r="D36" s="196" t="s">
        <v>23</v>
      </c>
      <c r="E36" s="196" t="s">
        <v>24</v>
      </c>
      <c r="F36" s="197">
        <v>48000</v>
      </c>
      <c r="G36" s="197">
        <v>48100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44552</v>
      </c>
      <c r="D37" s="196" t="s">
        <v>23</v>
      </c>
      <c r="E37" s="196" t="s">
        <v>22</v>
      </c>
      <c r="F37" s="197">
        <v>61800</v>
      </c>
      <c r="G37" s="197">
        <v>61600</v>
      </c>
      <c r="H37" s="196">
        <v>200</v>
      </c>
      <c r="I37" s="197">
        <v>30</v>
      </c>
      <c r="J37" s="268">
        <f t="shared" si="1"/>
        <v>6000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44553</v>
      </c>
      <c r="D38" s="196" t="s">
        <v>23</v>
      </c>
      <c r="E38" s="196" t="s">
        <v>24</v>
      </c>
      <c r="F38" s="197">
        <v>48250</v>
      </c>
      <c r="G38" s="197">
        <v>48152</v>
      </c>
      <c r="H38" s="196">
        <f>48250-48152</f>
        <v>98</v>
      </c>
      <c r="I38" s="197">
        <v>100</v>
      </c>
      <c r="J38" s="268">
        <f t="shared" si="1"/>
        <v>9800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44553</v>
      </c>
      <c r="D39" s="196" t="s">
        <v>23</v>
      </c>
      <c r="E39" s="196" t="s">
        <v>22</v>
      </c>
      <c r="F39" s="197">
        <v>62400</v>
      </c>
      <c r="G39" s="197">
        <v>62125</v>
      </c>
      <c r="H39" s="196">
        <f>62400-62125</f>
        <v>275</v>
      </c>
      <c r="I39" s="197">
        <v>30</v>
      </c>
      <c r="J39" s="268">
        <f t="shared" si="1"/>
        <v>8250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44554</v>
      </c>
      <c r="D40" s="196" t="s">
        <v>23</v>
      </c>
      <c r="E40" s="196" t="s">
        <v>24</v>
      </c>
      <c r="F40" s="197">
        <v>48270</v>
      </c>
      <c r="G40" s="197">
        <v>48210</v>
      </c>
      <c r="H40" s="196">
        <v>60</v>
      </c>
      <c r="I40" s="197">
        <v>100</v>
      </c>
      <c r="J40" s="268">
        <f t="shared" si="1"/>
        <v>6000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44554</v>
      </c>
      <c r="D41" s="196" t="s">
        <v>23</v>
      </c>
      <c r="E41" s="196" t="s">
        <v>22</v>
      </c>
      <c r="F41" s="197">
        <v>62330</v>
      </c>
      <c r="G41" s="197">
        <v>62660</v>
      </c>
      <c r="H41" s="196">
        <v>-300</v>
      </c>
      <c r="I41" s="197">
        <v>30</v>
      </c>
      <c r="J41" s="268">
        <f t="shared" si="1"/>
        <v>-9000</v>
      </c>
      <c r="K41" s="185"/>
      <c r="V41" s="183">
        <f t="shared" si="2"/>
        <v>0</v>
      </c>
      <c r="W41" s="183">
        <f t="shared" si="3"/>
        <v>1</v>
      </c>
    </row>
    <row r="42" spans="1:23" x14ac:dyDescent="0.3">
      <c r="A42" s="184"/>
      <c r="B42" s="194">
        <v>37</v>
      </c>
      <c r="C42" s="195">
        <v>44557</v>
      </c>
      <c r="D42" s="196" t="s">
        <v>23</v>
      </c>
      <c r="E42" s="196" t="s">
        <v>24</v>
      </c>
      <c r="F42" s="197">
        <v>48220</v>
      </c>
      <c r="G42" s="197">
        <v>48070</v>
      </c>
      <c r="H42" s="196">
        <f>48220-48070</f>
        <v>150</v>
      </c>
      <c r="I42" s="197">
        <v>100</v>
      </c>
      <c r="J42" s="268">
        <f t="shared" si="1"/>
        <v>15000</v>
      </c>
      <c r="K42" s="185"/>
    </row>
    <row r="43" spans="1:23" x14ac:dyDescent="0.3">
      <c r="A43" s="184"/>
      <c r="B43" s="194">
        <v>38</v>
      </c>
      <c r="C43" s="195">
        <v>44557</v>
      </c>
      <c r="D43" s="196" t="s">
        <v>23</v>
      </c>
      <c r="E43" s="196" t="s">
        <v>22</v>
      </c>
      <c r="F43" s="197">
        <v>62000</v>
      </c>
      <c r="G43" s="197">
        <v>61850</v>
      </c>
      <c r="H43" s="196">
        <f>62000-61850</f>
        <v>150</v>
      </c>
      <c r="I43" s="197">
        <v>30</v>
      </c>
      <c r="J43" s="268">
        <f t="shared" si="1"/>
        <v>4500</v>
      </c>
      <c r="K43" s="185"/>
    </row>
    <row r="44" spans="1:23" x14ac:dyDescent="0.3">
      <c r="A44" s="184"/>
      <c r="B44" s="194">
        <v>39</v>
      </c>
      <c r="C44" s="195">
        <v>44558</v>
      </c>
      <c r="D44" s="196" t="s">
        <v>23</v>
      </c>
      <c r="E44" s="196" t="s">
        <v>24</v>
      </c>
      <c r="F44" s="197">
        <v>48150</v>
      </c>
      <c r="G44" s="197">
        <v>48095</v>
      </c>
      <c r="H44" s="196">
        <f>48150-48095</f>
        <v>55</v>
      </c>
      <c r="I44" s="197">
        <v>100</v>
      </c>
      <c r="J44" s="268">
        <f t="shared" si="1"/>
        <v>5500</v>
      </c>
      <c r="K44" s="185"/>
    </row>
    <row r="45" spans="1:23" x14ac:dyDescent="0.3">
      <c r="A45" s="184"/>
      <c r="B45" s="194">
        <v>40</v>
      </c>
      <c r="C45" s="195">
        <v>44558</v>
      </c>
      <c r="D45" s="196" t="s">
        <v>23</v>
      </c>
      <c r="E45" s="196" t="s">
        <v>22</v>
      </c>
      <c r="F45" s="197">
        <v>62500</v>
      </c>
      <c r="G45" s="197">
        <v>62350</v>
      </c>
      <c r="H45" s="196">
        <f>62500-62350</f>
        <v>150</v>
      </c>
      <c r="I45" s="197">
        <v>30</v>
      </c>
      <c r="J45" s="268">
        <f t="shared" si="1"/>
        <v>4500</v>
      </c>
      <c r="K45" s="185"/>
    </row>
    <row r="46" spans="1:23" x14ac:dyDescent="0.3">
      <c r="A46" s="184"/>
      <c r="B46" s="194">
        <v>41</v>
      </c>
      <c r="C46" s="195">
        <v>44559</v>
      </c>
      <c r="D46" s="196" t="s">
        <v>23</v>
      </c>
      <c r="E46" s="196" t="s">
        <v>24</v>
      </c>
      <c r="F46" s="197">
        <v>47910</v>
      </c>
      <c r="G46" s="197">
        <v>47710</v>
      </c>
      <c r="H46" s="196">
        <v>200</v>
      </c>
      <c r="I46" s="197">
        <v>100</v>
      </c>
      <c r="J46" s="268">
        <f t="shared" si="1"/>
        <v>20000</v>
      </c>
      <c r="K46" s="185"/>
    </row>
    <row r="47" spans="1:23" x14ac:dyDescent="0.3">
      <c r="A47" s="184"/>
      <c r="B47" s="194">
        <v>42</v>
      </c>
      <c r="C47" s="195">
        <v>44559</v>
      </c>
      <c r="D47" s="196" t="s">
        <v>23</v>
      </c>
      <c r="E47" s="196" t="s">
        <v>22</v>
      </c>
      <c r="F47" s="197">
        <v>62600</v>
      </c>
      <c r="G47" s="197">
        <v>62000</v>
      </c>
      <c r="H47" s="196">
        <v>600</v>
      </c>
      <c r="I47" s="197">
        <v>30</v>
      </c>
      <c r="J47" s="268">
        <f t="shared" si="1"/>
        <v>18000</v>
      </c>
      <c r="K47" s="185"/>
    </row>
    <row r="48" spans="1:23" x14ac:dyDescent="0.3">
      <c r="A48" s="184"/>
      <c r="B48" s="194">
        <v>43</v>
      </c>
      <c r="C48" s="195">
        <v>44560</v>
      </c>
      <c r="D48" s="196" t="s">
        <v>23</v>
      </c>
      <c r="E48" s="196" t="s">
        <v>24</v>
      </c>
      <c r="F48" s="197">
        <v>47680</v>
      </c>
      <c r="G48" s="197">
        <v>47580</v>
      </c>
      <c r="H48" s="196">
        <v>100</v>
      </c>
      <c r="I48" s="197">
        <v>100</v>
      </c>
      <c r="J48" s="268">
        <f t="shared" si="1"/>
        <v>10000</v>
      </c>
      <c r="K48" s="185"/>
      <c r="V48" s="183">
        <f t="shared" si="2"/>
        <v>1</v>
      </c>
      <c r="W48" s="183">
        <f t="shared" si="3"/>
        <v>0</v>
      </c>
    </row>
    <row r="49" spans="1:23" x14ac:dyDescent="0.3">
      <c r="A49" s="184"/>
      <c r="B49" s="194">
        <v>44</v>
      </c>
      <c r="C49" s="195">
        <v>44560</v>
      </c>
      <c r="D49" s="196" t="s">
        <v>23</v>
      </c>
      <c r="E49" s="196" t="s">
        <v>22</v>
      </c>
      <c r="F49" s="197">
        <v>61400</v>
      </c>
      <c r="G49" s="197">
        <v>61250</v>
      </c>
      <c r="H49" s="196">
        <f>61400-61250</f>
        <v>150</v>
      </c>
      <c r="I49" s="197">
        <v>30</v>
      </c>
      <c r="J49" s="268">
        <f t="shared" si="1"/>
        <v>4500</v>
      </c>
      <c r="K49" s="185"/>
      <c r="V49" s="183">
        <f t="shared" si="2"/>
        <v>1</v>
      </c>
      <c r="W49" s="183">
        <f t="shared" si="3"/>
        <v>0</v>
      </c>
    </row>
    <row r="50" spans="1:23" x14ac:dyDescent="0.3">
      <c r="A50" s="184"/>
      <c r="B50" s="194">
        <v>45</v>
      </c>
      <c r="C50" s="195">
        <v>44561</v>
      </c>
      <c r="D50" s="196" t="s">
        <v>23</v>
      </c>
      <c r="E50" s="196" t="s">
        <v>24</v>
      </c>
      <c r="F50" s="197">
        <v>47880</v>
      </c>
      <c r="G50" s="197">
        <v>47800</v>
      </c>
      <c r="H50" s="196">
        <v>80</v>
      </c>
      <c r="I50" s="197">
        <v>100</v>
      </c>
      <c r="J50" s="268">
        <f t="shared" si="1"/>
        <v>8000</v>
      </c>
      <c r="K50" s="185"/>
    </row>
    <row r="51" spans="1:23" ht="15" thickBot="1" x14ac:dyDescent="0.35">
      <c r="A51" s="184"/>
      <c r="B51" s="194">
        <v>46</v>
      </c>
      <c r="C51" s="195">
        <v>44561</v>
      </c>
      <c r="D51" s="196" t="s">
        <v>23</v>
      </c>
      <c r="E51" s="196" t="s">
        <v>22</v>
      </c>
      <c r="F51" s="197">
        <v>62300</v>
      </c>
      <c r="G51" s="197">
        <v>62120</v>
      </c>
      <c r="H51" s="196">
        <f>62300-62120</f>
        <v>180</v>
      </c>
      <c r="I51" s="197">
        <v>30</v>
      </c>
      <c r="J51" s="268">
        <f t="shared" si="1"/>
        <v>5400</v>
      </c>
      <c r="K51" s="185"/>
      <c r="V51" s="183">
        <f t="shared" si="2"/>
        <v>1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270350</v>
      </c>
      <c r="K52" s="185"/>
      <c r="V52" s="183">
        <f>SUM(V6:V51)</f>
        <v>32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44531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44531</v>
      </c>
      <c r="D60" s="192" t="s">
        <v>23</v>
      </c>
      <c r="E60" s="192" t="s">
        <v>25</v>
      </c>
      <c r="F60" s="193">
        <v>5170</v>
      </c>
      <c r="G60" s="193">
        <v>5153</v>
      </c>
      <c r="H60" s="192">
        <f>5170-5153</f>
        <v>17</v>
      </c>
      <c r="I60" s="193">
        <v>100</v>
      </c>
      <c r="J60" s="267">
        <f t="shared" ref="J60:J82" si="7">I60*H60</f>
        <v>1700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44532</v>
      </c>
      <c r="D61" s="196" t="s">
        <v>23</v>
      </c>
      <c r="E61" s="196" t="s">
        <v>25</v>
      </c>
      <c r="F61" s="197">
        <v>5060</v>
      </c>
      <c r="G61" s="197">
        <v>5000</v>
      </c>
      <c r="H61" s="196">
        <v>60</v>
      </c>
      <c r="I61" s="197">
        <v>100</v>
      </c>
      <c r="J61" s="268">
        <f t="shared" si="7"/>
        <v>6000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44533</v>
      </c>
      <c r="D62" s="196" t="s">
        <v>23</v>
      </c>
      <c r="E62" s="196" t="s">
        <v>25</v>
      </c>
      <c r="F62" s="197">
        <v>5095</v>
      </c>
      <c r="G62" s="197">
        <v>5125</v>
      </c>
      <c r="H62" s="196">
        <v>-30</v>
      </c>
      <c r="I62" s="197">
        <v>100</v>
      </c>
      <c r="J62" s="268">
        <f t="shared" si="7"/>
        <v>-3000</v>
      </c>
      <c r="K62" s="185"/>
      <c r="V62" s="183">
        <f t="shared" si="8"/>
        <v>0</v>
      </c>
      <c r="W62" s="183">
        <f t="shared" si="9"/>
        <v>1</v>
      </c>
    </row>
    <row r="63" spans="1:23" x14ac:dyDescent="0.3">
      <c r="A63" s="184"/>
      <c r="B63" s="194">
        <v>4</v>
      </c>
      <c r="C63" s="195">
        <v>44536</v>
      </c>
      <c r="D63" s="196" t="s">
        <v>23</v>
      </c>
      <c r="E63" s="196" t="s">
        <v>25</v>
      </c>
      <c r="F63" s="197">
        <v>5155</v>
      </c>
      <c r="G63" s="197">
        <v>5115</v>
      </c>
      <c r="H63" s="196">
        <f>5155-5115</f>
        <v>40</v>
      </c>
      <c r="I63" s="197">
        <v>100</v>
      </c>
      <c r="J63" s="268">
        <f t="shared" si="7"/>
        <v>4000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44537</v>
      </c>
      <c r="D64" s="196" t="s">
        <v>23</v>
      </c>
      <c r="E64" s="196" t="s">
        <v>25</v>
      </c>
      <c r="F64" s="197">
        <v>5325</v>
      </c>
      <c r="G64" s="197">
        <v>5308</v>
      </c>
      <c r="H64" s="196">
        <f>5325-5308</f>
        <v>17</v>
      </c>
      <c r="I64" s="197">
        <v>100</v>
      </c>
      <c r="J64" s="268">
        <f t="shared" si="7"/>
        <v>1700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44538</v>
      </c>
      <c r="D65" s="196" t="s">
        <v>23</v>
      </c>
      <c r="E65" s="196" t="s">
        <v>25</v>
      </c>
      <c r="F65" s="197">
        <v>5475</v>
      </c>
      <c r="G65" s="197">
        <v>5415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44539</v>
      </c>
      <c r="D66" s="196" t="s">
        <v>23</v>
      </c>
      <c r="E66" s="196" t="s">
        <v>25</v>
      </c>
      <c r="F66" s="222">
        <v>5455</v>
      </c>
      <c r="G66" s="222">
        <v>5395</v>
      </c>
      <c r="H66" s="196">
        <f>5455-5395</f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44540</v>
      </c>
      <c r="D67" s="196" t="s">
        <v>23</v>
      </c>
      <c r="E67" s="196" t="s">
        <v>25</v>
      </c>
      <c r="F67" s="197">
        <v>5415</v>
      </c>
      <c r="G67" s="197">
        <v>5385</v>
      </c>
      <c r="H67" s="196">
        <f>5385-5415</f>
        <v>-30</v>
      </c>
      <c r="I67" s="197">
        <v>100</v>
      </c>
      <c r="J67" s="268">
        <f t="shared" si="7"/>
        <v>-3000</v>
      </c>
      <c r="K67" s="185"/>
      <c r="V67" s="183">
        <f t="shared" si="8"/>
        <v>0</v>
      </c>
      <c r="W67" s="183">
        <f t="shared" si="9"/>
        <v>1</v>
      </c>
    </row>
    <row r="68" spans="1:23" x14ac:dyDescent="0.3">
      <c r="A68" s="184"/>
      <c r="B68" s="194">
        <v>9</v>
      </c>
      <c r="C68" s="195">
        <v>44543</v>
      </c>
      <c r="D68" s="196" t="s">
        <v>23</v>
      </c>
      <c r="E68" s="196" t="s">
        <v>25</v>
      </c>
      <c r="F68" s="197">
        <v>5475</v>
      </c>
      <c r="G68" s="197">
        <v>5415</v>
      </c>
      <c r="H68" s="196"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44544</v>
      </c>
      <c r="D69" s="196" t="s">
        <v>23</v>
      </c>
      <c r="E69" s="196" t="s">
        <v>25</v>
      </c>
      <c r="F69" s="197">
        <v>5430</v>
      </c>
      <c r="G69" s="197">
        <v>5460</v>
      </c>
      <c r="H69" s="196">
        <v>-30</v>
      </c>
      <c r="I69" s="197">
        <v>100</v>
      </c>
      <c r="J69" s="268">
        <f t="shared" si="7"/>
        <v>-3000</v>
      </c>
      <c r="K69" s="185"/>
      <c r="V69" s="183">
        <f t="shared" si="8"/>
        <v>0</v>
      </c>
      <c r="W69" s="183">
        <f t="shared" si="9"/>
        <v>1</v>
      </c>
    </row>
    <row r="70" spans="1:23" x14ac:dyDescent="0.3">
      <c r="A70" s="184"/>
      <c r="B70" s="194">
        <v>11</v>
      </c>
      <c r="C70" s="195">
        <v>44545</v>
      </c>
      <c r="D70" s="196" t="s">
        <v>23</v>
      </c>
      <c r="E70" s="196" t="s">
        <v>25</v>
      </c>
      <c r="F70" s="197">
        <v>5345</v>
      </c>
      <c r="G70" s="197">
        <v>5300</v>
      </c>
      <c r="H70" s="196">
        <v>45</v>
      </c>
      <c r="I70" s="197">
        <v>100</v>
      </c>
      <c r="J70" s="268">
        <f t="shared" si="7"/>
        <v>4500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44546</v>
      </c>
      <c r="D71" s="196" t="s">
        <v>23</v>
      </c>
      <c r="E71" s="196" t="s">
        <v>25</v>
      </c>
      <c r="F71" s="197">
        <v>5475</v>
      </c>
      <c r="G71" s="197">
        <v>5415</v>
      </c>
      <c r="H71" s="196">
        <v>-30</v>
      </c>
      <c r="I71" s="197">
        <v>100</v>
      </c>
      <c r="J71" s="268">
        <f t="shared" si="7"/>
        <v>-3000</v>
      </c>
      <c r="K71" s="185"/>
      <c r="V71" s="183">
        <f t="shared" si="8"/>
        <v>0</v>
      </c>
      <c r="W71" s="183">
        <f t="shared" si="9"/>
        <v>1</v>
      </c>
    </row>
    <row r="72" spans="1:23" x14ac:dyDescent="0.3">
      <c r="A72" s="184"/>
      <c r="B72" s="194">
        <v>13</v>
      </c>
      <c r="C72" s="195">
        <v>44547</v>
      </c>
      <c r="D72" s="196" t="s">
        <v>23</v>
      </c>
      <c r="E72" s="196" t="s">
        <v>25</v>
      </c>
      <c r="F72" s="197">
        <v>5455</v>
      </c>
      <c r="G72" s="197">
        <v>5415</v>
      </c>
      <c r="H72" s="196">
        <f>5455-5415</f>
        <v>40</v>
      </c>
      <c r="I72" s="197">
        <v>100</v>
      </c>
      <c r="J72" s="268">
        <f t="shared" si="7"/>
        <v>4000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44550</v>
      </c>
      <c r="D73" s="196" t="s">
        <v>23</v>
      </c>
      <c r="E73" s="196" t="s">
        <v>25</v>
      </c>
      <c r="F73" s="197">
        <v>5135</v>
      </c>
      <c r="G73" s="197">
        <v>5092</v>
      </c>
      <c r="H73" s="196">
        <f>5135-5092</f>
        <v>43</v>
      </c>
      <c r="I73" s="197">
        <v>100</v>
      </c>
      <c r="J73" s="268">
        <f t="shared" si="7"/>
        <v>4300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44551</v>
      </c>
      <c r="D74" s="196" t="s">
        <v>23</v>
      </c>
      <c r="E74" s="196" t="s">
        <v>25</v>
      </c>
      <c r="F74" s="197">
        <v>5280</v>
      </c>
      <c r="G74" s="197">
        <v>5220</v>
      </c>
      <c r="H74" s="196">
        <f>5280-5220</f>
        <v>60</v>
      </c>
      <c r="I74" s="197">
        <v>100</v>
      </c>
      <c r="J74" s="268">
        <f t="shared" si="7"/>
        <v>6000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16</v>
      </c>
      <c r="C75" s="195">
        <v>44552</v>
      </c>
      <c r="D75" s="196" t="s">
        <v>23</v>
      </c>
      <c r="E75" s="196" t="s">
        <v>25</v>
      </c>
      <c r="F75" s="197">
        <v>5410</v>
      </c>
      <c r="G75" s="197">
        <v>5380</v>
      </c>
      <c r="H75" s="196">
        <v>30</v>
      </c>
      <c r="I75" s="197">
        <v>100</v>
      </c>
      <c r="J75" s="268">
        <f t="shared" si="7"/>
        <v>3000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44553</v>
      </c>
      <c r="D76" s="196" t="s">
        <v>23</v>
      </c>
      <c r="E76" s="196" t="s">
        <v>25</v>
      </c>
      <c r="F76" s="197">
        <v>5500</v>
      </c>
      <c r="G76" s="197">
        <v>5455</v>
      </c>
      <c r="H76" s="196">
        <f>5500-5455</f>
        <v>45</v>
      </c>
      <c r="I76" s="197">
        <v>100</v>
      </c>
      <c r="J76" s="268">
        <f t="shared" si="7"/>
        <v>4500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255"/>
      <c r="B77" s="194">
        <v>18</v>
      </c>
      <c r="C77" s="195">
        <v>44554</v>
      </c>
      <c r="D77" s="196" t="s">
        <v>23</v>
      </c>
      <c r="E77" s="196" t="s">
        <v>25</v>
      </c>
      <c r="F77" s="197">
        <v>5530</v>
      </c>
      <c r="G77" s="197">
        <v>5515</v>
      </c>
      <c r="H77" s="196">
        <v>15</v>
      </c>
      <c r="I77" s="197">
        <v>100</v>
      </c>
      <c r="J77" s="268">
        <f t="shared" si="7"/>
        <v>1500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44557</v>
      </c>
      <c r="D78" s="196" t="s">
        <v>23</v>
      </c>
      <c r="E78" s="196" t="s">
        <v>25</v>
      </c>
      <c r="F78" s="197">
        <v>5490</v>
      </c>
      <c r="G78" s="197">
        <v>5465</v>
      </c>
      <c r="H78" s="196">
        <f>5490-5465</f>
        <v>25</v>
      </c>
      <c r="I78" s="197">
        <v>100</v>
      </c>
      <c r="J78" s="268">
        <f t="shared" si="7"/>
        <v>2500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44558</v>
      </c>
      <c r="D79" s="196" t="s">
        <v>23</v>
      </c>
      <c r="E79" s="196" t="s">
        <v>25</v>
      </c>
      <c r="F79" s="197">
        <v>5690</v>
      </c>
      <c r="G79" s="197">
        <v>5665</v>
      </c>
      <c r="H79" s="196">
        <f>5690-5665</f>
        <v>25</v>
      </c>
      <c r="I79" s="197">
        <v>100</v>
      </c>
      <c r="J79" s="268">
        <f t="shared" si="7"/>
        <v>2500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>
        <v>44559</v>
      </c>
      <c r="D80" s="196" t="s">
        <v>23</v>
      </c>
      <c r="E80" s="196" t="s">
        <v>25</v>
      </c>
      <c r="F80" s="197">
        <v>5690</v>
      </c>
      <c r="G80" s="197">
        <v>5649</v>
      </c>
      <c r="H80" s="196">
        <f>5690-5649</f>
        <v>41</v>
      </c>
      <c r="I80" s="197">
        <v>100</v>
      </c>
      <c r="J80" s="268">
        <f t="shared" si="7"/>
        <v>4100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22</v>
      </c>
      <c r="C81" s="195">
        <v>44560</v>
      </c>
      <c r="D81" s="196" t="s">
        <v>23</v>
      </c>
      <c r="E81" s="196" t="s">
        <v>25</v>
      </c>
      <c r="F81" s="197">
        <v>5700</v>
      </c>
      <c r="G81" s="197">
        <v>5650</v>
      </c>
      <c r="H81" s="196">
        <f>5700-5650</f>
        <v>50</v>
      </c>
      <c r="I81" s="197">
        <v>100</v>
      </c>
      <c r="J81" s="268">
        <f t="shared" si="7"/>
        <v>5000</v>
      </c>
      <c r="K81" s="185"/>
      <c r="V81" s="183">
        <f t="shared" si="8"/>
        <v>1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>
        <v>44561</v>
      </c>
      <c r="D82" s="196" t="s">
        <v>23</v>
      </c>
      <c r="E82" s="196" t="s">
        <v>25</v>
      </c>
      <c r="F82" s="197">
        <v>5720</v>
      </c>
      <c r="G82" s="197">
        <v>5666</v>
      </c>
      <c r="H82" s="196">
        <f>5720-5666</f>
        <v>54</v>
      </c>
      <c r="I82" s="202">
        <v>100</v>
      </c>
      <c r="J82" s="269">
        <f t="shared" si="7"/>
        <v>5400</v>
      </c>
      <c r="K82" s="185"/>
      <c r="V82" s="183">
        <f t="shared" si="8"/>
        <v>1</v>
      </c>
      <c r="W82" s="183">
        <f t="shared" si="9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66700</v>
      </c>
      <c r="K83" s="185"/>
      <c r="V83" s="183">
        <f>SUM(V60:V82)</f>
        <v>19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44531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44531</v>
      </c>
      <c r="D91" s="216" t="s">
        <v>16</v>
      </c>
      <c r="E91" s="256" t="s">
        <v>28</v>
      </c>
      <c r="F91" s="256">
        <v>272</v>
      </c>
      <c r="G91" s="256">
        <v>272.5</v>
      </c>
      <c r="H91" s="256">
        <v>0.5</v>
      </c>
      <c r="I91" s="218">
        <v>5000</v>
      </c>
      <c r="J91" s="273">
        <f>I91*H91</f>
        <v>2500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44532</v>
      </c>
      <c r="D92" s="196" t="s">
        <v>23</v>
      </c>
      <c r="E92" s="222" t="s">
        <v>28</v>
      </c>
      <c r="F92" s="222">
        <v>270.60000000000002</v>
      </c>
      <c r="G92" s="222">
        <v>271.60000000000002</v>
      </c>
      <c r="H92" s="222">
        <v>-1</v>
      </c>
      <c r="I92" s="197">
        <v>5000</v>
      </c>
      <c r="J92" s="268">
        <f t="shared" ref="J92:J113" si="10">I92*H92</f>
        <v>-5000</v>
      </c>
      <c r="K92" s="185"/>
      <c r="V92" s="183">
        <f t="shared" ref="V92:V113" si="11">IF($J92&gt;0,1,0)</f>
        <v>0</v>
      </c>
      <c r="W92" s="183">
        <f t="shared" ref="W92:W113" si="12">IF($J92&lt;0,1,0)</f>
        <v>1</v>
      </c>
    </row>
    <row r="93" spans="1:23" x14ac:dyDescent="0.3">
      <c r="A93" s="184"/>
      <c r="B93" s="194">
        <v>3</v>
      </c>
      <c r="C93" s="195">
        <v>44533</v>
      </c>
      <c r="D93" s="196" t="s">
        <v>23</v>
      </c>
      <c r="E93" s="222" t="s">
        <v>28</v>
      </c>
      <c r="F93" s="222">
        <v>271</v>
      </c>
      <c r="G93" s="222">
        <v>269.5</v>
      </c>
      <c r="H93" s="222">
        <f>271-269.5</f>
        <v>1.5</v>
      </c>
      <c r="I93" s="197">
        <v>5000</v>
      </c>
      <c r="J93" s="268">
        <f t="shared" si="10"/>
        <v>7500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4</v>
      </c>
      <c r="C94" s="195">
        <v>44536</v>
      </c>
      <c r="D94" s="196" t="s">
        <v>16</v>
      </c>
      <c r="E94" s="222" t="s">
        <v>28</v>
      </c>
      <c r="F94" s="222">
        <v>267.2</v>
      </c>
      <c r="G94" s="222">
        <v>268.14999999999998</v>
      </c>
      <c r="H94" s="222">
        <f>268.15-267.2</f>
        <v>0.94999999999998863</v>
      </c>
      <c r="I94" s="197">
        <v>5000</v>
      </c>
      <c r="J94" s="268">
        <f t="shared" si="10"/>
        <v>4749.9999999999436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44537</v>
      </c>
      <c r="D95" s="196" t="s">
        <v>16</v>
      </c>
      <c r="E95" s="222" t="s">
        <v>28</v>
      </c>
      <c r="F95" s="222">
        <v>270.2</v>
      </c>
      <c r="G95" s="222">
        <v>272.2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44538</v>
      </c>
      <c r="D96" s="196" t="s">
        <v>23</v>
      </c>
      <c r="E96" s="222" t="s">
        <v>28</v>
      </c>
      <c r="F96" s="222">
        <v>272.7</v>
      </c>
      <c r="G96" s="222">
        <v>272.2</v>
      </c>
      <c r="H96" s="222">
        <f>272.7-272.2</f>
        <v>0.5</v>
      </c>
      <c r="I96" s="197">
        <v>5000</v>
      </c>
      <c r="J96" s="268">
        <f t="shared" si="10"/>
        <v>2500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44539</v>
      </c>
      <c r="D97" s="196" t="s">
        <v>16</v>
      </c>
      <c r="E97" s="222" t="s">
        <v>28</v>
      </c>
      <c r="F97" s="222">
        <v>277.5</v>
      </c>
      <c r="G97" s="222">
        <v>279.5</v>
      </c>
      <c r="H97" s="274">
        <v>2</v>
      </c>
      <c r="I97" s="197">
        <v>5000</v>
      </c>
      <c r="J97" s="268">
        <f t="shared" si="10"/>
        <v>10000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8</v>
      </c>
      <c r="C98" s="195">
        <v>44540</v>
      </c>
      <c r="D98" s="196" t="s">
        <v>23</v>
      </c>
      <c r="E98" s="222" t="s">
        <v>28</v>
      </c>
      <c r="F98" s="222">
        <v>276.7</v>
      </c>
      <c r="G98" s="222">
        <v>276.2</v>
      </c>
      <c r="H98" s="222">
        <f>276.7-276.2</f>
        <v>0.5</v>
      </c>
      <c r="I98" s="197">
        <v>5000</v>
      </c>
      <c r="J98" s="268">
        <f t="shared" si="10"/>
        <v>2500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44543</v>
      </c>
      <c r="D99" s="196" t="s">
        <v>16</v>
      </c>
      <c r="E99" s="222" t="s">
        <v>28</v>
      </c>
      <c r="F99" s="222">
        <v>278.8</v>
      </c>
      <c r="G99" s="222">
        <v>279.5</v>
      </c>
      <c r="H99" s="222">
        <f>279.5-278.8</f>
        <v>0.69999999999998863</v>
      </c>
      <c r="I99" s="197">
        <v>5000</v>
      </c>
      <c r="J99" s="268">
        <f t="shared" si="10"/>
        <v>3499.9999999999432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44544</v>
      </c>
      <c r="D100" s="196" t="s">
        <v>16</v>
      </c>
      <c r="E100" s="222" t="s">
        <v>28</v>
      </c>
      <c r="F100" s="222">
        <v>279.2</v>
      </c>
      <c r="G100" s="222">
        <v>279.64999999999998</v>
      </c>
      <c r="H100" s="222">
        <f>279.65-279.2</f>
        <v>0.44999999999998863</v>
      </c>
      <c r="I100" s="197">
        <v>5000</v>
      </c>
      <c r="J100" s="268">
        <f t="shared" si="10"/>
        <v>2249.9999999999432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44545</v>
      </c>
      <c r="D101" s="196" t="s">
        <v>23</v>
      </c>
      <c r="E101" s="222" t="s">
        <v>28</v>
      </c>
      <c r="F101" s="222">
        <v>271.2</v>
      </c>
      <c r="G101" s="222">
        <v>272.2</v>
      </c>
      <c r="H101" s="274">
        <v>-1</v>
      </c>
      <c r="I101" s="197">
        <v>5000</v>
      </c>
      <c r="J101" s="268">
        <f t="shared" si="10"/>
        <v>-5000</v>
      </c>
      <c r="K101" s="185"/>
      <c r="V101" s="183">
        <f t="shared" si="11"/>
        <v>0</v>
      </c>
      <c r="W101" s="183">
        <f t="shared" si="12"/>
        <v>1</v>
      </c>
    </row>
    <row r="102" spans="1:23" x14ac:dyDescent="0.3">
      <c r="A102" s="184"/>
      <c r="B102" s="194">
        <v>12</v>
      </c>
      <c r="C102" s="195">
        <v>44546</v>
      </c>
      <c r="D102" s="196" t="s">
        <v>23</v>
      </c>
      <c r="E102" s="222" t="s">
        <v>28</v>
      </c>
      <c r="F102" s="222">
        <v>278.8</v>
      </c>
      <c r="G102" s="222">
        <v>276.8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44547</v>
      </c>
      <c r="D103" s="196" t="s">
        <v>23</v>
      </c>
      <c r="E103" s="222" t="s">
        <v>28</v>
      </c>
      <c r="F103" s="222">
        <v>287.10000000000002</v>
      </c>
      <c r="G103" s="222">
        <v>288.10000000000002</v>
      </c>
      <c r="H103" s="274">
        <v>-1</v>
      </c>
      <c r="I103" s="197">
        <v>5000</v>
      </c>
      <c r="J103" s="268">
        <f t="shared" si="10"/>
        <v>-5000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14</v>
      </c>
      <c r="C104" s="195">
        <v>44550</v>
      </c>
      <c r="D104" s="196" t="s">
        <v>23</v>
      </c>
      <c r="E104" s="222" t="s">
        <v>28</v>
      </c>
      <c r="F104" s="222">
        <v>278.7</v>
      </c>
      <c r="G104" s="222">
        <v>279.7</v>
      </c>
      <c r="H104" s="274">
        <v>-1</v>
      </c>
      <c r="I104" s="197">
        <v>5000</v>
      </c>
      <c r="J104" s="268">
        <f t="shared" si="10"/>
        <v>-5000</v>
      </c>
      <c r="K104" s="185"/>
      <c r="V104" s="183">
        <f t="shared" si="11"/>
        <v>0</v>
      </c>
      <c r="W104" s="183">
        <f t="shared" si="12"/>
        <v>1</v>
      </c>
    </row>
    <row r="105" spans="1:23" x14ac:dyDescent="0.3">
      <c r="A105" s="184"/>
      <c r="B105" s="194">
        <v>15</v>
      </c>
      <c r="C105" s="195">
        <v>44551</v>
      </c>
      <c r="D105" s="196" t="s">
        <v>23</v>
      </c>
      <c r="E105" s="222" t="s">
        <v>28</v>
      </c>
      <c r="F105" s="223">
        <v>280.8</v>
      </c>
      <c r="G105" s="222">
        <v>279.8</v>
      </c>
      <c r="H105" s="274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44552</v>
      </c>
      <c r="D106" s="196" t="s">
        <v>16</v>
      </c>
      <c r="E106" s="222" t="s">
        <v>28</v>
      </c>
      <c r="F106" s="222">
        <v>287.2</v>
      </c>
      <c r="G106" s="222">
        <v>289.2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44553</v>
      </c>
      <c r="D107" s="196" t="s">
        <v>23</v>
      </c>
      <c r="E107" s="222" t="s">
        <v>28</v>
      </c>
      <c r="F107" s="222">
        <v>291</v>
      </c>
      <c r="G107" s="222">
        <v>289</v>
      </c>
      <c r="H107" s="274">
        <v>2</v>
      </c>
      <c r="I107" s="197">
        <v>5000</v>
      </c>
      <c r="J107" s="268">
        <f t="shared" si="10"/>
        <v>10000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18</v>
      </c>
      <c r="C108" s="195">
        <v>44554</v>
      </c>
      <c r="D108" s="196" t="s">
        <v>23</v>
      </c>
      <c r="E108" s="222" t="s">
        <v>28</v>
      </c>
      <c r="F108" s="222">
        <v>287.39999999999998</v>
      </c>
      <c r="G108" s="222">
        <v>286.95</v>
      </c>
      <c r="H108" s="274">
        <f>287.4-286.95</f>
        <v>0.44999999999998863</v>
      </c>
      <c r="I108" s="197">
        <v>5000</v>
      </c>
      <c r="J108" s="268">
        <f t="shared" si="10"/>
        <v>2249.9999999999432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44557</v>
      </c>
      <c r="D109" s="196" t="s">
        <v>23</v>
      </c>
      <c r="E109" s="222" t="s">
        <v>28</v>
      </c>
      <c r="F109" s="222">
        <v>288.89999999999998</v>
      </c>
      <c r="G109" s="222">
        <v>288.39999999999998</v>
      </c>
      <c r="H109" s="274">
        <f>288.9-288.4</f>
        <v>0.5</v>
      </c>
      <c r="I109" s="197">
        <v>5000</v>
      </c>
      <c r="J109" s="268">
        <f t="shared" si="10"/>
        <v>2500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44558</v>
      </c>
      <c r="D110" s="196" t="s">
        <v>23</v>
      </c>
      <c r="E110" s="222" t="s">
        <v>28</v>
      </c>
      <c r="F110" s="222">
        <v>291</v>
      </c>
      <c r="G110" s="222">
        <v>290.5</v>
      </c>
      <c r="H110" s="274">
        <v>0.5</v>
      </c>
      <c r="I110" s="197">
        <v>5000</v>
      </c>
      <c r="J110" s="268">
        <f t="shared" si="10"/>
        <v>2500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>
        <v>44559</v>
      </c>
      <c r="D111" s="196" t="s">
        <v>23</v>
      </c>
      <c r="E111" s="222" t="s">
        <v>28</v>
      </c>
      <c r="F111" s="222">
        <v>286.5</v>
      </c>
      <c r="G111" s="222">
        <v>285.5</v>
      </c>
      <c r="H111" s="274">
        <v>1</v>
      </c>
      <c r="I111" s="197">
        <v>5000</v>
      </c>
      <c r="J111" s="268">
        <f t="shared" si="10"/>
        <v>5000</v>
      </c>
      <c r="K111" s="185"/>
      <c r="V111" s="183">
        <f t="shared" si="11"/>
        <v>1</v>
      </c>
      <c r="W111" s="183">
        <f t="shared" si="12"/>
        <v>0</v>
      </c>
    </row>
    <row r="112" spans="1:23" x14ac:dyDescent="0.3">
      <c r="A112" s="184"/>
      <c r="B112" s="194">
        <v>22</v>
      </c>
      <c r="C112" s="195">
        <v>44560</v>
      </c>
      <c r="D112" s="196" t="s">
        <v>23</v>
      </c>
      <c r="E112" s="222" t="s">
        <v>28</v>
      </c>
      <c r="F112" s="222">
        <v>287.2</v>
      </c>
      <c r="G112" s="222">
        <v>286.8</v>
      </c>
      <c r="H112" s="222">
        <f>287.2-286.8</f>
        <v>0.39999999999997726</v>
      </c>
      <c r="I112" s="197">
        <v>5000</v>
      </c>
      <c r="J112" s="268">
        <f t="shared" si="10"/>
        <v>1999.9999999998863</v>
      </c>
      <c r="K112" s="185"/>
      <c r="V112" s="183">
        <f t="shared" si="11"/>
        <v>1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>
        <v>44561</v>
      </c>
      <c r="D113" s="221" t="s">
        <v>23</v>
      </c>
      <c r="E113" s="221" t="s">
        <v>28</v>
      </c>
      <c r="F113" s="222">
        <v>286.2</v>
      </c>
      <c r="G113" s="222">
        <v>285.8</v>
      </c>
      <c r="H113" s="222">
        <f>286.2-285.8</f>
        <v>0.39999999999997726</v>
      </c>
      <c r="I113" s="211">
        <v>5000</v>
      </c>
      <c r="J113" s="272">
        <f t="shared" si="10"/>
        <v>1999.9999999998863</v>
      </c>
      <c r="K113" s="185"/>
      <c r="V113" s="183">
        <f t="shared" si="11"/>
        <v>1</v>
      </c>
      <c r="W113" s="183">
        <f t="shared" si="12"/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76749.999999999534</v>
      </c>
      <c r="K114" s="185"/>
      <c r="V114" s="183">
        <f>SUM(V91:V113)</f>
        <v>19</v>
      </c>
      <c r="W114" s="183">
        <f>SUM(W91:W113)</f>
        <v>4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C00-000000000000}"/>
    <hyperlink ref="B83" r:id="rId2" xr:uid="{00000000-0004-0000-6C00-000001000000}"/>
    <hyperlink ref="M4:M5" location="'DEC 2021'!A1" display="BULLION" xr:uid="{00000000-0004-0000-6C00-000002000000}"/>
    <hyperlink ref="B114" r:id="rId3" xr:uid="{00000000-0004-0000-6C00-000003000000}"/>
    <hyperlink ref="M8:M9" location="'DEC 2021'!A86" display="BASE METAL" xr:uid="{00000000-0004-0000-6C00-000004000000}"/>
    <hyperlink ref="M1" location="MASTER!A1" display="Back" xr:uid="{00000000-0004-0000-6C00-000005000000}"/>
    <hyperlink ref="M6:M7" location="'DEC 2021'!A54" display="ENERGY" xr:uid="{00000000-0004-0000-6C00-000006000000}"/>
  </hyperlinks>
  <pageMargins left="0" right="0" top="0" bottom="0" header="0" footer="0"/>
  <pageSetup paperSize="9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79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61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41284</v>
      </c>
      <c r="C5" s="29" t="s">
        <v>16</v>
      </c>
      <c r="D5" s="36" t="s">
        <v>24</v>
      </c>
      <c r="E5" s="29">
        <v>29690</v>
      </c>
      <c r="F5" s="29">
        <v>29820</v>
      </c>
      <c r="G5" s="29">
        <v>100</v>
      </c>
      <c r="H5" s="29">
        <v>13000</v>
      </c>
      <c r="I5" s="20"/>
    </row>
    <row r="6" spans="1:10" x14ac:dyDescent="0.3">
      <c r="A6" s="20"/>
      <c r="B6" s="35">
        <v>41343</v>
      </c>
      <c r="C6" s="29" t="s">
        <v>23</v>
      </c>
      <c r="D6" s="36" t="s">
        <v>22</v>
      </c>
      <c r="E6" s="29">
        <v>48350</v>
      </c>
      <c r="F6" s="29">
        <v>48150</v>
      </c>
      <c r="G6" s="29">
        <v>30</v>
      </c>
      <c r="H6" s="29">
        <v>6000</v>
      </c>
      <c r="I6" s="20"/>
    </row>
    <row r="7" spans="1:10" x14ac:dyDescent="0.3">
      <c r="A7" s="20"/>
      <c r="B7" s="35">
        <v>41374</v>
      </c>
      <c r="C7" s="29" t="s">
        <v>16</v>
      </c>
      <c r="D7" s="36" t="s">
        <v>24</v>
      </c>
      <c r="E7" s="29">
        <v>29180</v>
      </c>
      <c r="F7" s="29">
        <v>29240</v>
      </c>
      <c r="G7" s="29">
        <v>100</v>
      </c>
      <c r="H7" s="29">
        <v>6000</v>
      </c>
      <c r="I7" s="20"/>
    </row>
    <row r="8" spans="1:10" x14ac:dyDescent="0.3">
      <c r="A8" s="20"/>
      <c r="B8" s="35">
        <v>41465</v>
      </c>
      <c r="C8" s="29" t="s">
        <v>16</v>
      </c>
      <c r="D8" s="36" t="s">
        <v>24</v>
      </c>
      <c r="E8" s="29">
        <v>29270</v>
      </c>
      <c r="F8" s="29">
        <v>29330</v>
      </c>
      <c r="G8" s="29">
        <v>100</v>
      </c>
      <c r="H8" s="29">
        <v>6000</v>
      </c>
      <c r="I8" s="20"/>
    </row>
    <row r="9" spans="1:10" x14ac:dyDescent="0.3">
      <c r="A9" s="20"/>
      <c r="B9" s="35">
        <v>41496</v>
      </c>
      <c r="C9" s="29" t="s">
        <v>16</v>
      </c>
      <c r="D9" s="36" t="s">
        <v>24</v>
      </c>
      <c r="E9" s="29">
        <v>29460</v>
      </c>
      <c r="F9" s="29">
        <v>29590</v>
      </c>
      <c r="G9" s="29">
        <v>100</v>
      </c>
      <c r="H9" s="29">
        <v>13000</v>
      </c>
      <c r="I9" s="20"/>
    </row>
    <row r="10" spans="1:10" x14ac:dyDescent="0.3">
      <c r="A10" s="20"/>
      <c r="B10" s="35">
        <v>41527</v>
      </c>
      <c r="C10" s="29" t="s">
        <v>16</v>
      </c>
      <c r="D10" s="36" t="s">
        <v>22</v>
      </c>
      <c r="E10" s="29">
        <v>49600</v>
      </c>
      <c r="F10" s="29">
        <v>49400</v>
      </c>
      <c r="G10" s="29">
        <v>30</v>
      </c>
      <c r="H10" s="37">
        <v>-6000</v>
      </c>
      <c r="I10" s="20"/>
    </row>
    <row r="11" spans="1:10" x14ac:dyDescent="0.3">
      <c r="A11" s="20"/>
      <c r="B11" s="35">
        <v>41557</v>
      </c>
      <c r="C11" s="29" t="s">
        <v>23</v>
      </c>
      <c r="D11" s="36" t="s">
        <v>24</v>
      </c>
      <c r="E11" s="29">
        <v>29300</v>
      </c>
      <c r="F11" s="29">
        <v>29350</v>
      </c>
      <c r="G11" s="29">
        <v>100</v>
      </c>
      <c r="H11" s="37">
        <v>-5000</v>
      </c>
      <c r="I11" s="20"/>
    </row>
    <row r="12" spans="1:10" x14ac:dyDescent="0.3">
      <c r="A12" s="20"/>
      <c r="B12" s="35">
        <v>41588</v>
      </c>
      <c r="C12" s="29" t="s">
        <v>23</v>
      </c>
      <c r="D12" s="36" t="s">
        <v>24</v>
      </c>
      <c r="E12" s="29">
        <v>28770</v>
      </c>
      <c r="F12" s="29">
        <v>28670</v>
      </c>
      <c r="G12" s="29">
        <v>100</v>
      </c>
      <c r="H12" s="37">
        <v>10000</v>
      </c>
      <c r="I12" s="20"/>
    </row>
    <row r="13" spans="1:10" x14ac:dyDescent="0.3">
      <c r="A13" s="20"/>
      <c r="B13" s="35" t="s">
        <v>64</v>
      </c>
      <c r="C13" s="29" t="s">
        <v>16</v>
      </c>
      <c r="D13" s="36" t="s">
        <v>22</v>
      </c>
      <c r="E13" s="29">
        <v>46950</v>
      </c>
      <c r="F13" s="29">
        <v>47400</v>
      </c>
      <c r="G13" s="29">
        <v>30</v>
      </c>
      <c r="H13" s="37">
        <v>13500</v>
      </c>
      <c r="I13" s="20"/>
    </row>
    <row r="14" spans="1:10" x14ac:dyDescent="0.3">
      <c r="A14" s="20"/>
      <c r="B14" s="35" t="s">
        <v>65</v>
      </c>
      <c r="C14" s="29" t="s">
        <v>23</v>
      </c>
      <c r="D14" s="36" t="s">
        <v>24</v>
      </c>
      <c r="E14" s="29">
        <v>28830</v>
      </c>
      <c r="F14" s="29">
        <v>28730</v>
      </c>
      <c r="G14" s="29">
        <v>100</v>
      </c>
      <c r="H14" s="37">
        <v>10000</v>
      </c>
      <c r="I14" s="20"/>
    </row>
    <row r="15" spans="1:10" x14ac:dyDescent="0.3">
      <c r="A15" s="20"/>
      <c r="B15" s="35" t="s">
        <v>66</v>
      </c>
      <c r="C15" s="29" t="s">
        <v>16</v>
      </c>
      <c r="D15" s="36" t="s">
        <v>24</v>
      </c>
      <c r="E15" s="29">
        <v>28890</v>
      </c>
      <c r="F15" s="29">
        <v>28950</v>
      </c>
      <c r="G15" s="29">
        <v>100</v>
      </c>
      <c r="H15" s="37">
        <v>6000</v>
      </c>
      <c r="I15" s="20"/>
    </row>
    <row r="16" spans="1:10" x14ac:dyDescent="0.3">
      <c r="A16" s="20"/>
      <c r="B16" s="35" t="s">
        <v>67</v>
      </c>
      <c r="C16" s="29" t="s">
        <v>16</v>
      </c>
      <c r="D16" s="36" t="s">
        <v>24</v>
      </c>
      <c r="E16" s="29">
        <v>29370</v>
      </c>
      <c r="F16" s="29">
        <v>29480</v>
      </c>
      <c r="G16" s="29">
        <v>100</v>
      </c>
      <c r="H16" s="37">
        <v>9000</v>
      </c>
      <c r="I16" s="20"/>
    </row>
    <row r="17" spans="1:9" x14ac:dyDescent="0.3">
      <c r="A17" s="20"/>
      <c r="B17" s="35" t="s">
        <v>68</v>
      </c>
      <c r="C17" s="29" t="s">
        <v>16</v>
      </c>
      <c r="D17" s="36" t="s">
        <v>22</v>
      </c>
      <c r="E17" s="29">
        <v>49000</v>
      </c>
      <c r="F17" s="29">
        <v>48800</v>
      </c>
      <c r="G17" s="29">
        <v>30</v>
      </c>
      <c r="H17" s="37">
        <v>-6000</v>
      </c>
      <c r="I17" s="20"/>
    </row>
    <row r="18" spans="1:9" x14ac:dyDescent="0.3">
      <c r="A18" s="20"/>
      <c r="B18" s="35" t="s">
        <v>69</v>
      </c>
      <c r="C18" s="29" t="s">
        <v>16</v>
      </c>
      <c r="D18" s="36" t="s">
        <v>24</v>
      </c>
      <c r="E18" s="29">
        <v>29730</v>
      </c>
      <c r="F18" s="29">
        <v>29800</v>
      </c>
      <c r="G18" s="29">
        <v>100</v>
      </c>
      <c r="H18" s="37">
        <v>7000</v>
      </c>
      <c r="I18" s="20"/>
    </row>
    <row r="19" spans="1:9" x14ac:dyDescent="0.3">
      <c r="A19" s="20"/>
      <c r="B19" s="35" t="s">
        <v>70</v>
      </c>
      <c r="C19" s="29" t="s">
        <v>16</v>
      </c>
      <c r="D19" s="36" t="s">
        <v>24</v>
      </c>
      <c r="E19" s="29">
        <v>30070</v>
      </c>
      <c r="F19" s="29">
        <v>30150</v>
      </c>
      <c r="G19" s="29">
        <v>100</v>
      </c>
      <c r="H19" s="37">
        <v>8000</v>
      </c>
      <c r="I19" s="20"/>
    </row>
    <row r="20" spans="1:9" x14ac:dyDescent="0.3">
      <c r="A20" s="20"/>
      <c r="B20" s="35" t="s">
        <v>71</v>
      </c>
      <c r="C20" s="29" t="s">
        <v>16</v>
      </c>
      <c r="D20" s="36" t="s">
        <v>22</v>
      </c>
      <c r="E20" s="29">
        <v>49950</v>
      </c>
      <c r="F20" s="29">
        <v>49850</v>
      </c>
      <c r="G20" s="29">
        <v>30</v>
      </c>
      <c r="H20" s="37">
        <v>-4500</v>
      </c>
      <c r="I20" s="20"/>
    </row>
    <row r="21" spans="1:9" x14ac:dyDescent="0.3">
      <c r="A21" s="20"/>
      <c r="B21" s="35" t="s">
        <v>72</v>
      </c>
      <c r="C21" s="29" t="s">
        <v>16</v>
      </c>
      <c r="D21" s="36" t="s">
        <v>24</v>
      </c>
      <c r="E21" s="29">
        <v>30600</v>
      </c>
      <c r="F21" s="29">
        <v>30650</v>
      </c>
      <c r="G21" s="29">
        <v>100</v>
      </c>
      <c r="H21" s="37">
        <v>5000</v>
      </c>
      <c r="I21" s="20"/>
    </row>
    <row r="22" spans="1:9" x14ac:dyDescent="0.3">
      <c r="A22" s="20"/>
      <c r="B22" s="47" t="s">
        <v>73</v>
      </c>
      <c r="C22" s="29" t="s">
        <v>16</v>
      </c>
      <c r="D22" s="36" t="s">
        <v>22</v>
      </c>
      <c r="E22" s="29">
        <v>49700</v>
      </c>
      <c r="F22" s="29">
        <v>49900</v>
      </c>
      <c r="G22" s="29">
        <v>30</v>
      </c>
      <c r="H22" s="37">
        <v>6000</v>
      </c>
      <c r="I22" s="20"/>
    </row>
    <row r="23" spans="1:9" x14ac:dyDescent="0.3">
      <c r="A23" s="20"/>
      <c r="B23" s="35" t="s">
        <v>74</v>
      </c>
      <c r="C23" s="29" t="s">
        <v>23</v>
      </c>
      <c r="D23" s="36" t="s">
        <v>24</v>
      </c>
      <c r="E23" s="29">
        <v>30200</v>
      </c>
      <c r="F23" s="29">
        <v>30200</v>
      </c>
      <c r="G23" s="29">
        <v>100</v>
      </c>
      <c r="H23" s="37">
        <v>6000</v>
      </c>
      <c r="I23" s="20"/>
    </row>
    <row r="24" spans="1:9" x14ac:dyDescent="0.3">
      <c r="A24" s="20"/>
      <c r="B24" s="35" t="s">
        <v>75</v>
      </c>
      <c r="C24" s="29" t="s">
        <v>23</v>
      </c>
      <c r="D24" s="36" t="s">
        <v>24</v>
      </c>
      <c r="E24" s="37">
        <v>30230</v>
      </c>
      <c r="F24" s="37">
        <v>30070</v>
      </c>
      <c r="G24" s="29">
        <v>100</v>
      </c>
      <c r="H24" s="37">
        <v>13000</v>
      </c>
      <c r="I24" s="20"/>
    </row>
    <row r="25" spans="1:9" x14ac:dyDescent="0.3">
      <c r="A25" s="20"/>
      <c r="B25" s="35" t="s">
        <v>76</v>
      </c>
      <c r="C25" s="29" t="s">
        <v>23</v>
      </c>
      <c r="D25" s="36" t="s">
        <v>24</v>
      </c>
      <c r="E25" s="45">
        <v>30260</v>
      </c>
      <c r="F25" s="45">
        <v>29850</v>
      </c>
      <c r="G25" s="29">
        <v>100</v>
      </c>
      <c r="H25" s="45">
        <v>15000</v>
      </c>
      <c r="I25" s="20"/>
    </row>
    <row r="26" spans="1:9" ht="15.6" x14ac:dyDescent="0.3">
      <c r="A26" s="20"/>
      <c r="B26" s="35"/>
      <c r="C26" s="45"/>
      <c r="D26" s="45"/>
      <c r="E26" s="45"/>
      <c r="F26" s="45"/>
      <c r="G26" s="45"/>
      <c r="H26" s="46">
        <v>131000</v>
      </c>
      <c r="I26" s="20"/>
    </row>
    <row r="27" spans="1:9" ht="15.6" x14ac:dyDescent="0.3">
      <c r="A27" s="20"/>
      <c r="B27" s="35"/>
      <c r="C27" s="45"/>
      <c r="D27" s="45"/>
      <c r="E27" s="45"/>
      <c r="F27" s="45"/>
      <c r="G27" s="45"/>
      <c r="H27" s="46"/>
      <c r="I27" s="20"/>
    </row>
    <row r="28" spans="1:9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9" ht="15.6" x14ac:dyDescent="0.3">
      <c r="A29" s="20"/>
      <c r="B29" s="61" t="s">
        <v>62</v>
      </c>
      <c r="C29" s="62"/>
      <c r="D29" s="63"/>
      <c r="E29" s="62"/>
      <c r="F29" s="62"/>
      <c r="G29" s="62"/>
      <c r="H29" s="62"/>
      <c r="I29" s="20"/>
    </row>
    <row r="30" spans="1:9" x14ac:dyDescent="0.3">
      <c r="A30" s="20"/>
      <c r="B30" s="35">
        <v>41284</v>
      </c>
      <c r="C30" s="29" t="s">
        <v>16</v>
      </c>
      <c r="D30" s="26" t="s">
        <v>106</v>
      </c>
      <c r="E30" s="29">
        <v>6385</v>
      </c>
      <c r="F30" s="29">
        <v>6415</v>
      </c>
      <c r="G30" s="29">
        <v>100</v>
      </c>
      <c r="H30" s="29">
        <v>3000</v>
      </c>
      <c r="I30" s="20"/>
    </row>
    <row r="31" spans="1:9" x14ac:dyDescent="0.3">
      <c r="A31" s="20"/>
      <c r="B31" s="35">
        <v>41343</v>
      </c>
      <c r="C31" s="29" t="s">
        <v>16</v>
      </c>
      <c r="D31" s="26" t="s">
        <v>107</v>
      </c>
      <c r="E31" s="29">
        <v>221.8</v>
      </c>
      <c r="F31" s="29">
        <v>220</v>
      </c>
      <c r="G31" s="29">
        <v>1250</v>
      </c>
      <c r="H31" s="29">
        <v>-2500</v>
      </c>
      <c r="I31" s="20"/>
    </row>
    <row r="32" spans="1:9" x14ac:dyDescent="0.3">
      <c r="A32" s="20"/>
      <c r="B32" s="35">
        <v>41374</v>
      </c>
      <c r="C32" s="39" t="s">
        <v>16</v>
      </c>
      <c r="D32" s="26" t="s">
        <v>107</v>
      </c>
      <c r="E32" s="29">
        <v>216</v>
      </c>
      <c r="F32" s="39">
        <v>218</v>
      </c>
      <c r="G32" s="29">
        <v>1250</v>
      </c>
      <c r="H32" s="39">
        <v>2500</v>
      </c>
      <c r="I32" s="20"/>
    </row>
    <row r="33" spans="1:9" x14ac:dyDescent="0.3">
      <c r="A33" s="20"/>
      <c r="B33" s="35">
        <v>41465</v>
      </c>
      <c r="C33" s="29" t="s">
        <v>16</v>
      </c>
      <c r="D33" s="26" t="s">
        <v>106</v>
      </c>
      <c r="E33" s="39">
        <v>6405</v>
      </c>
      <c r="F33" s="29">
        <v>6385</v>
      </c>
      <c r="G33" s="29">
        <v>100</v>
      </c>
      <c r="H33" s="36">
        <v>-2000</v>
      </c>
      <c r="I33" s="20"/>
    </row>
    <row r="34" spans="1:9" x14ac:dyDescent="0.3">
      <c r="A34" s="20"/>
      <c r="B34" s="35">
        <v>41496</v>
      </c>
      <c r="C34" s="23" t="s">
        <v>16</v>
      </c>
      <c r="D34" s="26" t="s">
        <v>106</v>
      </c>
      <c r="E34" s="29">
        <v>6410</v>
      </c>
      <c r="F34" s="29">
        <v>6440</v>
      </c>
      <c r="G34" s="29">
        <v>100</v>
      </c>
      <c r="H34" s="29">
        <v>3000</v>
      </c>
      <c r="I34" s="20"/>
    </row>
    <row r="35" spans="1:9" x14ac:dyDescent="0.3">
      <c r="A35" s="20"/>
      <c r="B35" s="35">
        <v>41527</v>
      </c>
      <c r="C35" s="29" t="s">
        <v>16</v>
      </c>
      <c r="D35" s="26" t="s">
        <v>106</v>
      </c>
      <c r="E35" s="29">
        <v>6450</v>
      </c>
      <c r="F35" s="29">
        <v>6430</v>
      </c>
      <c r="G35" s="29">
        <v>100</v>
      </c>
      <c r="H35" s="36">
        <v>-2000</v>
      </c>
      <c r="I35" s="20"/>
    </row>
    <row r="36" spans="1:9" x14ac:dyDescent="0.3">
      <c r="A36" s="20"/>
      <c r="B36" s="35">
        <v>41557</v>
      </c>
      <c r="C36" s="29" t="s">
        <v>23</v>
      </c>
      <c r="D36" s="26" t="s">
        <v>106</v>
      </c>
      <c r="E36" s="29">
        <v>6335</v>
      </c>
      <c r="F36" s="29">
        <v>6305</v>
      </c>
      <c r="G36" s="29">
        <v>100</v>
      </c>
      <c r="H36" s="36">
        <v>3000</v>
      </c>
      <c r="I36" s="20"/>
    </row>
    <row r="37" spans="1:9" x14ac:dyDescent="0.3">
      <c r="A37" s="20"/>
      <c r="B37" s="35" t="s">
        <v>64</v>
      </c>
      <c r="C37" s="29" t="s">
        <v>23</v>
      </c>
      <c r="D37" s="26" t="s">
        <v>107</v>
      </c>
      <c r="E37" s="29">
        <v>235.5</v>
      </c>
      <c r="F37" s="29">
        <v>233.5</v>
      </c>
      <c r="G37" s="29">
        <v>1250</v>
      </c>
      <c r="H37" s="36">
        <v>2500</v>
      </c>
      <c r="I37" s="20"/>
    </row>
    <row r="38" spans="1:9" x14ac:dyDescent="0.3">
      <c r="A38" s="20"/>
      <c r="B38" s="35" t="s">
        <v>65</v>
      </c>
      <c r="C38" s="29" t="s">
        <v>16</v>
      </c>
      <c r="D38" s="26" t="s">
        <v>106</v>
      </c>
      <c r="E38" s="29">
        <v>62950</v>
      </c>
      <c r="F38" s="29">
        <v>6315</v>
      </c>
      <c r="G38" s="29">
        <v>100</v>
      </c>
      <c r="H38" s="36">
        <v>2000</v>
      </c>
      <c r="I38" s="20"/>
    </row>
    <row r="39" spans="1:9" x14ac:dyDescent="0.3">
      <c r="A39" s="20"/>
      <c r="B39" s="35" t="s">
        <v>66</v>
      </c>
      <c r="C39" s="29" t="s">
        <v>16</v>
      </c>
      <c r="D39" s="26" t="s">
        <v>106</v>
      </c>
      <c r="E39" s="29">
        <v>6295</v>
      </c>
      <c r="F39" s="29">
        <v>6225</v>
      </c>
      <c r="G39" s="29">
        <v>100</v>
      </c>
      <c r="H39" s="36">
        <v>3000</v>
      </c>
      <c r="I39" s="20"/>
    </row>
    <row r="40" spans="1:9" x14ac:dyDescent="0.3">
      <c r="A40" s="20"/>
      <c r="B40" s="35" t="s">
        <v>67</v>
      </c>
      <c r="C40" s="29" t="s">
        <v>16</v>
      </c>
      <c r="D40" s="26" t="s">
        <v>106</v>
      </c>
      <c r="E40" s="29">
        <v>6155</v>
      </c>
      <c r="F40" s="29">
        <v>6185</v>
      </c>
      <c r="G40" s="29">
        <v>100</v>
      </c>
      <c r="H40" s="36">
        <v>3000</v>
      </c>
      <c r="I40" s="20"/>
    </row>
    <row r="41" spans="1:9" x14ac:dyDescent="0.3">
      <c r="A41" s="20"/>
      <c r="B41" s="35" t="s">
        <v>68</v>
      </c>
      <c r="C41" s="29" t="s">
        <v>16</v>
      </c>
      <c r="D41" s="26" t="s">
        <v>106</v>
      </c>
      <c r="E41" s="29">
        <v>6145</v>
      </c>
      <c r="F41" s="29">
        <v>6120</v>
      </c>
      <c r="G41" s="29">
        <v>100</v>
      </c>
      <c r="H41" s="36">
        <v>-2500</v>
      </c>
      <c r="I41" s="20"/>
    </row>
    <row r="42" spans="1:9" x14ac:dyDescent="0.3">
      <c r="A42" s="20"/>
      <c r="B42" s="35" t="s">
        <v>69</v>
      </c>
      <c r="C42" s="29" t="s">
        <v>16</v>
      </c>
      <c r="D42" s="26" t="s">
        <v>107</v>
      </c>
      <c r="E42" s="29">
        <v>224.5</v>
      </c>
      <c r="F42" s="29">
        <v>226.5</v>
      </c>
      <c r="G42" s="29">
        <v>1250</v>
      </c>
      <c r="H42" s="36">
        <v>2500</v>
      </c>
      <c r="I42" s="20"/>
    </row>
    <row r="43" spans="1:9" x14ac:dyDescent="0.3">
      <c r="A43" s="20"/>
      <c r="B43" s="35" t="s">
        <v>70</v>
      </c>
      <c r="C43" s="52" t="s">
        <v>16</v>
      </c>
      <c r="D43" s="26" t="s">
        <v>106</v>
      </c>
      <c r="E43" s="52">
        <v>6045</v>
      </c>
      <c r="F43" s="52">
        <v>6025</v>
      </c>
      <c r="G43" s="29">
        <v>100</v>
      </c>
      <c r="H43" s="36">
        <v>-2000</v>
      </c>
      <c r="I43" s="20"/>
    </row>
    <row r="44" spans="1:9" x14ac:dyDescent="0.3">
      <c r="A44" s="20"/>
      <c r="B44" s="35" t="s">
        <v>71</v>
      </c>
      <c r="C44" s="52" t="s">
        <v>23</v>
      </c>
      <c r="D44" s="26" t="s">
        <v>106</v>
      </c>
      <c r="E44" s="52">
        <v>6025</v>
      </c>
      <c r="F44" s="52">
        <v>6000</v>
      </c>
      <c r="G44" s="29">
        <v>100</v>
      </c>
      <c r="H44" s="36">
        <v>2500</v>
      </c>
      <c r="I44" s="20"/>
    </row>
    <row r="45" spans="1:9" x14ac:dyDescent="0.3">
      <c r="A45" s="20"/>
      <c r="B45" s="35" t="s">
        <v>72</v>
      </c>
      <c r="C45" s="52" t="s">
        <v>16</v>
      </c>
      <c r="D45" s="26" t="s">
        <v>106</v>
      </c>
      <c r="E45" s="52">
        <v>6015</v>
      </c>
      <c r="F45" s="52">
        <v>6055</v>
      </c>
      <c r="G45" s="29">
        <v>100</v>
      </c>
      <c r="H45" s="68">
        <v>3000</v>
      </c>
      <c r="I45" s="20"/>
    </row>
    <row r="46" spans="1:9" x14ac:dyDescent="0.3">
      <c r="A46" s="20"/>
      <c r="B46" s="47" t="s">
        <v>73</v>
      </c>
      <c r="C46" s="51" t="s">
        <v>16</v>
      </c>
      <c r="D46" s="26" t="s">
        <v>106</v>
      </c>
      <c r="E46" s="51">
        <v>6030</v>
      </c>
      <c r="F46" s="51">
        <v>6055</v>
      </c>
      <c r="G46" s="29">
        <v>100</v>
      </c>
      <c r="H46" s="69">
        <v>2500</v>
      </c>
      <c r="I46" s="20"/>
    </row>
    <row r="47" spans="1:9" x14ac:dyDescent="0.3">
      <c r="A47" s="20"/>
      <c r="B47" s="35" t="s">
        <v>74</v>
      </c>
      <c r="C47" s="54" t="s">
        <v>23</v>
      </c>
      <c r="D47" s="26" t="s">
        <v>106</v>
      </c>
      <c r="E47" s="51">
        <v>6065</v>
      </c>
      <c r="F47" s="51">
        <v>6045</v>
      </c>
      <c r="G47" s="29">
        <v>100</v>
      </c>
      <c r="H47" s="69">
        <v>2000</v>
      </c>
      <c r="I47" s="20"/>
    </row>
    <row r="48" spans="1:9" x14ac:dyDescent="0.3">
      <c r="A48" s="20"/>
      <c r="B48" s="35" t="s">
        <v>75</v>
      </c>
      <c r="C48" s="54" t="s">
        <v>23</v>
      </c>
      <c r="D48" s="26" t="s">
        <v>106</v>
      </c>
      <c r="E48" s="51">
        <v>6045</v>
      </c>
      <c r="F48" s="51">
        <v>6015</v>
      </c>
      <c r="G48" s="29">
        <v>100</v>
      </c>
      <c r="H48" s="69">
        <v>3000</v>
      </c>
      <c r="I48" s="20"/>
    </row>
    <row r="49" spans="1:9" x14ac:dyDescent="0.3">
      <c r="A49" s="20"/>
      <c r="B49" s="35" t="s">
        <v>76</v>
      </c>
      <c r="C49" s="55" t="s">
        <v>16</v>
      </c>
      <c r="D49" s="26" t="s">
        <v>106</v>
      </c>
      <c r="E49" s="53">
        <v>5945</v>
      </c>
      <c r="F49" s="53">
        <v>5975</v>
      </c>
      <c r="G49" s="29">
        <v>100</v>
      </c>
      <c r="H49" s="68">
        <v>3000</v>
      </c>
      <c r="I49" s="20"/>
    </row>
    <row r="50" spans="1:9" ht="15.6" x14ac:dyDescent="0.3">
      <c r="A50" s="20"/>
      <c r="B50" s="35"/>
      <c r="C50" s="29"/>
      <c r="D50" s="36"/>
      <c r="E50" s="29"/>
      <c r="F50" s="29"/>
      <c r="G50" s="29"/>
      <c r="H50" s="70">
        <v>29500</v>
      </c>
      <c r="I50" s="20"/>
    </row>
    <row r="51" spans="1:9" ht="15.6" x14ac:dyDescent="0.3">
      <c r="A51" s="20"/>
      <c r="B51" s="35"/>
      <c r="C51" s="29"/>
      <c r="D51" s="36"/>
      <c r="E51" s="29"/>
      <c r="F51" s="29"/>
      <c r="G51" s="29"/>
      <c r="H51" s="70"/>
      <c r="I51" s="20"/>
    </row>
    <row r="52" spans="1:9" x14ac:dyDescent="0.3">
      <c r="A52" s="20"/>
      <c r="B52" s="35"/>
      <c r="C52" s="29"/>
      <c r="D52" s="36"/>
      <c r="E52" s="29"/>
      <c r="F52" s="29"/>
      <c r="G52" s="29"/>
      <c r="H52" s="29"/>
      <c r="I52" s="20"/>
    </row>
    <row r="53" spans="1:9" ht="15.6" x14ac:dyDescent="0.3">
      <c r="A53" s="20"/>
      <c r="B53" s="61" t="s">
        <v>63</v>
      </c>
      <c r="C53" s="62"/>
      <c r="D53" s="63"/>
      <c r="E53" s="62"/>
      <c r="F53" s="62"/>
      <c r="G53" s="62"/>
      <c r="H53" s="64"/>
      <c r="I53" s="20"/>
    </row>
    <row r="54" spans="1:9" x14ac:dyDescent="0.3">
      <c r="A54" s="20"/>
      <c r="B54" s="35">
        <v>41284</v>
      </c>
      <c r="C54" s="29" t="s">
        <v>29</v>
      </c>
      <c r="D54" s="36" t="s">
        <v>16</v>
      </c>
      <c r="E54" s="29">
        <v>463</v>
      </c>
      <c r="F54" s="29">
        <v>464.9</v>
      </c>
      <c r="G54" s="29">
        <v>1000</v>
      </c>
      <c r="H54" s="37">
        <v>1900</v>
      </c>
      <c r="I54" s="20"/>
    </row>
    <row r="55" spans="1:9" x14ac:dyDescent="0.3">
      <c r="A55" s="20"/>
      <c r="B55" s="35">
        <v>41343</v>
      </c>
      <c r="C55" s="39" t="s">
        <v>27</v>
      </c>
      <c r="D55" s="40" t="s">
        <v>16</v>
      </c>
      <c r="E55" s="39">
        <v>128.19999999999999</v>
      </c>
      <c r="F55" s="39">
        <v>129.19999999999999</v>
      </c>
      <c r="G55" s="39">
        <v>5000</v>
      </c>
      <c r="H55" s="41">
        <v>2500</v>
      </c>
      <c r="I55" s="20"/>
    </row>
    <row r="56" spans="1:9" x14ac:dyDescent="0.3">
      <c r="A56" s="20"/>
      <c r="B56" s="35">
        <v>41374</v>
      </c>
      <c r="C56" s="29" t="s">
        <v>35</v>
      </c>
      <c r="D56" s="36" t="s">
        <v>16</v>
      </c>
      <c r="E56" s="29">
        <v>837</v>
      </c>
      <c r="F56" s="29">
        <v>843</v>
      </c>
      <c r="G56" s="29">
        <v>250</v>
      </c>
      <c r="H56" s="37">
        <v>1500</v>
      </c>
      <c r="I56" s="20"/>
    </row>
    <row r="57" spans="1:9" x14ac:dyDescent="0.3">
      <c r="A57" s="20"/>
      <c r="B57" s="35">
        <v>41465</v>
      </c>
      <c r="C57" s="29" t="s">
        <v>29</v>
      </c>
      <c r="D57" s="36" t="s">
        <v>16</v>
      </c>
      <c r="E57" s="29">
        <v>456.5</v>
      </c>
      <c r="F57" s="29">
        <v>454</v>
      </c>
      <c r="G57" s="29">
        <v>1000</v>
      </c>
      <c r="H57" s="37">
        <v>-2500</v>
      </c>
      <c r="I57" s="20"/>
    </row>
    <row r="58" spans="1:9" x14ac:dyDescent="0.3">
      <c r="A58" s="20"/>
      <c r="B58" s="35">
        <v>41496</v>
      </c>
      <c r="C58" s="23" t="s">
        <v>27</v>
      </c>
      <c r="D58" s="23" t="s">
        <v>16</v>
      </c>
      <c r="E58" s="23">
        <v>128.19999999999999</v>
      </c>
      <c r="F58" s="23">
        <v>129.19999999999999</v>
      </c>
      <c r="G58" s="23">
        <v>5000</v>
      </c>
      <c r="H58" s="23">
        <v>5000</v>
      </c>
      <c r="I58" s="20"/>
    </row>
    <row r="59" spans="1:9" x14ac:dyDescent="0.3">
      <c r="A59" s="20"/>
      <c r="B59" s="35">
        <v>41527</v>
      </c>
      <c r="C59" s="29" t="s">
        <v>35</v>
      </c>
      <c r="D59" s="36" t="s">
        <v>16</v>
      </c>
      <c r="E59" s="29">
        <v>858</v>
      </c>
      <c r="F59" s="29">
        <v>859</v>
      </c>
      <c r="G59" s="29">
        <v>250</v>
      </c>
      <c r="H59" s="37">
        <v>250</v>
      </c>
      <c r="I59" s="20"/>
    </row>
    <row r="60" spans="1:9" x14ac:dyDescent="0.3">
      <c r="A60" s="20"/>
      <c r="B60" s="35">
        <v>41557</v>
      </c>
      <c r="C60" s="29" t="s">
        <v>27</v>
      </c>
      <c r="D60" s="36" t="s">
        <v>23</v>
      </c>
      <c r="E60" s="29">
        <v>128.9</v>
      </c>
      <c r="F60" s="29">
        <v>128</v>
      </c>
      <c r="G60" s="29">
        <v>5000</v>
      </c>
      <c r="H60" s="37">
        <v>4500</v>
      </c>
      <c r="I60" s="20"/>
    </row>
    <row r="61" spans="1:9" x14ac:dyDescent="0.3">
      <c r="A61" s="20"/>
      <c r="B61" s="35">
        <v>41588</v>
      </c>
      <c r="C61" s="29" t="s">
        <v>35</v>
      </c>
      <c r="D61" s="29" t="s">
        <v>23</v>
      </c>
      <c r="E61" s="29">
        <v>848</v>
      </c>
      <c r="F61" s="29">
        <v>250</v>
      </c>
      <c r="G61" s="29">
        <v>250</v>
      </c>
      <c r="H61" s="37">
        <v>-500</v>
      </c>
      <c r="I61" s="20"/>
    </row>
    <row r="62" spans="1:9" x14ac:dyDescent="0.3">
      <c r="A62" s="20"/>
      <c r="B62" s="35" t="s">
        <v>64</v>
      </c>
      <c r="C62" s="29" t="s">
        <v>29</v>
      </c>
      <c r="D62" s="36" t="s">
        <v>16</v>
      </c>
      <c r="E62" s="29">
        <v>448</v>
      </c>
      <c r="F62" s="29">
        <v>452</v>
      </c>
      <c r="G62" s="29">
        <v>1000</v>
      </c>
      <c r="H62" s="37">
        <v>4000</v>
      </c>
      <c r="I62" s="20"/>
    </row>
    <row r="63" spans="1:9" x14ac:dyDescent="0.3">
      <c r="A63" s="20"/>
      <c r="B63" s="35" t="s">
        <v>65</v>
      </c>
      <c r="C63" s="29" t="s">
        <v>27</v>
      </c>
      <c r="D63" s="36" t="s">
        <v>23</v>
      </c>
      <c r="E63" s="29">
        <v>130.30000000000001</v>
      </c>
      <c r="F63" s="29">
        <v>130.80000000000001</v>
      </c>
      <c r="G63" s="29">
        <v>5000</v>
      </c>
      <c r="H63" s="37">
        <v>2500</v>
      </c>
      <c r="I63" s="20"/>
    </row>
    <row r="64" spans="1:9" x14ac:dyDescent="0.3">
      <c r="A64" s="20"/>
      <c r="B64" s="35" t="s">
        <v>66</v>
      </c>
      <c r="C64" s="29" t="s">
        <v>29</v>
      </c>
      <c r="D64" s="29" t="s">
        <v>16</v>
      </c>
      <c r="E64" s="29">
        <v>449</v>
      </c>
      <c r="F64" s="29">
        <v>451</v>
      </c>
      <c r="G64" s="29">
        <v>1000</v>
      </c>
      <c r="H64" s="37">
        <v>2000</v>
      </c>
      <c r="I64" s="20"/>
    </row>
    <row r="65" spans="1:9" x14ac:dyDescent="0.3">
      <c r="A65" s="20"/>
      <c r="B65" s="35" t="s">
        <v>68</v>
      </c>
      <c r="C65" s="39" t="s">
        <v>27</v>
      </c>
      <c r="D65" s="40" t="s">
        <v>16</v>
      </c>
      <c r="E65" s="39">
        <v>133</v>
      </c>
      <c r="F65" s="39">
        <v>133.5</v>
      </c>
      <c r="G65" s="39">
        <v>5000</v>
      </c>
      <c r="H65" s="41">
        <v>2500</v>
      </c>
      <c r="I65" s="20"/>
    </row>
    <row r="66" spans="1:9" x14ac:dyDescent="0.3">
      <c r="A66" s="20"/>
      <c r="B66" s="35" t="s">
        <v>69</v>
      </c>
      <c r="C66" s="29" t="s">
        <v>108</v>
      </c>
      <c r="D66" s="36" t="s">
        <v>16</v>
      </c>
      <c r="E66" s="29">
        <v>118.2</v>
      </c>
      <c r="F66" s="29">
        <v>119.2</v>
      </c>
      <c r="G66" s="29">
        <v>5000</v>
      </c>
      <c r="H66" s="37">
        <v>5000</v>
      </c>
      <c r="I66" s="20"/>
    </row>
    <row r="67" spans="1:9" x14ac:dyDescent="0.3">
      <c r="A67" s="20"/>
      <c r="B67" s="35" t="s">
        <v>70</v>
      </c>
      <c r="C67" s="29" t="s">
        <v>27</v>
      </c>
      <c r="D67" s="36" t="s">
        <v>16</v>
      </c>
      <c r="E67" s="29">
        <v>133.30000000000001</v>
      </c>
      <c r="F67" s="29">
        <v>133.80000000000001</v>
      </c>
      <c r="G67" s="29">
        <v>5000</v>
      </c>
      <c r="H67" s="37">
        <v>2500</v>
      </c>
      <c r="I67" s="20"/>
    </row>
    <row r="68" spans="1:9" x14ac:dyDescent="0.3">
      <c r="A68" s="20"/>
      <c r="B68" s="35" t="s">
        <v>71</v>
      </c>
      <c r="C68" s="23" t="s">
        <v>27</v>
      </c>
      <c r="D68" s="23" t="s">
        <v>16</v>
      </c>
      <c r="E68" s="23">
        <v>132.30000000000001</v>
      </c>
      <c r="F68" s="23">
        <v>133.30000000000001</v>
      </c>
      <c r="G68" s="23">
        <v>5000</v>
      </c>
      <c r="H68" s="23">
        <v>5000</v>
      </c>
      <c r="I68" s="20"/>
    </row>
    <row r="69" spans="1:9" x14ac:dyDescent="0.3">
      <c r="A69" s="20"/>
      <c r="B69" s="35" t="s">
        <v>72</v>
      </c>
      <c r="C69" s="23" t="s">
        <v>29</v>
      </c>
      <c r="D69" s="36" t="s">
        <v>16</v>
      </c>
      <c r="E69" s="29">
        <v>448</v>
      </c>
      <c r="F69" s="29">
        <v>446</v>
      </c>
      <c r="G69" s="29">
        <v>1000</v>
      </c>
      <c r="H69" s="37">
        <v>-2000</v>
      </c>
      <c r="I69" s="20"/>
    </row>
    <row r="70" spans="1:9" x14ac:dyDescent="0.3">
      <c r="A70" s="20"/>
      <c r="B70" s="47" t="s">
        <v>73</v>
      </c>
      <c r="C70" s="29" t="s">
        <v>35</v>
      </c>
      <c r="D70" s="36" t="s">
        <v>16</v>
      </c>
      <c r="E70" s="29">
        <v>890</v>
      </c>
      <c r="F70" s="29">
        <v>895.5</v>
      </c>
      <c r="G70" s="29">
        <v>250</v>
      </c>
      <c r="H70" s="37">
        <v>2500</v>
      </c>
      <c r="I70" s="20"/>
    </row>
    <row r="71" spans="1:9" x14ac:dyDescent="0.3">
      <c r="A71" s="20"/>
      <c r="B71" s="35" t="s">
        <v>74</v>
      </c>
      <c r="C71" s="29" t="s">
        <v>108</v>
      </c>
      <c r="D71" s="29" t="s">
        <v>16</v>
      </c>
      <c r="E71" s="29">
        <v>119</v>
      </c>
      <c r="F71" s="29">
        <v>119.5</v>
      </c>
      <c r="G71" s="29">
        <v>5000</v>
      </c>
      <c r="H71" s="37">
        <v>2500</v>
      </c>
      <c r="I71" s="20"/>
    </row>
    <row r="72" spans="1:9" x14ac:dyDescent="0.3">
      <c r="A72" s="20"/>
      <c r="B72" s="35" t="s">
        <v>75</v>
      </c>
      <c r="C72" s="29" t="s">
        <v>29</v>
      </c>
      <c r="D72" s="36" t="s">
        <v>23</v>
      </c>
      <c r="E72" s="29">
        <v>449.5</v>
      </c>
      <c r="F72" s="29">
        <v>452</v>
      </c>
      <c r="G72" s="29">
        <v>1000</v>
      </c>
      <c r="H72" s="37">
        <v>-2500</v>
      </c>
      <c r="I72" s="20"/>
    </row>
    <row r="73" spans="1:9" x14ac:dyDescent="0.3">
      <c r="A73" s="20"/>
      <c r="B73" s="35" t="s">
        <v>76</v>
      </c>
      <c r="C73" s="29" t="s">
        <v>27</v>
      </c>
      <c r="D73" s="36" t="s">
        <v>16</v>
      </c>
      <c r="E73" s="29">
        <v>134.30000000000001</v>
      </c>
      <c r="F73" s="29">
        <v>134.5</v>
      </c>
      <c r="G73" s="29">
        <v>5000</v>
      </c>
      <c r="H73" s="37">
        <v>1000</v>
      </c>
      <c r="I73" s="20"/>
    </row>
    <row r="74" spans="1:9" ht="15.6" x14ac:dyDescent="0.3">
      <c r="A74" s="20"/>
      <c r="C74" s="29"/>
      <c r="D74" s="36"/>
      <c r="E74" s="29"/>
      <c r="F74" s="29"/>
      <c r="G74" s="29"/>
      <c r="H74" s="56">
        <v>37650</v>
      </c>
      <c r="I74" s="20"/>
    </row>
    <row r="75" spans="1:9" x14ac:dyDescent="0.3">
      <c r="A75" s="20"/>
      <c r="I75" s="20"/>
    </row>
    <row r="76" spans="1:9" x14ac:dyDescent="0.3">
      <c r="A76" s="20"/>
      <c r="I76" s="20"/>
    </row>
    <row r="77" spans="1:9" x14ac:dyDescent="0.3">
      <c r="A77" s="20"/>
      <c r="I77" s="20"/>
    </row>
    <row r="78" spans="1:9" x14ac:dyDescent="0.3">
      <c r="A78" s="43"/>
      <c r="I78" s="43"/>
    </row>
    <row r="79" spans="1:9" x14ac:dyDescent="0.3">
      <c r="A79" s="43"/>
      <c r="I79" s="43"/>
    </row>
  </sheetData>
  <mergeCells count="3">
    <mergeCell ref="B1:H1"/>
    <mergeCell ref="B2:H2"/>
    <mergeCell ref="B3:H3"/>
  </mergeCells>
  <hyperlinks>
    <hyperlink ref="J2" location="MASTER!A1" display="Back" xr:uid="{00000000-0004-0000-0A00-000000000000}"/>
  </hyperlinks>
  <pageMargins left="0.7" right="0.7" top="0.75" bottom="0.75" header="0.3" footer="0.3"/>
  <pageSetup orientation="portrait" horizontalDpi="300" verticalDpi="30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W115"/>
  <sheetViews>
    <sheetView zoomScaleNormal="100"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44562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40</v>
      </c>
      <c r="O4" s="348">
        <f>V52</f>
        <v>28</v>
      </c>
      <c r="P4" s="355">
        <f>W52</f>
        <v>8</v>
      </c>
      <c r="Q4" s="356">
        <v>0</v>
      </c>
      <c r="R4" s="343">
        <f>O4/N4</f>
        <v>0.7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44564</v>
      </c>
      <c r="D6" s="192" t="s">
        <v>23</v>
      </c>
      <c r="E6" s="192" t="s">
        <v>24</v>
      </c>
      <c r="F6" s="193">
        <v>48030</v>
      </c>
      <c r="G6" s="193">
        <v>48130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COUNT(C60:C82)</f>
        <v>20</v>
      </c>
      <c r="O6" s="348">
        <f>V83</f>
        <v>17</v>
      </c>
      <c r="P6" s="348">
        <f>W83</f>
        <v>3</v>
      </c>
      <c r="Q6" s="349">
        <f>N6-O6-P6</f>
        <v>0</v>
      </c>
      <c r="R6" s="345">
        <f t="shared" ref="R6" si="0">O6/N6</f>
        <v>0.85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44564</v>
      </c>
      <c r="D7" s="196" t="s">
        <v>23</v>
      </c>
      <c r="E7" s="196" t="s">
        <v>22</v>
      </c>
      <c r="F7" s="197">
        <v>62400</v>
      </c>
      <c r="G7" s="197">
        <v>61800</v>
      </c>
      <c r="H7" s="196">
        <f>62400-61800</f>
        <v>600</v>
      </c>
      <c r="I7" s="197">
        <v>30</v>
      </c>
      <c r="J7" s="268">
        <f t="shared" ref="J7:J51" si="1">H7*I7</f>
        <v>18000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44565</v>
      </c>
      <c r="D8" s="196" t="s">
        <v>23</v>
      </c>
      <c r="E8" s="196" t="s">
        <v>24</v>
      </c>
      <c r="F8" s="197">
        <v>47800</v>
      </c>
      <c r="G8" s="197">
        <v>47750</v>
      </c>
      <c r="H8" s="196">
        <v>50</v>
      </c>
      <c r="I8" s="197">
        <v>100</v>
      </c>
      <c r="J8" s="268">
        <f t="shared" si="1"/>
        <v>5000</v>
      </c>
      <c r="K8" s="185"/>
      <c r="M8" s="362" t="s">
        <v>877</v>
      </c>
      <c r="N8" s="347">
        <f>COUNT(C91:C113)</f>
        <v>20</v>
      </c>
      <c r="O8" s="348">
        <f>V114</f>
        <v>14</v>
      </c>
      <c r="P8" s="348">
        <f>W114</f>
        <v>6</v>
      </c>
      <c r="Q8" s="349">
        <f>N8-O8-P8</f>
        <v>0</v>
      </c>
      <c r="R8" s="345">
        <f t="shared" ref="R8" si="4">O8/N8</f>
        <v>0.7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44565</v>
      </c>
      <c r="D9" s="196" t="s">
        <v>23</v>
      </c>
      <c r="E9" s="196" t="s">
        <v>22</v>
      </c>
      <c r="F9" s="197">
        <v>61850</v>
      </c>
      <c r="G9" s="197">
        <v>61550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44566</v>
      </c>
      <c r="D10" s="196" t="s">
        <v>23</v>
      </c>
      <c r="E10" s="196" t="s">
        <v>24</v>
      </c>
      <c r="F10" s="197">
        <v>47920</v>
      </c>
      <c r="G10" s="197">
        <v>48020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80</v>
      </c>
      <c r="O10" s="321">
        <f>SUM(O4:O9)</f>
        <v>59</v>
      </c>
      <c r="P10" s="321">
        <f>SUM(P4:P9)</f>
        <v>17</v>
      </c>
      <c r="Q10" s="341">
        <f>SUM(Q4:Q9)</f>
        <v>0</v>
      </c>
      <c r="R10" s="343">
        <f t="shared" ref="R10" si="5">O10/N10</f>
        <v>0.73750000000000004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44566</v>
      </c>
      <c r="D11" s="196" t="s">
        <v>23</v>
      </c>
      <c r="E11" s="196" t="s">
        <v>22</v>
      </c>
      <c r="F11" s="197">
        <v>62000</v>
      </c>
      <c r="G11" s="197">
        <v>62300</v>
      </c>
      <c r="H11" s="196">
        <v>-300</v>
      </c>
      <c r="I11" s="197">
        <v>30</v>
      </c>
      <c r="J11" s="268">
        <f t="shared" si="1"/>
        <v>-9000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44567</v>
      </c>
      <c r="D12" s="196" t="s">
        <v>23</v>
      </c>
      <c r="E12" s="196" t="s">
        <v>24</v>
      </c>
      <c r="F12" s="197">
        <v>47670</v>
      </c>
      <c r="G12" s="197">
        <v>47470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0.73750000000000004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44567</v>
      </c>
      <c r="D13" s="196" t="s">
        <v>23</v>
      </c>
      <c r="E13" s="196" t="s">
        <v>22</v>
      </c>
      <c r="F13" s="197">
        <v>61200</v>
      </c>
      <c r="G13" s="197">
        <v>60600</v>
      </c>
      <c r="H13" s="196">
        <v>600</v>
      </c>
      <c r="I13" s="197">
        <v>30</v>
      </c>
      <c r="J13" s="268">
        <f t="shared" si="1"/>
        <v>18000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44568</v>
      </c>
      <c r="D14" s="196" t="s">
        <v>23</v>
      </c>
      <c r="E14" s="196" t="s">
        <v>24</v>
      </c>
      <c r="F14" s="197">
        <v>47400</v>
      </c>
      <c r="G14" s="197">
        <v>47300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44568</v>
      </c>
      <c r="D15" s="196" t="s">
        <v>23</v>
      </c>
      <c r="E15" s="196" t="s">
        <v>22</v>
      </c>
      <c r="F15" s="197">
        <v>60450</v>
      </c>
      <c r="G15" s="197">
        <v>60150</v>
      </c>
      <c r="H15" s="196">
        <v>300</v>
      </c>
      <c r="I15" s="197">
        <v>30</v>
      </c>
      <c r="J15" s="268">
        <f t="shared" si="1"/>
        <v>9000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44571</v>
      </c>
      <c r="D16" s="196" t="s">
        <v>23</v>
      </c>
      <c r="E16" s="196" t="s">
        <v>24</v>
      </c>
      <c r="F16" s="197">
        <v>47450</v>
      </c>
      <c r="G16" s="197">
        <v>47350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44571</v>
      </c>
      <c r="D17" s="196" t="s">
        <v>23</v>
      </c>
      <c r="E17" s="196" t="s">
        <v>22</v>
      </c>
      <c r="F17" s="197">
        <v>60700</v>
      </c>
      <c r="G17" s="197">
        <v>60400</v>
      </c>
      <c r="H17" s="196"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44572</v>
      </c>
      <c r="D18" s="196" t="s">
        <v>23</v>
      </c>
      <c r="E18" s="196" t="s">
        <v>24</v>
      </c>
      <c r="F18" s="197">
        <v>47570</v>
      </c>
      <c r="G18" s="197">
        <v>47470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44572</v>
      </c>
      <c r="D19" s="196" t="s">
        <v>23</v>
      </c>
      <c r="E19" s="196" t="s">
        <v>22</v>
      </c>
      <c r="F19" s="197">
        <v>60950</v>
      </c>
      <c r="G19" s="197">
        <v>62650</v>
      </c>
      <c r="H19" s="196">
        <v>300</v>
      </c>
      <c r="I19" s="197">
        <v>30</v>
      </c>
      <c r="J19" s="268">
        <f t="shared" si="1"/>
        <v>9000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44573</v>
      </c>
      <c r="D20" s="196" t="s">
        <v>23</v>
      </c>
      <c r="E20" s="196" t="s">
        <v>24</v>
      </c>
      <c r="F20" s="197">
        <v>47740</v>
      </c>
      <c r="G20" s="197">
        <v>47840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44573</v>
      </c>
      <c r="D21" s="196" t="s">
        <v>23</v>
      </c>
      <c r="E21" s="196" t="s">
        <v>22</v>
      </c>
      <c r="F21" s="197">
        <v>61200</v>
      </c>
      <c r="G21" s="197">
        <v>61500</v>
      </c>
      <c r="H21" s="196">
        <v>-300</v>
      </c>
      <c r="I21" s="197">
        <v>30</v>
      </c>
      <c r="J21" s="268">
        <f t="shared" si="1"/>
        <v>-9000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44574</v>
      </c>
      <c r="D22" s="196" t="s">
        <v>23</v>
      </c>
      <c r="E22" s="196" t="s">
        <v>24</v>
      </c>
      <c r="F22" s="197">
        <v>47840</v>
      </c>
      <c r="G22" s="197">
        <v>47740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44574</v>
      </c>
      <c r="D23" s="196" t="s">
        <v>23</v>
      </c>
      <c r="E23" s="196" t="s">
        <v>22</v>
      </c>
      <c r="F23" s="197">
        <v>62000</v>
      </c>
      <c r="G23" s="197">
        <v>61850</v>
      </c>
      <c r="H23" s="196">
        <f>62000-61850</f>
        <v>150</v>
      </c>
      <c r="I23" s="197">
        <v>30</v>
      </c>
      <c r="J23" s="268">
        <f t="shared" si="1"/>
        <v>4500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44575</v>
      </c>
      <c r="D24" s="196" t="s">
        <v>23</v>
      </c>
      <c r="E24" s="196" t="s">
        <v>24</v>
      </c>
      <c r="F24" s="197">
        <v>47980</v>
      </c>
      <c r="G24" s="197">
        <v>47800</v>
      </c>
      <c r="H24" s="196">
        <f>47980-47800</f>
        <v>180</v>
      </c>
      <c r="I24" s="197">
        <v>100</v>
      </c>
      <c r="J24" s="268">
        <f t="shared" si="1"/>
        <v>18000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44575</v>
      </c>
      <c r="D25" s="196" t="s">
        <v>23</v>
      </c>
      <c r="E25" s="196" t="s">
        <v>22</v>
      </c>
      <c r="F25" s="197">
        <v>62200</v>
      </c>
      <c r="G25" s="197">
        <v>61700</v>
      </c>
      <c r="H25" s="196">
        <f>62200-61700</f>
        <v>500</v>
      </c>
      <c r="I25" s="197">
        <v>30</v>
      </c>
      <c r="J25" s="268">
        <f t="shared" si="1"/>
        <v>15000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44578</v>
      </c>
      <c r="D26" s="196" t="s">
        <v>23</v>
      </c>
      <c r="E26" s="196" t="s">
        <v>24</v>
      </c>
      <c r="F26" s="197">
        <v>47940</v>
      </c>
      <c r="G26" s="197">
        <v>47860</v>
      </c>
      <c r="H26" s="196">
        <f>47940-47860</f>
        <v>80</v>
      </c>
      <c r="I26" s="197">
        <v>100</v>
      </c>
      <c r="J26" s="268">
        <f t="shared" si="1"/>
        <v>8000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44578</v>
      </c>
      <c r="D27" s="196" t="s">
        <v>23</v>
      </c>
      <c r="E27" s="196" t="s">
        <v>22</v>
      </c>
      <c r="F27" s="197">
        <v>62000</v>
      </c>
      <c r="G27" s="197">
        <v>61800</v>
      </c>
      <c r="H27" s="196">
        <f>62000-61800</f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44579</v>
      </c>
      <c r="D28" s="196" t="s">
        <v>23</v>
      </c>
      <c r="E28" s="196" t="s">
        <v>24</v>
      </c>
      <c r="F28" s="197">
        <v>47920</v>
      </c>
      <c r="G28" s="197">
        <v>47785</v>
      </c>
      <c r="H28" s="196">
        <f>47920-47785</f>
        <v>135</v>
      </c>
      <c r="I28" s="197">
        <v>100</v>
      </c>
      <c r="J28" s="268">
        <f t="shared" si="1"/>
        <v>13500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44579</v>
      </c>
      <c r="D29" s="196" t="s">
        <v>23</v>
      </c>
      <c r="E29" s="196" t="s">
        <v>22</v>
      </c>
      <c r="F29" s="197">
        <v>61900</v>
      </c>
      <c r="G29" s="197">
        <v>61690</v>
      </c>
      <c r="H29" s="196">
        <f>61900-61690</f>
        <v>210</v>
      </c>
      <c r="I29" s="197">
        <v>30</v>
      </c>
      <c r="J29" s="268">
        <f t="shared" si="1"/>
        <v>6300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44580</v>
      </c>
      <c r="D30" s="196" t="s">
        <v>23</v>
      </c>
      <c r="E30" s="196" t="s">
        <v>24</v>
      </c>
      <c r="F30" s="197">
        <v>47950</v>
      </c>
      <c r="G30" s="197">
        <v>47890</v>
      </c>
      <c r="H30" s="196">
        <f>47950-47890</f>
        <v>60</v>
      </c>
      <c r="I30" s="197">
        <v>100</v>
      </c>
      <c r="J30" s="268">
        <f t="shared" si="1"/>
        <v>6000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44580</v>
      </c>
      <c r="D31" s="196" t="s">
        <v>23</v>
      </c>
      <c r="E31" s="196" t="s">
        <v>22</v>
      </c>
      <c r="F31" s="197">
        <v>63300</v>
      </c>
      <c r="G31" s="197">
        <v>63600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44581</v>
      </c>
      <c r="D32" s="196" t="s">
        <v>23</v>
      </c>
      <c r="E32" s="196" t="s">
        <v>24</v>
      </c>
      <c r="F32" s="197">
        <v>48440</v>
      </c>
      <c r="G32" s="197">
        <v>48380</v>
      </c>
      <c r="H32" s="196">
        <f>48440-48380</f>
        <v>60</v>
      </c>
      <c r="I32" s="197">
        <v>100</v>
      </c>
      <c r="J32" s="268">
        <f t="shared" si="1"/>
        <v>6000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44581</v>
      </c>
      <c r="D33" s="196" t="s">
        <v>23</v>
      </c>
      <c r="E33" s="196" t="s">
        <v>22</v>
      </c>
      <c r="F33" s="197">
        <v>64600</v>
      </c>
      <c r="G33" s="197">
        <v>64470</v>
      </c>
      <c r="H33" s="196">
        <f>64600-64470</f>
        <v>130</v>
      </c>
      <c r="I33" s="197">
        <v>30</v>
      </c>
      <c r="J33" s="268">
        <f t="shared" si="1"/>
        <v>3900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44582</v>
      </c>
      <c r="D34" s="196" t="s">
        <v>23</v>
      </c>
      <c r="E34" s="196" t="s">
        <v>24</v>
      </c>
      <c r="F34" s="197">
        <v>48220</v>
      </c>
      <c r="G34" s="197">
        <v>48320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>IF($J34&lt;0,1,0)</f>
        <v>1</v>
      </c>
    </row>
    <row r="35" spans="1:23" x14ac:dyDescent="0.3">
      <c r="A35" s="184"/>
      <c r="B35" s="194">
        <v>30</v>
      </c>
      <c r="C35" s="195">
        <v>44582</v>
      </c>
      <c r="D35" s="196" t="s">
        <v>23</v>
      </c>
      <c r="E35" s="196" t="s">
        <v>22</v>
      </c>
      <c r="F35" s="197">
        <v>64700</v>
      </c>
      <c r="G35" s="197">
        <v>65000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ref="W35:W40" si="6">IF($J35&lt;0,1,0)</f>
        <v>1</v>
      </c>
    </row>
    <row r="36" spans="1:23" x14ac:dyDescent="0.3">
      <c r="A36" s="184"/>
      <c r="B36" s="194">
        <v>31</v>
      </c>
      <c r="C36" s="195">
        <v>44585</v>
      </c>
      <c r="D36" s="196" t="s">
        <v>23</v>
      </c>
      <c r="E36" s="196" t="s">
        <v>24</v>
      </c>
      <c r="F36" s="197">
        <v>48580</v>
      </c>
      <c r="G36" s="197">
        <v>48480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44585</v>
      </c>
      <c r="D37" s="196" t="s">
        <v>23</v>
      </c>
      <c r="E37" s="196" t="s">
        <v>22</v>
      </c>
      <c r="F37" s="197">
        <v>65000</v>
      </c>
      <c r="G37" s="197">
        <v>64400</v>
      </c>
      <c r="H37" s="196">
        <v>600</v>
      </c>
      <c r="I37" s="197">
        <v>30</v>
      </c>
      <c r="J37" s="268">
        <f t="shared" si="1"/>
        <v>18000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44586</v>
      </c>
      <c r="D38" s="196" t="s">
        <v>23</v>
      </c>
      <c r="E38" s="196" t="s">
        <v>24</v>
      </c>
      <c r="F38" s="197">
        <v>48630</v>
      </c>
      <c r="G38" s="197">
        <v>48540</v>
      </c>
      <c r="H38" s="196">
        <f>48630-48540</f>
        <v>90</v>
      </c>
      <c r="I38" s="197">
        <v>100</v>
      </c>
      <c r="J38" s="268">
        <f t="shared" si="1"/>
        <v>9000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44586</v>
      </c>
      <c r="D39" s="196" t="s">
        <v>23</v>
      </c>
      <c r="E39" s="196" t="s">
        <v>22</v>
      </c>
      <c r="F39" s="197">
        <v>63900</v>
      </c>
      <c r="G39" s="197">
        <v>63700</v>
      </c>
      <c r="H39" s="196">
        <v>200</v>
      </c>
      <c r="I39" s="197">
        <v>30</v>
      </c>
      <c r="J39" s="268">
        <f t="shared" si="1"/>
        <v>6000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44588</v>
      </c>
      <c r="D40" s="196" t="s">
        <v>23</v>
      </c>
      <c r="E40" s="196" t="s">
        <v>24</v>
      </c>
      <c r="F40" s="197">
        <v>48320</v>
      </c>
      <c r="G40" s="197">
        <v>48170</v>
      </c>
      <c r="H40" s="196">
        <f>48320-48170</f>
        <v>150</v>
      </c>
      <c r="I40" s="197">
        <v>100</v>
      </c>
      <c r="J40" s="268">
        <f t="shared" si="1"/>
        <v>15000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44588</v>
      </c>
      <c r="D41" s="196" t="s">
        <v>23</v>
      </c>
      <c r="E41" s="196" t="s">
        <v>22</v>
      </c>
      <c r="F41" s="197">
        <v>63250</v>
      </c>
      <c r="G41" s="197">
        <v>62655</v>
      </c>
      <c r="H41" s="196">
        <v>595</v>
      </c>
      <c r="I41" s="197">
        <v>30</v>
      </c>
      <c r="J41" s="268">
        <f t="shared" si="1"/>
        <v>17850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44589</v>
      </c>
      <c r="D42" s="196" t="s">
        <v>23</v>
      </c>
      <c r="E42" s="196" t="s">
        <v>24</v>
      </c>
      <c r="F42" s="197">
        <v>47850</v>
      </c>
      <c r="G42" s="197">
        <v>47750</v>
      </c>
      <c r="H42" s="196">
        <v>100</v>
      </c>
      <c r="I42" s="197">
        <v>100</v>
      </c>
      <c r="J42" s="268">
        <f t="shared" si="1"/>
        <v>10000</v>
      </c>
      <c r="K42" s="185"/>
    </row>
    <row r="43" spans="1:23" x14ac:dyDescent="0.3">
      <c r="A43" s="184"/>
      <c r="B43" s="194">
        <v>38</v>
      </c>
      <c r="C43" s="195">
        <v>44589</v>
      </c>
      <c r="D43" s="196" t="s">
        <v>23</v>
      </c>
      <c r="E43" s="196" t="s">
        <v>22</v>
      </c>
      <c r="F43" s="197">
        <v>61700</v>
      </c>
      <c r="G43" s="197">
        <v>61400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44592</v>
      </c>
      <c r="D44" s="196" t="s">
        <v>23</v>
      </c>
      <c r="E44" s="196" t="s">
        <v>24</v>
      </c>
      <c r="F44" s="197">
        <v>47520</v>
      </c>
      <c r="G44" s="197">
        <v>47620</v>
      </c>
      <c r="H44" s="196">
        <v>-100</v>
      </c>
      <c r="I44" s="197">
        <v>100</v>
      </c>
      <c r="J44" s="268">
        <f t="shared" si="1"/>
        <v>-10000</v>
      </c>
      <c r="K44" s="185"/>
    </row>
    <row r="45" spans="1:23" x14ac:dyDescent="0.3">
      <c r="A45" s="184"/>
      <c r="B45" s="194">
        <v>40</v>
      </c>
      <c r="C45" s="195">
        <v>44592</v>
      </c>
      <c r="D45" s="196" t="s">
        <v>23</v>
      </c>
      <c r="E45" s="196" t="s">
        <v>22</v>
      </c>
      <c r="F45" s="197">
        <v>61300</v>
      </c>
      <c r="G45" s="197">
        <v>61100</v>
      </c>
      <c r="H45" s="196">
        <v>200</v>
      </c>
      <c r="I45" s="197">
        <v>30</v>
      </c>
      <c r="J45" s="268">
        <f t="shared" si="1"/>
        <v>6000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239050</v>
      </c>
      <c r="K52" s="185"/>
      <c r="V52" s="183">
        <f>SUM(V6:V51)</f>
        <v>28</v>
      </c>
      <c r="W52" s="183">
        <f>SUM(W6:W51)</f>
        <v>8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44562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44564</v>
      </c>
      <c r="D60" s="192" t="s">
        <v>23</v>
      </c>
      <c r="E60" s="192" t="s">
        <v>25</v>
      </c>
      <c r="F60" s="193">
        <v>5665</v>
      </c>
      <c r="G60" s="193">
        <v>5605</v>
      </c>
      <c r="H60" s="192">
        <v>60</v>
      </c>
      <c r="I60" s="193">
        <v>100</v>
      </c>
      <c r="J60" s="267">
        <f t="shared" ref="J60:J82" si="7">I60*H60</f>
        <v>6000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44565</v>
      </c>
      <c r="D61" s="196" t="s">
        <v>23</v>
      </c>
      <c r="E61" s="196" t="s">
        <v>25</v>
      </c>
      <c r="F61" s="197">
        <v>5665</v>
      </c>
      <c r="G61" s="197">
        <v>5695</v>
      </c>
      <c r="H61" s="196">
        <v>-30</v>
      </c>
      <c r="I61" s="197">
        <v>100</v>
      </c>
      <c r="J61" s="268">
        <f t="shared" si="7"/>
        <v>-3000</v>
      </c>
      <c r="K61" s="185"/>
      <c r="V61" s="183">
        <f t="shared" ref="V61:V82" si="8">IF($J61&gt;0,1,0)</f>
        <v>0</v>
      </c>
      <c r="W61" s="183">
        <f t="shared" ref="W61:W82" si="9">IF($J61&lt;0,1,0)</f>
        <v>1</v>
      </c>
    </row>
    <row r="62" spans="1:23" x14ac:dyDescent="0.3">
      <c r="A62" s="184"/>
      <c r="B62" s="194">
        <v>3</v>
      </c>
      <c r="C62" s="195">
        <v>44566</v>
      </c>
      <c r="D62" s="196" t="s">
        <v>23</v>
      </c>
      <c r="E62" s="196" t="s">
        <v>25</v>
      </c>
      <c r="F62" s="197">
        <v>5725</v>
      </c>
      <c r="G62" s="197">
        <v>5695</v>
      </c>
      <c r="H62" s="196">
        <v>30</v>
      </c>
      <c r="I62" s="197">
        <v>100</v>
      </c>
      <c r="J62" s="268">
        <f t="shared" si="7"/>
        <v>3000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4</v>
      </c>
      <c r="C63" s="195">
        <v>44567</v>
      </c>
      <c r="D63" s="196" t="s">
        <v>23</v>
      </c>
      <c r="E63" s="196" t="s">
        <v>25</v>
      </c>
      <c r="F63" s="197">
        <v>5760</v>
      </c>
      <c r="G63" s="197">
        <v>5745</v>
      </c>
      <c r="H63" s="196">
        <f>5760-5745</f>
        <v>15</v>
      </c>
      <c r="I63" s="197">
        <v>100</v>
      </c>
      <c r="J63" s="268">
        <f t="shared" si="7"/>
        <v>1500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44568</v>
      </c>
      <c r="D64" s="196" t="s">
        <v>23</v>
      </c>
      <c r="E64" s="196" t="s">
        <v>25</v>
      </c>
      <c r="F64" s="197">
        <v>5955</v>
      </c>
      <c r="G64" s="197">
        <v>5895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44571</v>
      </c>
      <c r="D65" s="196" t="s">
        <v>23</v>
      </c>
      <c r="E65" s="196" t="s">
        <v>25</v>
      </c>
      <c r="F65" s="197">
        <v>5865</v>
      </c>
      <c r="G65" s="197">
        <v>5805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44572</v>
      </c>
      <c r="D66" s="196" t="s">
        <v>23</v>
      </c>
      <c r="E66" s="196" t="s">
        <v>25</v>
      </c>
      <c r="F66" s="222">
        <v>5855</v>
      </c>
      <c r="G66" s="222">
        <v>5885</v>
      </c>
      <c r="H66" s="196">
        <v>-30</v>
      </c>
      <c r="I66" s="197">
        <v>100</v>
      </c>
      <c r="J66" s="268">
        <f t="shared" si="7"/>
        <v>-3000</v>
      </c>
      <c r="K66" s="185"/>
      <c r="V66" s="183">
        <f t="shared" si="8"/>
        <v>0</v>
      </c>
      <c r="W66" s="183">
        <f t="shared" si="9"/>
        <v>1</v>
      </c>
    </row>
    <row r="67" spans="1:23" x14ac:dyDescent="0.3">
      <c r="A67" s="184"/>
      <c r="B67" s="194">
        <v>8</v>
      </c>
      <c r="C67" s="195">
        <v>44573</v>
      </c>
      <c r="D67" s="196" t="s">
        <v>23</v>
      </c>
      <c r="E67" s="196" t="s">
        <v>25</v>
      </c>
      <c r="F67" s="197">
        <v>6050</v>
      </c>
      <c r="G67" s="197">
        <v>6010</v>
      </c>
      <c r="H67" s="196">
        <v>40</v>
      </c>
      <c r="I67" s="197">
        <v>100</v>
      </c>
      <c r="J67" s="268">
        <f t="shared" si="7"/>
        <v>4000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9</v>
      </c>
      <c r="C68" s="195">
        <v>44574</v>
      </c>
      <c r="D68" s="196" t="s">
        <v>23</v>
      </c>
      <c r="E68" s="196" t="s">
        <v>25</v>
      </c>
      <c r="F68" s="197">
        <v>6110</v>
      </c>
      <c r="G68" s="197">
        <v>6070</v>
      </c>
      <c r="H68" s="196">
        <v>40</v>
      </c>
      <c r="I68" s="197">
        <v>100</v>
      </c>
      <c r="J68" s="268">
        <f t="shared" si="7"/>
        <v>4000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44575</v>
      </c>
      <c r="D69" s="196" t="s">
        <v>23</v>
      </c>
      <c r="E69" s="196" t="s">
        <v>25</v>
      </c>
      <c r="F69" s="197">
        <v>6195</v>
      </c>
      <c r="G69" s="197">
        <v>6125</v>
      </c>
      <c r="H69" s="196">
        <v>-30</v>
      </c>
      <c r="I69" s="197">
        <v>100</v>
      </c>
      <c r="J69" s="268">
        <f t="shared" si="7"/>
        <v>-3000</v>
      </c>
      <c r="K69" s="185"/>
      <c r="V69" s="183">
        <f t="shared" si="8"/>
        <v>0</v>
      </c>
      <c r="W69" s="183">
        <f t="shared" si="9"/>
        <v>1</v>
      </c>
    </row>
    <row r="70" spans="1:23" x14ac:dyDescent="0.3">
      <c r="A70" s="184"/>
      <c r="B70" s="194">
        <v>11</v>
      </c>
      <c r="C70" s="195">
        <v>44578</v>
      </c>
      <c r="D70" s="196" t="s">
        <v>23</v>
      </c>
      <c r="E70" s="196" t="s">
        <v>25</v>
      </c>
      <c r="F70" s="197">
        <v>6245</v>
      </c>
      <c r="G70" s="197">
        <v>6206</v>
      </c>
      <c r="H70" s="196">
        <f>6245-6206</f>
        <v>39</v>
      </c>
      <c r="I70" s="197">
        <v>100</v>
      </c>
      <c r="J70" s="268">
        <f t="shared" si="7"/>
        <v>3900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44579</v>
      </c>
      <c r="D71" s="196" t="s">
        <v>23</v>
      </c>
      <c r="E71" s="196" t="s">
        <v>25</v>
      </c>
      <c r="F71" s="197">
        <v>6355</v>
      </c>
      <c r="G71" s="197">
        <v>6305</v>
      </c>
      <c r="H71" s="196">
        <v>50</v>
      </c>
      <c r="I71" s="197">
        <v>100</v>
      </c>
      <c r="J71" s="268">
        <f t="shared" si="7"/>
        <v>5000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13</v>
      </c>
      <c r="C72" s="195">
        <v>44580</v>
      </c>
      <c r="D72" s="196" t="s">
        <v>23</v>
      </c>
      <c r="E72" s="196" t="s">
        <v>25</v>
      </c>
      <c r="F72" s="197">
        <v>6400</v>
      </c>
      <c r="G72" s="197">
        <v>6370</v>
      </c>
      <c r="H72" s="196">
        <v>30</v>
      </c>
      <c r="I72" s="197">
        <v>100</v>
      </c>
      <c r="J72" s="268">
        <f t="shared" si="7"/>
        <v>3000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44581</v>
      </c>
      <c r="D73" s="196" t="s">
        <v>23</v>
      </c>
      <c r="E73" s="196" t="s">
        <v>25</v>
      </c>
      <c r="F73" s="197">
        <v>6390</v>
      </c>
      <c r="G73" s="197">
        <v>6345</v>
      </c>
      <c r="H73" s="196">
        <f>6390-6345</f>
        <v>45</v>
      </c>
      <c r="I73" s="197">
        <v>100</v>
      </c>
      <c r="J73" s="268">
        <f t="shared" si="7"/>
        <v>4500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44582</v>
      </c>
      <c r="D74" s="196" t="s">
        <v>23</v>
      </c>
      <c r="E74" s="196" t="s">
        <v>25</v>
      </c>
      <c r="F74" s="197">
        <v>6275</v>
      </c>
      <c r="G74" s="197">
        <v>6235</v>
      </c>
      <c r="H74" s="196">
        <f>6275-6235</f>
        <v>40</v>
      </c>
      <c r="I74" s="197">
        <v>100</v>
      </c>
      <c r="J74" s="268">
        <f t="shared" si="7"/>
        <v>4000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16</v>
      </c>
      <c r="C75" s="195">
        <v>44585</v>
      </c>
      <c r="D75" s="196" t="s">
        <v>23</v>
      </c>
      <c r="E75" s="196" t="s">
        <v>25</v>
      </c>
      <c r="F75" s="197">
        <v>6400</v>
      </c>
      <c r="G75" s="197">
        <v>6340</v>
      </c>
      <c r="H75" s="196">
        <v>60</v>
      </c>
      <c r="I75" s="197">
        <v>100</v>
      </c>
      <c r="J75" s="268">
        <f t="shared" si="7"/>
        <v>6000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44586</v>
      </c>
      <c r="D76" s="196" t="s">
        <v>23</v>
      </c>
      <c r="E76" s="196" t="s">
        <v>25</v>
      </c>
      <c r="F76" s="197">
        <v>6275</v>
      </c>
      <c r="G76" s="197">
        <v>6252</v>
      </c>
      <c r="H76" s="196">
        <f>6275-6252</f>
        <v>23</v>
      </c>
      <c r="I76" s="197">
        <v>100</v>
      </c>
      <c r="J76" s="268">
        <f t="shared" si="7"/>
        <v>2300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255"/>
      <c r="B77" s="194">
        <v>18</v>
      </c>
      <c r="C77" s="195">
        <v>44588</v>
      </c>
      <c r="D77" s="196" t="s">
        <v>23</v>
      </c>
      <c r="E77" s="196" t="s">
        <v>25</v>
      </c>
      <c r="F77" s="197">
        <v>6575</v>
      </c>
      <c r="G77" s="197">
        <v>6545</v>
      </c>
      <c r="H77" s="196">
        <f>6575-6545</f>
        <v>30</v>
      </c>
      <c r="I77" s="197">
        <v>100</v>
      </c>
      <c r="J77" s="268">
        <f t="shared" si="7"/>
        <v>3000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44589</v>
      </c>
      <c r="D78" s="196" t="s">
        <v>23</v>
      </c>
      <c r="E78" s="196" t="s">
        <v>25</v>
      </c>
      <c r="F78" s="197">
        <v>6560</v>
      </c>
      <c r="G78" s="197">
        <v>6530</v>
      </c>
      <c r="H78" s="196">
        <v>30</v>
      </c>
      <c r="I78" s="197">
        <v>100</v>
      </c>
      <c r="J78" s="268">
        <f t="shared" si="7"/>
        <v>3000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44592</v>
      </c>
      <c r="D79" s="196" t="s">
        <v>23</v>
      </c>
      <c r="E79" s="196" t="s">
        <v>25</v>
      </c>
      <c r="F79" s="197">
        <v>6595</v>
      </c>
      <c r="G79" s="197">
        <v>6535</v>
      </c>
      <c r="H79" s="196">
        <f>6595-6535</f>
        <v>60</v>
      </c>
      <c r="I79" s="197">
        <v>100</v>
      </c>
      <c r="J79" s="268">
        <f t="shared" si="7"/>
        <v>6000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62200</v>
      </c>
      <c r="K83" s="185"/>
      <c r="V83" s="183">
        <f>SUM(V60:V82)</f>
        <v>17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44562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44564</v>
      </c>
      <c r="D91" s="216" t="s">
        <v>23</v>
      </c>
      <c r="E91" s="256" t="s">
        <v>28</v>
      </c>
      <c r="F91" s="256">
        <v>288.8</v>
      </c>
      <c r="G91" s="256">
        <v>286.8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44565</v>
      </c>
      <c r="D92" s="196" t="s">
        <v>23</v>
      </c>
      <c r="E92" s="222" t="s">
        <v>28</v>
      </c>
      <c r="F92" s="222">
        <v>288.5</v>
      </c>
      <c r="G92" s="222">
        <v>289.5</v>
      </c>
      <c r="H92" s="222">
        <v>-1</v>
      </c>
      <c r="I92" s="197">
        <v>5000</v>
      </c>
      <c r="J92" s="268">
        <f t="shared" ref="J92:J113" si="10">I92*H92</f>
        <v>-5000</v>
      </c>
      <c r="K92" s="185"/>
      <c r="V92" s="183">
        <f t="shared" ref="V92:V113" si="11">IF($J92&gt;0,1,0)</f>
        <v>0</v>
      </c>
      <c r="W92" s="183">
        <f t="shared" ref="W92:W113" si="12">IF($J92&lt;0,1,0)</f>
        <v>1</v>
      </c>
    </row>
    <row r="93" spans="1:23" x14ac:dyDescent="0.3">
      <c r="A93" s="184"/>
      <c r="B93" s="194">
        <v>3</v>
      </c>
      <c r="C93" s="195">
        <v>44566</v>
      </c>
      <c r="D93" s="196" t="s">
        <v>23</v>
      </c>
      <c r="E93" s="222" t="s">
        <v>28</v>
      </c>
      <c r="F93" s="222">
        <v>292</v>
      </c>
      <c r="G93" s="222">
        <v>290</v>
      </c>
      <c r="H93" s="222">
        <v>-1</v>
      </c>
      <c r="I93" s="197">
        <v>5000</v>
      </c>
      <c r="J93" s="268">
        <f t="shared" si="10"/>
        <v>-5000</v>
      </c>
      <c r="K93" s="185"/>
      <c r="V93" s="183">
        <f t="shared" si="11"/>
        <v>0</v>
      </c>
      <c r="W93" s="183">
        <f t="shared" si="12"/>
        <v>1</v>
      </c>
    </row>
    <row r="94" spans="1:23" x14ac:dyDescent="0.3">
      <c r="A94" s="184"/>
      <c r="B94" s="194">
        <v>4</v>
      </c>
      <c r="C94" s="195">
        <v>44567</v>
      </c>
      <c r="D94" s="196" t="s">
        <v>23</v>
      </c>
      <c r="E94" s="222" t="s">
        <v>28</v>
      </c>
      <c r="F94" s="222">
        <v>288.39999999999998</v>
      </c>
      <c r="G94" s="222">
        <v>286.5</v>
      </c>
      <c r="H94" s="222">
        <v>1.9</v>
      </c>
      <c r="I94" s="197">
        <v>5000</v>
      </c>
      <c r="J94" s="268">
        <f t="shared" si="10"/>
        <v>9500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44568</v>
      </c>
      <c r="D95" s="196" t="s">
        <v>23</v>
      </c>
      <c r="E95" s="222" t="s">
        <v>28</v>
      </c>
      <c r="F95" s="222">
        <v>291.8</v>
      </c>
      <c r="G95" s="222">
        <v>289.8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44571</v>
      </c>
      <c r="D96" s="196" t="s">
        <v>23</v>
      </c>
      <c r="E96" s="222" t="s">
        <v>28</v>
      </c>
      <c r="F96" s="222">
        <v>288.60000000000002</v>
      </c>
      <c r="G96" s="222">
        <v>286.60000000000002</v>
      </c>
      <c r="H96" s="222">
        <v>2</v>
      </c>
      <c r="I96" s="197">
        <v>5000</v>
      </c>
      <c r="J96" s="268">
        <f t="shared" si="10"/>
        <v>10000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44572</v>
      </c>
      <c r="D97" s="196" t="s">
        <v>23</v>
      </c>
      <c r="E97" s="222" t="s">
        <v>28</v>
      </c>
      <c r="F97" s="222">
        <v>286.60000000000002</v>
      </c>
      <c r="G97" s="222">
        <v>287.60000000000002</v>
      </c>
      <c r="H97" s="274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8</v>
      </c>
      <c r="C98" s="195">
        <v>44573</v>
      </c>
      <c r="D98" s="196" t="s">
        <v>23</v>
      </c>
      <c r="E98" s="222" t="s">
        <v>28</v>
      </c>
      <c r="F98" s="222">
        <v>291.5</v>
      </c>
      <c r="G98" s="222">
        <v>289.8</v>
      </c>
      <c r="H98" s="222">
        <v>1.7</v>
      </c>
      <c r="I98" s="197">
        <v>5000</v>
      </c>
      <c r="J98" s="268">
        <f t="shared" si="10"/>
        <v>8500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44574</v>
      </c>
      <c r="D99" s="196" t="s">
        <v>23</v>
      </c>
      <c r="E99" s="222" t="s">
        <v>28</v>
      </c>
      <c r="F99" s="222">
        <v>288.8</v>
      </c>
      <c r="G99" s="222">
        <v>288.10000000000002</v>
      </c>
      <c r="H99" s="222">
        <v>0.7</v>
      </c>
      <c r="I99" s="197">
        <v>5000</v>
      </c>
      <c r="J99" s="268">
        <f t="shared" si="10"/>
        <v>3500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44575</v>
      </c>
      <c r="D100" s="196" t="s">
        <v>23</v>
      </c>
      <c r="E100" s="222" t="s">
        <v>28</v>
      </c>
      <c r="F100" s="222">
        <v>290.89999999999998</v>
      </c>
      <c r="G100" s="222">
        <v>290.39999999999998</v>
      </c>
      <c r="H100" s="222">
        <f>290.9-290.4</f>
        <v>0.5</v>
      </c>
      <c r="I100" s="197">
        <v>5000</v>
      </c>
      <c r="J100" s="268">
        <f t="shared" si="10"/>
        <v>2500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44578</v>
      </c>
      <c r="D101" s="196" t="s">
        <v>23</v>
      </c>
      <c r="E101" s="222" t="s">
        <v>28</v>
      </c>
      <c r="F101" s="222">
        <v>287.89999999999998</v>
      </c>
      <c r="G101" s="222">
        <v>287.3</v>
      </c>
      <c r="H101" s="274">
        <f>287.9-287.3</f>
        <v>0.59999999999996589</v>
      </c>
      <c r="I101" s="197">
        <v>5000</v>
      </c>
      <c r="J101" s="268">
        <f t="shared" si="10"/>
        <v>2999.9999999998295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12</v>
      </c>
      <c r="C102" s="195">
        <v>44579</v>
      </c>
      <c r="D102" s="196" t="s">
        <v>23</v>
      </c>
      <c r="E102" s="222" t="s">
        <v>28</v>
      </c>
      <c r="F102" s="222">
        <v>290.2</v>
      </c>
      <c r="G102" s="222">
        <v>289.60000000000002</v>
      </c>
      <c r="H102" s="274">
        <f>290.2-289.6</f>
        <v>0.59999999999996589</v>
      </c>
      <c r="I102" s="197">
        <v>5000</v>
      </c>
      <c r="J102" s="268">
        <f t="shared" si="10"/>
        <v>2999.9999999998295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44580</v>
      </c>
      <c r="D103" s="196" t="s">
        <v>23</v>
      </c>
      <c r="E103" s="222" t="s">
        <v>28</v>
      </c>
      <c r="F103" s="222">
        <v>292.7</v>
      </c>
      <c r="G103" s="222">
        <v>292.39999999999998</v>
      </c>
      <c r="H103" s="274">
        <v>0.3</v>
      </c>
      <c r="I103" s="197">
        <v>5000</v>
      </c>
      <c r="J103" s="268">
        <f t="shared" si="10"/>
        <v>1500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44581</v>
      </c>
      <c r="D104" s="196" t="s">
        <v>23</v>
      </c>
      <c r="E104" s="222" t="s">
        <v>28</v>
      </c>
      <c r="F104" s="222">
        <v>295.5</v>
      </c>
      <c r="G104" s="222">
        <v>296.5</v>
      </c>
      <c r="H104" s="274">
        <v>-1</v>
      </c>
      <c r="I104" s="197">
        <v>5000</v>
      </c>
      <c r="J104" s="268">
        <f t="shared" si="10"/>
        <v>-5000</v>
      </c>
      <c r="K104" s="185"/>
      <c r="V104" s="183">
        <f t="shared" si="11"/>
        <v>0</v>
      </c>
      <c r="W104" s="183">
        <f t="shared" si="12"/>
        <v>1</v>
      </c>
    </row>
    <row r="105" spans="1:23" x14ac:dyDescent="0.3">
      <c r="A105" s="184"/>
      <c r="B105" s="194">
        <v>15</v>
      </c>
      <c r="C105" s="195">
        <v>44582</v>
      </c>
      <c r="D105" s="196" t="s">
        <v>23</v>
      </c>
      <c r="E105" s="222" t="s">
        <v>28</v>
      </c>
      <c r="F105" s="223">
        <v>298.8</v>
      </c>
      <c r="G105" s="222">
        <v>297.3</v>
      </c>
      <c r="H105" s="274">
        <f>298.8-297.3</f>
        <v>1.5</v>
      </c>
      <c r="I105" s="197">
        <v>5000</v>
      </c>
      <c r="J105" s="268">
        <f t="shared" si="10"/>
        <v>7500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44585</v>
      </c>
      <c r="D106" s="196" t="s">
        <v>23</v>
      </c>
      <c r="E106" s="222" t="s">
        <v>28</v>
      </c>
      <c r="F106" s="222">
        <v>296</v>
      </c>
      <c r="G106" s="222">
        <v>294.60000000000002</v>
      </c>
      <c r="H106" s="274">
        <f>296-294.6</f>
        <v>1.3999999999999773</v>
      </c>
      <c r="I106" s="197">
        <v>5000</v>
      </c>
      <c r="J106" s="268">
        <f t="shared" si="10"/>
        <v>6999.9999999998863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44586</v>
      </c>
      <c r="D107" s="196" t="s">
        <v>23</v>
      </c>
      <c r="E107" s="222" t="s">
        <v>28</v>
      </c>
      <c r="F107" s="222">
        <v>294</v>
      </c>
      <c r="G107" s="222">
        <v>295</v>
      </c>
      <c r="H107" s="274">
        <v>-1</v>
      </c>
      <c r="I107" s="197">
        <v>5000</v>
      </c>
      <c r="J107" s="268">
        <f t="shared" si="10"/>
        <v>-5000</v>
      </c>
      <c r="K107" s="185"/>
      <c r="V107" s="183">
        <f t="shared" si="11"/>
        <v>0</v>
      </c>
      <c r="W107" s="183">
        <f t="shared" si="12"/>
        <v>1</v>
      </c>
    </row>
    <row r="108" spans="1:23" x14ac:dyDescent="0.3">
      <c r="A108" s="184"/>
      <c r="B108" s="194">
        <v>18</v>
      </c>
      <c r="C108" s="195">
        <v>44588</v>
      </c>
      <c r="D108" s="196" t="s">
        <v>23</v>
      </c>
      <c r="E108" s="222" t="s">
        <v>28</v>
      </c>
      <c r="F108" s="222">
        <v>298.5</v>
      </c>
      <c r="G108" s="222">
        <v>299.5</v>
      </c>
      <c r="H108" s="274">
        <v>-1</v>
      </c>
      <c r="I108" s="197">
        <v>5000</v>
      </c>
      <c r="J108" s="268">
        <f t="shared" si="10"/>
        <v>-5000</v>
      </c>
      <c r="K108" s="185"/>
      <c r="V108" s="183">
        <f t="shared" si="11"/>
        <v>0</v>
      </c>
      <c r="W108" s="183">
        <f t="shared" si="12"/>
        <v>1</v>
      </c>
    </row>
    <row r="109" spans="1:23" x14ac:dyDescent="0.3">
      <c r="A109" s="184"/>
      <c r="B109" s="194">
        <v>19</v>
      </c>
      <c r="C109" s="195">
        <v>44589</v>
      </c>
      <c r="D109" s="196" t="s">
        <v>23</v>
      </c>
      <c r="E109" s="222" t="s">
        <v>28</v>
      </c>
      <c r="F109" s="222">
        <v>300</v>
      </c>
      <c r="G109" s="222">
        <v>298.45</v>
      </c>
      <c r="H109" s="274">
        <f>300-298.45</f>
        <v>1.5500000000000114</v>
      </c>
      <c r="I109" s="197">
        <v>5000</v>
      </c>
      <c r="J109" s="268">
        <f t="shared" si="10"/>
        <v>7750.0000000000564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44592</v>
      </c>
      <c r="D110" s="196" t="s">
        <v>23</v>
      </c>
      <c r="E110" s="222" t="s">
        <v>28</v>
      </c>
      <c r="F110" s="222">
        <v>298.5</v>
      </c>
      <c r="G110" s="222">
        <v>297.85000000000002</v>
      </c>
      <c r="H110" s="274">
        <f>298.5-297.85</f>
        <v>0.64999999999997726</v>
      </c>
      <c r="I110" s="197">
        <v>5000</v>
      </c>
      <c r="J110" s="268">
        <f t="shared" si="10"/>
        <v>3249.9999999998863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56999.999999999491</v>
      </c>
      <c r="K114" s="185"/>
      <c r="V114" s="183">
        <f>SUM(V91:V113)</f>
        <v>14</v>
      </c>
      <c r="W114" s="183">
        <f>SUM(W91:W113)</f>
        <v>6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6D00-000000000000}"/>
    <hyperlink ref="B83" r:id="rId2" xr:uid="{00000000-0004-0000-6D00-000001000000}"/>
    <hyperlink ref="M4:M5" location="'DEC 2021'!A1" display="BULLION" xr:uid="{00000000-0004-0000-6D00-000002000000}"/>
    <hyperlink ref="B114" r:id="rId3" xr:uid="{00000000-0004-0000-6D00-000003000000}"/>
    <hyperlink ref="M8:M9" location="'DEC 2021'!A86" display="BASE METAL" xr:uid="{00000000-0004-0000-6D00-000004000000}"/>
    <hyperlink ref="M1" location="MASTER!A1" display="Back" xr:uid="{00000000-0004-0000-6D00-000005000000}"/>
    <hyperlink ref="M6:M7" location="'DEC 2021'!A54" display="ENERGY" xr:uid="{00000000-0004-0000-6D00-000006000000}"/>
  </hyperlinks>
  <pageMargins left="0" right="0" top="0" bottom="0" header="0" footer="0"/>
  <pageSetup paperSize="9" orientation="portrait" r:id="rId4"/>
  <drawing r:id="rId5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W115"/>
  <sheetViews>
    <sheetView zoomScaleNormal="100"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44593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40</v>
      </c>
      <c r="O4" s="348">
        <f>V52</f>
        <v>33</v>
      </c>
      <c r="P4" s="355">
        <f>W52</f>
        <v>3</v>
      </c>
      <c r="Q4" s="356">
        <v>0</v>
      </c>
      <c r="R4" s="343">
        <f>O4/N4</f>
        <v>0.82499999999999996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44593</v>
      </c>
      <c r="D6" s="192" t="s">
        <v>23</v>
      </c>
      <c r="E6" s="192" t="s">
        <v>24</v>
      </c>
      <c r="F6" s="193">
        <v>47960</v>
      </c>
      <c r="G6" s="193">
        <v>48060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COUNT(C60:C82)</f>
        <v>20</v>
      </c>
      <c r="O6" s="348">
        <f>V83</f>
        <v>18</v>
      </c>
      <c r="P6" s="348">
        <f>W83</f>
        <v>2</v>
      </c>
      <c r="Q6" s="349">
        <f>N6-O6-P6</f>
        <v>0</v>
      </c>
      <c r="R6" s="345">
        <f t="shared" ref="R6" si="0">O6/N6</f>
        <v>0.9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44593</v>
      </c>
      <c r="D7" s="196" t="s">
        <v>23</v>
      </c>
      <c r="E7" s="196" t="s">
        <v>22</v>
      </c>
      <c r="F7" s="197">
        <v>61400</v>
      </c>
      <c r="G7" s="197">
        <v>61250</v>
      </c>
      <c r="H7" s="196">
        <f>61400-61250</f>
        <v>150</v>
      </c>
      <c r="I7" s="197">
        <v>30</v>
      </c>
      <c r="J7" s="268">
        <f t="shared" ref="J7:J51" si="1">H7*I7</f>
        <v>4500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44594</v>
      </c>
      <c r="D8" s="196" t="s">
        <v>23</v>
      </c>
      <c r="E8" s="196" t="s">
        <v>24</v>
      </c>
      <c r="F8" s="197">
        <v>47880</v>
      </c>
      <c r="G8" s="197">
        <v>47980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COUNT(C91:C113)</f>
        <v>20</v>
      </c>
      <c r="O8" s="348">
        <f>V114</f>
        <v>18</v>
      </c>
      <c r="P8" s="348">
        <f>W114</f>
        <v>2</v>
      </c>
      <c r="Q8" s="349">
        <f>N8-O8-P8</f>
        <v>0</v>
      </c>
      <c r="R8" s="345">
        <f t="shared" ref="R8" si="4">O8/N8</f>
        <v>0.9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44594</v>
      </c>
      <c r="D9" s="196" t="s">
        <v>23</v>
      </c>
      <c r="E9" s="196" t="s">
        <v>22</v>
      </c>
      <c r="F9" s="197">
        <v>61550</v>
      </c>
      <c r="G9" s="197">
        <v>61317</v>
      </c>
      <c r="H9" s="196">
        <f>61550-61317</f>
        <v>233</v>
      </c>
      <c r="I9" s="197">
        <v>30</v>
      </c>
      <c r="J9" s="268">
        <f t="shared" si="1"/>
        <v>6990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44595</v>
      </c>
      <c r="D10" s="196" t="s">
        <v>23</v>
      </c>
      <c r="E10" s="196" t="s">
        <v>24</v>
      </c>
      <c r="F10" s="197">
        <v>48000</v>
      </c>
      <c r="G10" s="197">
        <v>47945</v>
      </c>
      <c r="H10" s="196">
        <f>48000-47945</f>
        <v>55</v>
      </c>
      <c r="I10" s="197">
        <v>100</v>
      </c>
      <c r="J10" s="268">
        <f t="shared" si="1"/>
        <v>5500</v>
      </c>
      <c r="K10" s="185"/>
      <c r="M10" s="319" t="s">
        <v>300</v>
      </c>
      <c r="N10" s="321">
        <f>SUM(N4:N9)</f>
        <v>80</v>
      </c>
      <c r="O10" s="321">
        <f>SUM(O4:O9)</f>
        <v>69</v>
      </c>
      <c r="P10" s="321">
        <f>SUM(P4:P9)</f>
        <v>7</v>
      </c>
      <c r="Q10" s="341">
        <f>SUM(Q4:Q9)</f>
        <v>0</v>
      </c>
      <c r="R10" s="343">
        <f t="shared" ref="R10" si="5">O10/N10</f>
        <v>0.86250000000000004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44595</v>
      </c>
      <c r="D11" s="196" t="s">
        <v>23</v>
      </c>
      <c r="E11" s="196" t="s">
        <v>22</v>
      </c>
      <c r="F11" s="197">
        <v>61100</v>
      </c>
      <c r="G11" s="197">
        <v>60625</v>
      </c>
      <c r="H11" s="196">
        <f>61100-60625</f>
        <v>475</v>
      </c>
      <c r="I11" s="197">
        <v>30</v>
      </c>
      <c r="J11" s="268">
        <f t="shared" si="1"/>
        <v>14250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44596</v>
      </c>
      <c r="D12" s="196" t="s">
        <v>16</v>
      </c>
      <c r="E12" s="196" t="s">
        <v>24</v>
      </c>
      <c r="F12" s="197">
        <v>48030</v>
      </c>
      <c r="G12" s="197">
        <v>48090</v>
      </c>
      <c r="H12" s="196">
        <v>60</v>
      </c>
      <c r="I12" s="197">
        <v>100</v>
      </c>
      <c r="J12" s="268">
        <f t="shared" si="1"/>
        <v>6000</v>
      </c>
      <c r="K12" s="185"/>
      <c r="M12" s="323" t="s">
        <v>878</v>
      </c>
      <c r="N12" s="324"/>
      <c r="O12" s="325"/>
      <c r="P12" s="332">
        <f>R10</f>
        <v>0.86250000000000004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44596</v>
      </c>
      <c r="D13" s="196" t="s">
        <v>16</v>
      </c>
      <c r="E13" s="196" t="s">
        <v>22</v>
      </c>
      <c r="F13" s="197">
        <v>61000</v>
      </c>
      <c r="G13" s="197">
        <v>61250</v>
      </c>
      <c r="H13" s="196">
        <v>250</v>
      </c>
      <c r="I13" s="197">
        <v>30</v>
      </c>
      <c r="J13" s="268">
        <f t="shared" si="1"/>
        <v>7500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44599</v>
      </c>
      <c r="D14" s="196" t="s">
        <v>23</v>
      </c>
      <c r="E14" s="196" t="s">
        <v>24</v>
      </c>
      <c r="F14" s="197">
        <v>48080</v>
      </c>
      <c r="G14" s="197">
        <v>48040</v>
      </c>
      <c r="H14" s="196">
        <v>40</v>
      </c>
      <c r="I14" s="197">
        <v>100</v>
      </c>
      <c r="J14" s="268">
        <f t="shared" si="1"/>
        <v>4000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44599</v>
      </c>
      <c r="D15" s="196" t="s">
        <v>23</v>
      </c>
      <c r="E15" s="196" t="s">
        <v>22</v>
      </c>
      <c r="F15" s="197">
        <v>61500</v>
      </c>
      <c r="G15" s="197">
        <v>61200</v>
      </c>
      <c r="H15" s="196">
        <v>300</v>
      </c>
      <c r="I15" s="197">
        <v>30</v>
      </c>
      <c r="J15" s="268">
        <f t="shared" si="1"/>
        <v>9000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44600</v>
      </c>
      <c r="D16" s="196" t="s">
        <v>16</v>
      </c>
      <c r="E16" s="196" t="s">
        <v>24</v>
      </c>
      <c r="F16" s="197">
        <v>48210</v>
      </c>
      <c r="G16" s="197">
        <v>48282</v>
      </c>
      <c r="H16" s="196">
        <v>72</v>
      </c>
      <c r="I16" s="197">
        <v>100</v>
      </c>
      <c r="J16" s="268">
        <f t="shared" si="1"/>
        <v>7200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44600</v>
      </c>
      <c r="D17" s="196" t="s">
        <v>16</v>
      </c>
      <c r="E17" s="196" t="s">
        <v>22</v>
      </c>
      <c r="F17" s="197">
        <v>61650</v>
      </c>
      <c r="G17" s="197">
        <v>61877</v>
      </c>
      <c r="H17" s="196">
        <v>227</v>
      </c>
      <c r="I17" s="197">
        <v>30</v>
      </c>
      <c r="J17" s="268">
        <f t="shared" si="1"/>
        <v>6810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44601</v>
      </c>
      <c r="D18" s="196" t="s">
        <v>16</v>
      </c>
      <c r="E18" s="196" t="s">
        <v>24</v>
      </c>
      <c r="F18" s="197">
        <v>48450</v>
      </c>
      <c r="G18" s="197">
        <v>48550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44601</v>
      </c>
      <c r="D19" s="196" t="s">
        <v>16</v>
      </c>
      <c r="E19" s="196" t="s">
        <v>22</v>
      </c>
      <c r="F19" s="197">
        <v>62500</v>
      </c>
      <c r="G19" s="197">
        <v>62750</v>
      </c>
      <c r="H19" s="196">
        <v>250</v>
      </c>
      <c r="I19" s="197">
        <v>30</v>
      </c>
      <c r="J19" s="268">
        <f t="shared" si="1"/>
        <v>7500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44602</v>
      </c>
      <c r="D20" s="196" t="s">
        <v>23</v>
      </c>
      <c r="E20" s="196" t="s">
        <v>24</v>
      </c>
      <c r="F20" s="197">
        <v>48720</v>
      </c>
      <c r="G20" s="197">
        <v>48668</v>
      </c>
      <c r="H20" s="196">
        <f>48720-48668</f>
        <v>52</v>
      </c>
      <c r="I20" s="197">
        <v>100</v>
      </c>
      <c r="J20" s="268">
        <f t="shared" si="1"/>
        <v>5200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44602</v>
      </c>
      <c r="D21" s="196" t="s">
        <v>23</v>
      </c>
      <c r="E21" s="196" t="s">
        <v>22</v>
      </c>
      <c r="F21" s="197">
        <v>62850</v>
      </c>
      <c r="G21" s="197">
        <v>62750</v>
      </c>
      <c r="H21" s="196">
        <v>100</v>
      </c>
      <c r="I21" s="197">
        <v>30</v>
      </c>
      <c r="J21" s="268">
        <f t="shared" si="1"/>
        <v>3000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44603</v>
      </c>
      <c r="D22" s="196" t="s">
        <v>23</v>
      </c>
      <c r="E22" s="196" t="s">
        <v>24</v>
      </c>
      <c r="F22" s="197">
        <v>48760</v>
      </c>
      <c r="G22" s="197">
        <v>48687</v>
      </c>
      <c r="H22" s="196">
        <v>73</v>
      </c>
      <c r="I22" s="197">
        <v>100</v>
      </c>
      <c r="J22" s="268">
        <f t="shared" si="1"/>
        <v>7300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44603</v>
      </c>
      <c r="D23" s="196" t="s">
        <v>23</v>
      </c>
      <c r="E23" s="196" t="s">
        <v>22</v>
      </c>
      <c r="F23" s="197">
        <v>62200</v>
      </c>
      <c r="G23" s="197">
        <v>62000</v>
      </c>
      <c r="H23" s="196">
        <v>200</v>
      </c>
      <c r="I23" s="197">
        <v>30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44606</v>
      </c>
      <c r="D24" s="196" t="s">
        <v>23</v>
      </c>
      <c r="E24" s="196" t="s">
        <v>24</v>
      </c>
      <c r="F24" s="197">
        <v>49720</v>
      </c>
      <c r="G24" s="197">
        <v>49620</v>
      </c>
      <c r="H24" s="196">
        <f>49720-49620</f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44606</v>
      </c>
      <c r="D25" s="196" t="s">
        <v>23</v>
      </c>
      <c r="E25" s="196" t="s">
        <v>22</v>
      </c>
      <c r="F25" s="197">
        <v>64150</v>
      </c>
      <c r="G25" s="197">
        <v>63850</v>
      </c>
      <c r="H25" s="196">
        <f>64150-63850</f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44607</v>
      </c>
      <c r="D26" s="196" t="s">
        <v>23</v>
      </c>
      <c r="E26" s="196" t="s">
        <v>24</v>
      </c>
      <c r="F26" s="197">
        <v>49700</v>
      </c>
      <c r="G26" s="197">
        <v>49500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44607</v>
      </c>
      <c r="D27" s="196" t="s">
        <v>23</v>
      </c>
      <c r="E27" s="196" t="s">
        <v>22</v>
      </c>
      <c r="F27" s="197">
        <v>63550</v>
      </c>
      <c r="G27" s="197">
        <v>62950</v>
      </c>
      <c r="H27" s="196">
        <f>63550-62950</f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44608</v>
      </c>
      <c r="D28" s="196" t="s">
        <v>23</v>
      </c>
      <c r="E28" s="196" t="s">
        <v>24</v>
      </c>
      <c r="F28" s="197">
        <v>49350</v>
      </c>
      <c r="G28" s="197">
        <v>49250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44608</v>
      </c>
      <c r="D29" s="196" t="s">
        <v>23</v>
      </c>
      <c r="E29" s="196" t="s">
        <v>22</v>
      </c>
      <c r="F29" s="197">
        <v>63300</v>
      </c>
      <c r="G29" s="197">
        <v>63000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44609</v>
      </c>
      <c r="D30" s="196" t="s">
        <v>16</v>
      </c>
      <c r="E30" s="196" t="s">
        <v>24</v>
      </c>
      <c r="F30" s="197">
        <v>49800</v>
      </c>
      <c r="G30" s="197">
        <v>50000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44609</v>
      </c>
      <c r="D31" s="196" t="s">
        <v>16</v>
      </c>
      <c r="E31" s="196" t="s">
        <v>22</v>
      </c>
      <c r="F31" s="197">
        <v>63300</v>
      </c>
      <c r="G31" s="197">
        <v>63900</v>
      </c>
      <c r="H31" s="196">
        <f>63900-63300</f>
        <v>600</v>
      </c>
      <c r="I31" s="197">
        <v>30</v>
      </c>
      <c r="J31" s="268">
        <f t="shared" si="1"/>
        <v>18000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44610</v>
      </c>
      <c r="D32" s="196" t="s">
        <v>23</v>
      </c>
      <c r="E32" s="196" t="s">
        <v>24</v>
      </c>
      <c r="F32" s="197">
        <v>50040</v>
      </c>
      <c r="G32" s="197">
        <v>49840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44610</v>
      </c>
      <c r="D33" s="196" t="s">
        <v>23</v>
      </c>
      <c r="E33" s="196" t="s">
        <v>22</v>
      </c>
      <c r="F33" s="197">
        <v>63900</v>
      </c>
      <c r="G33" s="197">
        <v>63450</v>
      </c>
      <c r="H33" s="196">
        <f>63900-63450</f>
        <v>450</v>
      </c>
      <c r="I33" s="197">
        <v>30</v>
      </c>
      <c r="J33" s="268">
        <f t="shared" si="1"/>
        <v>13500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44613</v>
      </c>
      <c r="D34" s="196" t="s">
        <v>23</v>
      </c>
      <c r="E34" s="196" t="s">
        <v>24</v>
      </c>
      <c r="F34" s="197">
        <v>49950</v>
      </c>
      <c r="G34" s="197">
        <v>50050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>IF($J34&lt;0,1,0)</f>
        <v>1</v>
      </c>
    </row>
    <row r="35" spans="1:23" x14ac:dyDescent="0.3">
      <c r="A35" s="184"/>
      <c r="B35" s="194">
        <v>30</v>
      </c>
      <c r="C35" s="195">
        <v>44613</v>
      </c>
      <c r="D35" s="196" t="s">
        <v>23</v>
      </c>
      <c r="E35" s="196" t="s">
        <v>22</v>
      </c>
      <c r="F35" s="197">
        <v>63500</v>
      </c>
      <c r="G35" s="197">
        <v>63200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44614</v>
      </c>
      <c r="D36" s="196" t="s">
        <v>23</v>
      </c>
      <c r="E36" s="196" t="s">
        <v>24</v>
      </c>
      <c r="F36" s="197">
        <v>50600</v>
      </c>
      <c r="G36" s="197">
        <v>50400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44614</v>
      </c>
      <c r="D37" s="196" t="s">
        <v>23</v>
      </c>
      <c r="E37" s="196" t="s">
        <v>22</v>
      </c>
      <c r="F37" s="197">
        <v>64400</v>
      </c>
      <c r="G37" s="197">
        <v>64000</v>
      </c>
      <c r="H37" s="196">
        <v>400</v>
      </c>
      <c r="I37" s="197">
        <v>30</v>
      </c>
      <c r="J37" s="268">
        <f t="shared" si="1"/>
        <v>12000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44615</v>
      </c>
      <c r="D38" s="196" t="s">
        <v>23</v>
      </c>
      <c r="E38" s="196" t="s">
        <v>24</v>
      </c>
      <c r="F38" s="197">
        <v>50000</v>
      </c>
      <c r="G38" s="197">
        <v>49951</v>
      </c>
      <c r="H38" s="196">
        <f>50000-49951</f>
        <v>49</v>
      </c>
      <c r="I38" s="197">
        <v>100</v>
      </c>
      <c r="J38" s="268">
        <f t="shared" si="1"/>
        <v>4900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44615</v>
      </c>
      <c r="D39" s="196" t="s">
        <v>23</v>
      </c>
      <c r="E39" s="196" t="s">
        <v>22</v>
      </c>
      <c r="F39" s="197">
        <v>64000</v>
      </c>
      <c r="G39" s="197">
        <v>63880</v>
      </c>
      <c r="H39" s="196">
        <f>64000-63880</f>
        <v>120</v>
      </c>
      <c r="I39" s="197">
        <v>30</v>
      </c>
      <c r="J39" s="268">
        <f t="shared" si="1"/>
        <v>3600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44616</v>
      </c>
      <c r="D40" s="196" t="s">
        <v>16</v>
      </c>
      <c r="E40" s="196" t="s">
        <v>24</v>
      </c>
      <c r="F40" s="197">
        <v>52680</v>
      </c>
      <c r="G40" s="197">
        <v>52780</v>
      </c>
      <c r="H40" s="196">
        <v>100</v>
      </c>
      <c r="I40" s="197">
        <v>100</v>
      </c>
      <c r="J40" s="268">
        <f t="shared" si="1"/>
        <v>10000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44616</v>
      </c>
      <c r="D41" s="196" t="s">
        <v>16</v>
      </c>
      <c r="E41" s="196" t="s">
        <v>22</v>
      </c>
      <c r="F41" s="197">
        <v>67700</v>
      </c>
      <c r="G41" s="197">
        <v>68059</v>
      </c>
      <c r="H41" s="196">
        <v>359</v>
      </c>
      <c r="I41" s="197">
        <v>30</v>
      </c>
      <c r="J41" s="268">
        <f t="shared" si="1"/>
        <v>10770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44617</v>
      </c>
      <c r="D42" s="196" t="s">
        <v>16</v>
      </c>
      <c r="E42" s="196" t="s">
        <v>24</v>
      </c>
      <c r="F42" s="197">
        <v>51030</v>
      </c>
      <c r="G42" s="197">
        <v>50030</v>
      </c>
      <c r="H42" s="196">
        <v>-100</v>
      </c>
      <c r="I42" s="197">
        <v>100</v>
      </c>
      <c r="J42" s="268">
        <f t="shared" si="1"/>
        <v>-10000</v>
      </c>
      <c r="K42" s="185"/>
    </row>
    <row r="43" spans="1:23" x14ac:dyDescent="0.3">
      <c r="A43" s="184"/>
      <c r="B43" s="194">
        <v>38</v>
      </c>
      <c r="C43" s="195">
        <v>44617</v>
      </c>
      <c r="D43" s="196" t="s">
        <v>16</v>
      </c>
      <c r="E43" s="196" t="s">
        <v>22</v>
      </c>
      <c r="F43" s="197">
        <v>64900</v>
      </c>
      <c r="G43" s="197">
        <v>64600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44620</v>
      </c>
      <c r="D44" s="196" t="s">
        <v>23</v>
      </c>
      <c r="E44" s="196" t="s">
        <v>24</v>
      </c>
      <c r="F44" s="197">
        <v>50640</v>
      </c>
      <c r="G44" s="197">
        <v>50740</v>
      </c>
      <c r="H44" s="196">
        <v>-100</v>
      </c>
      <c r="I44" s="197">
        <v>100</v>
      </c>
      <c r="J44" s="268">
        <f t="shared" si="1"/>
        <v>-10000</v>
      </c>
      <c r="K44" s="185"/>
    </row>
    <row r="45" spans="1:23" x14ac:dyDescent="0.3">
      <c r="A45" s="184"/>
      <c r="B45" s="194">
        <v>40</v>
      </c>
      <c r="C45" s="195">
        <v>44620</v>
      </c>
      <c r="D45" s="196" t="s">
        <v>23</v>
      </c>
      <c r="E45" s="196" t="s">
        <v>22</v>
      </c>
      <c r="F45" s="197">
        <v>65600</v>
      </c>
      <c r="G45" s="197">
        <v>65900</v>
      </c>
      <c r="H45" s="196">
        <v>300</v>
      </c>
      <c r="I45" s="197">
        <v>30</v>
      </c>
      <c r="J45" s="268">
        <f t="shared" si="1"/>
        <v>9000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296520</v>
      </c>
      <c r="K52" s="185"/>
      <c r="V52" s="183">
        <f>SUM(V6:V51)</f>
        <v>33</v>
      </c>
      <c r="W52" s="183">
        <f>SUM(W6:W51)</f>
        <v>3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44593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44593</v>
      </c>
      <c r="D60" s="192" t="s">
        <v>23</v>
      </c>
      <c r="E60" s="192" t="s">
        <v>25</v>
      </c>
      <c r="F60" s="193">
        <v>6605</v>
      </c>
      <c r="G60" s="193">
        <v>6545</v>
      </c>
      <c r="H60" s="192">
        <f>6605-6545</f>
        <v>60</v>
      </c>
      <c r="I60" s="193">
        <v>100</v>
      </c>
      <c r="J60" s="267">
        <f t="shared" ref="J60:J82" si="7">I60*H60</f>
        <v>6000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44594</v>
      </c>
      <c r="D61" s="196" t="s">
        <v>23</v>
      </c>
      <c r="E61" s="196" t="s">
        <v>25</v>
      </c>
      <c r="F61" s="197">
        <v>6630</v>
      </c>
      <c r="G61" s="197">
        <v>6585</v>
      </c>
      <c r="H61" s="196">
        <f>6630-6585</f>
        <v>45</v>
      </c>
      <c r="I61" s="197">
        <v>100</v>
      </c>
      <c r="J61" s="268">
        <f t="shared" si="7"/>
        <v>4500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44595</v>
      </c>
      <c r="D62" s="196" t="s">
        <v>23</v>
      </c>
      <c r="E62" s="196" t="s">
        <v>25</v>
      </c>
      <c r="F62" s="197">
        <v>6560</v>
      </c>
      <c r="G62" s="197">
        <v>6520</v>
      </c>
      <c r="H62" s="196">
        <v>40</v>
      </c>
      <c r="I62" s="197">
        <v>100</v>
      </c>
      <c r="J62" s="268">
        <f t="shared" si="7"/>
        <v>4000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4</v>
      </c>
      <c r="C63" s="195">
        <v>44596</v>
      </c>
      <c r="D63" s="196" t="s">
        <v>23</v>
      </c>
      <c r="E63" s="196" t="s">
        <v>25</v>
      </c>
      <c r="F63" s="197">
        <v>6850</v>
      </c>
      <c r="G63" s="197">
        <v>6825</v>
      </c>
      <c r="H63" s="196">
        <v>25</v>
      </c>
      <c r="I63" s="197">
        <v>100</v>
      </c>
      <c r="J63" s="268">
        <f t="shared" si="7"/>
        <v>2500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44599</v>
      </c>
      <c r="D64" s="196" t="s">
        <v>23</v>
      </c>
      <c r="E64" s="196" t="s">
        <v>25</v>
      </c>
      <c r="F64" s="197">
        <v>6855</v>
      </c>
      <c r="G64" s="197">
        <v>6795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44600</v>
      </c>
      <c r="D65" s="196" t="s">
        <v>23</v>
      </c>
      <c r="E65" s="196" t="s">
        <v>25</v>
      </c>
      <c r="F65" s="197">
        <v>6790</v>
      </c>
      <c r="G65" s="197">
        <v>6730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44601</v>
      </c>
      <c r="D66" s="196" t="s">
        <v>23</v>
      </c>
      <c r="E66" s="196" t="s">
        <v>25</v>
      </c>
      <c r="F66" s="222">
        <v>6680</v>
      </c>
      <c r="G66" s="222">
        <v>6620</v>
      </c>
      <c r="H66" s="196">
        <f>6680-6620</f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44602</v>
      </c>
      <c r="D67" s="196" t="s">
        <v>23</v>
      </c>
      <c r="E67" s="196" t="s">
        <v>25</v>
      </c>
      <c r="F67" s="197">
        <v>6745</v>
      </c>
      <c r="G67" s="197">
        <v>6725</v>
      </c>
      <c r="H67" s="196">
        <f>6745-6725</f>
        <v>20</v>
      </c>
      <c r="I67" s="197">
        <v>100</v>
      </c>
      <c r="J67" s="268">
        <f t="shared" si="7"/>
        <v>2000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9</v>
      </c>
      <c r="C68" s="195">
        <v>44603</v>
      </c>
      <c r="D68" s="196" t="s">
        <v>23</v>
      </c>
      <c r="E68" s="196" t="s">
        <v>25</v>
      </c>
      <c r="F68" s="197">
        <v>6775</v>
      </c>
      <c r="G68" s="197">
        <v>6805</v>
      </c>
      <c r="H68" s="196">
        <v>-30</v>
      </c>
      <c r="I68" s="197">
        <v>100</v>
      </c>
      <c r="J68" s="268">
        <f t="shared" si="7"/>
        <v>-3000</v>
      </c>
      <c r="K68" s="185"/>
      <c r="V68" s="183">
        <f t="shared" si="8"/>
        <v>0</v>
      </c>
      <c r="W68" s="183">
        <f t="shared" si="9"/>
        <v>1</v>
      </c>
    </row>
    <row r="69" spans="1:23" x14ac:dyDescent="0.3">
      <c r="A69" s="184"/>
      <c r="B69" s="194">
        <v>10</v>
      </c>
      <c r="C69" s="195">
        <v>44606</v>
      </c>
      <c r="D69" s="196" t="s">
        <v>23</v>
      </c>
      <c r="E69" s="196" t="s">
        <v>25</v>
      </c>
      <c r="F69" s="197">
        <v>7025</v>
      </c>
      <c r="G69" s="197">
        <v>6995</v>
      </c>
      <c r="H69" s="196">
        <v>30</v>
      </c>
      <c r="I69" s="197">
        <v>100</v>
      </c>
      <c r="J69" s="268">
        <f t="shared" si="7"/>
        <v>3000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11</v>
      </c>
      <c r="C70" s="195">
        <v>44607</v>
      </c>
      <c r="D70" s="196" t="s">
        <v>23</v>
      </c>
      <c r="E70" s="196" t="s">
        <v>25</v>
      </c>
      <c r="F70" s="197">
        <v>7055</v>
      </c>
      <c r="G70" s="197">
        <v>6995</v>
      </c>
      <c r="H70" s="196"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44608</v>
      </c>
      <c r="D71" s="196" t="s">
        <v>23</v>
      </c>
      <c r="E71" s="196" t="s">
        <v>25</v>
      </c>
      <c r="F71" s="197">
        <v>6950</v>
      </c>
      <c r="G71" s="197">
        <v>6932</v>
      </c>
      <c r="H71" s="196">
        <f>6950-6932</f>
        <v>18</v>
      </c>
      <c r="I71" s="197">
        <v>100</v>
      </c>
      <c r="J71" s="268">
        <f t="shared" si="7"/>
        <v>1800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13</v>
      </c>
      <c r="C72" s="195">
        <v>44609</v>
      </c>
      <c r="D72" s="196" t="s">
        <v>23</v>
      </c>
      <c r="E72" s="196" t="s">
        <v>25</v>
      </c>
      <c r="F72" s="197">
        <v>6930</v>
      </c>
      <c r="G72" s="197">
        <v>6910</v>
      </c>
      <c r="H72" s="196">
        <v>20</v>
      </c>
      <c r="I72" s="197">
        <v>100</v>
      </c>
      <c r="J72" s="268">
        <f t="shared" si="7"/>
        <v>2000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44610</v>
      </c>
      <c r="D73" s="196" t="s">
        <v>23</v>
      </c>
      <c r="E73" s="196" t="s">
        <v>25</v>
      </c>
      <c r="F73" s="197">
        <v>6790</v>
      </c>
      <c r="G73" s="197">
        <v>6820</v>
      </c>
      <c r="H73" s="196">
        <v>-30</v>
      </c>
      <c r="I73" s="197">
        <v>100</v>
      </c>
      <c r="J73" s="268">
        <f t="shared" si="7"/>
        <v>-3000</v>
      </c>
      <c r="K73" s="185"/>
      <c r="V73" s="183">
        <f t="shared" si="8"/>
        <v>0</v>
      </c>
      <c r="W73" s="183">
        <f t="shared" si="9"/>
        <v>1</v>
      </c>
    </row>
    <row r="74" spans="1:23" x14ac:dyDescent="0.3">
      <c r="A74" s="184"/>
      <c r="B74" s="194">
        <v>15</v>
      </c>
      <c r="C74" s="195">
        <v>44613</v>
      </c>
      <c r="D74" s="196" t="s">
        <v>16</v>
      </c>
      <c r="E74" s="196" t="s">
        <v>25</v>
      </c>
      <c r="F74" s="197">
        <v>6740</v>
      </c>
      <c r="G74" s="197">
        <v>6713</v>
      </c>
      <c r="H74" s="196">
        <f>6740-6713</f>
        <v>27</v>
      </c>
      <c r="I74" s="197">
        <v>100</v>
      </c>
      <c r="J74" s="268">
        <f t="shared" si="7"/>
        <v>2700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16</v>
      </c>
      <c r="C75" s="195">
        <v>44614</v>
      </c>
      <c r="D75" s="196" t="s">
        <v>16</v>
      </c>
      <c r="E75" s="196" t="s">
        <v>25</v>
      </c>
      <c r="F75" s="197">
        <v>7080</v>
      </c>
      <c r="G75" s="197">
        <v>7102</v>
      </c>
      <c r="H75" s="196">
        <f>7102-7080</f>
        <v>22</v>
      </c>
      <c r="I75" s="197">
        <v>100</v>
      </c>
      <c r="J75" s="268">
        <f t="shared" si="7"/>
        <v>2200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44615</v>
      </c>
      <c r="D76" s="196" t="s">
        <v>23</v>
      </c>
      <c r="E76" s="196" t="s">
        <v>25</v>
      </c>
      <c r="F76" s="197">
        <v>6840</v>
      </c>
      <c r="G76" s="197">
        <v>6780</v>
      </c>
      <c r="H76" s="196">
        <f>6840-6780</f>
        <v>60</v>
      </c>
      <c r="I76" s="197">
        <v>100</v>
      </c>
      <c r="J76" s="268">
        <f t="shared" si="7"/>
        <v>6000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255"/>
      <c r="B77" s="194">
        <v>18</v>
      </c>
      <c r="C77" s="195">
        <v>44616</v>
      </c>
      <c r="D77" s="196" t="s">
        <v>16</v>
      </c>
      <c r="E77" s="196" t="s">
        <v>25</v>
      </c>
      <c r="F77" s="197">
        <v>7570</v>
      </c>
      <c r="G77" s="197">
        <v>7615</v>
      </c>
      <c r="H77" s="196">
        <v>45</v>
      </c>
      <c r="I77" s="197">
        <v>100</v>
      </c>
      <c r="J77" s="268">
        <f t="shared" si="7"/>
        <v>4500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44617</v>
      </c>
      <c r="D78" s="196" t="s">
        <v>23</v>
      </c>
      <c r="E78" s="196" t="s">
        <v>25</v>
      </c>
      <c r="F78" s="197">
        <v>7100</v>
      </c>
      <c r="G78" s="197">
        <v>7040</v>
      </c>
      <c r="H78" s="196">
        <v>60</v>
      </c>
      <c r="I78" s="197">
        <v>100</v>
      </c>
      <c r="J78" s="268">
        <f t="shared" si="7"/>
        <v>6000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44620</v>
      </c>
      <c r="D79" s="196" t="s">
        <v>23</v>
      </c>
      <c r="E79" s="196" t="s">
        <v>25</v>
      </c>
      <c r="F79" s="197">
        <v>7200</v>
      </c>
      <c r="G79" s="197">
        <v>7182</v>
      </c>
      <c r="H79" s="196">
        <f>7200-7182</f>
        <v>18</v>
      </c>
      <c r="I79" s="197">
        <v>100</v>
      </c>
      <c r="J79" s="268">
        <f t="shared" si="7"/>
        <v>1800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67000</v>
      </c>
      <c r="K83" s="185"/>
      <c r="V83" s="183">
        <f>SUM(V60:V82)</f>
        <v>18</v>
      </c>
      <c r="W83" s="183">
        <f>SUM(W60:W82)</f>
        <v>2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44593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44593</v>
      </c>
      <c r="D91" s="216" t="s">
        <v>23</v>
      </c>
      <c r="E91" s="256" t="s">
        <v>28</v>
      </c>
      <c r="F91" s="256">
        <v>297</v>
      </c>
      <c r="G91" s="256">
        <v>298</v>
      </c>
      <c r="H91" s="256">
        <v>-1</v>
      </c>
      <c r="I91" s="218">
        <v>5000</v>
      </c>
      <c r="J91" s="273">
        <f>I91*H91</f>
        <v>-5000</v>
      </c>
      <c r="K91" s="185"/>
      <c r="M91" s="183" t="s">
        <v>870</v>
      </c>
      <c r="V91" s="183">
        <f>IF($J91&gt;0,1,0)</f>
        <v>0</v>
      </c>
      <c r="W91" s="183">
        <f>IF($J91&lt;0,1,0)</f>
        <v>1</v>
      </c>
    </row>
    <row r="92" spans="1:23" x14ac:dyDescent="0.3">
      <c r="A92" s="184"/>
      <c r="B92" s="194">
        <v>2</v>
      </c>
      <c r="C92" s="195">
        <v>44594</v>
      </c>
      <c r="D92" s="196" t="s">
        <v>16</v>
      </c>
      <c r="E92" s="222" t="s">
        <v>28</v>
      </c>
      <c r="F92" s="222">
        <v>229.1</v>
      </c>
      <c r="G92" s="222">
        <v>300.10000000000002</v>
      </c>
      <c r="H92" s="222">
        <v>1</v>
      </c>
      <c r="I92" s="197">
        <v>5000</v>
      </c>
      <c r="J92" s="268">
        <f t="shared" ref="J92:J113" si="10">I92*H92</f>
        <v>5000</v>
      </c>
      <c r="K92" s="185"/>
      <c r="V92" s="183">
        <f t="shared" ref="V92:V113" si="11">IF($J92&gt;0,1,0)</f>
        <v>1</v>
      </c>
      <c r="W92" s="183">
        <f t="shared" ref="W92:W113" si="12">IF($J92&lt;0,1,0)</f>
        <v>0</v>
      </c>
    </row>
    <row r="93" spans="1:23" x14ac:dyDescent="0.3">
      <c r="A93" s="184"/>
      <c r="B93" s="194">
        <v>3</v>
      </c>
      <c r="C93" s="195">
        <v>44595</v>
      </c>
      <c r="D93" s="196" t="s">
        <v>23</v>
      </c>
      <c r="E93" s="222" t="s">
        <v>28</v>
      </c>
      <c r="F93" s="222">
        <v>299</v>
      </c>
      <c r="G93" s="222">
        <v>300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4</v>
      </c>
      <c r="C94" s="195">
        <v>44596</v>
      </c>
      <c r="D94" s="196" t="s">
        <v>16</v>
      </c>
      <c r="E94" s="222" t="s">
        <v>28</v>
      </c>
      <c r="F94" s="222">
        <v>299.3</v>
      </c>
      <c r="G94" s="222">
        <v>298.3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5</v>
      </c>
      <c r="C95" s="195">
        <v>44599</v>
      </c>
      <c r="D95" s="196" t="s">
        <v>23</v>
      </c>
      <c r="E95" s="222" t="s">
        <v>28</v>
      </c>
      <c r="F95" s="222">
        <v>299.7</v>
      </c>
      <c r="G95" s="222">
        <v>299.35000000000002</v>
      </c>
      <c r="H95" s="222">
        <f>299.7-299.35</f>
        <v>0.34999999999996589</v>
      </c>
      <c r="I95" s="197">
        <v>5000</v>
      </c>
      <c r="J95" s="268">
        <f t="shared" si="10"/>
        <v>1749.9999999998295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44600</v>
      </c>
      <c r="D96" s="196" t="s">
        <v>16</v>
      </c>
      <c r="E96" s="222" t="s">
        <v>28</v>
      </c>
      <c r="F96" s="222">
        <v>303.89999999999998</v>
      </c>
      <c r="G96" s="222">
        <v>304.14999999999998</v>
      </c>
      <c r="H96" s="222">
        <v>0.25</v>
      </c>
      <c r="I96" s="197">
        <v>5000</v>
      </c>
      <c r="J96" s="268">
        <f t="shared" si="10"/>
        <v>1250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44601</v>
      </c>
      <c r="D97" s="196" t="s">
        <v>16</v>
      </c>
      <c r="E97" s="222" t="s">
        <v>28</v>
      </c>
      <c r="F97" s="222">
        <v>301.5</v>
      </c>
      <c r="G97" s="222">
        <v>303.5</v>
      </c>
      <c r="H97" s="274">
        <v>2</v>
      </c>
      <c r="I97" s="197">
        <v>5000</v>
      </c>
      <c r="J97" s="268">
        <f t="shared" si="10"/>
        <v>10000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8</v>
      </c>
      <c r="C98" s="195">
        <v>44602</v>
      </c>
      <c r="D98" s="196" t="s">
        <v>23</v>
      </c>
      <c r="E98" s="222" t="s">
        <v>28</v>
      </c>
      <c r="F98" s="222">
        <v>309</v>
      </c>
      <c r="G98" s="222">
        <v>308</v>
      </c>
      <c r="H98" s="222">
        <v>1</v>
      </c>
      <c r="I98" s="197">
        <v>5000</v>
      </c>
      <c r="J98" s="268">
        <f t="shared" si="10"/>
        <v>5000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44603</v>
      </c>
      <c r="D99" s="196" t="s">
        <v>23</v>
      </c>
      <c r="E99" s="222" t="s">
        <v>28</v>
      </c>
      <c r="F99" s="222">
        <v>307.2</v>
      </c>
      <c r="G99" s="222">
        <v>308.2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44606</v>
      </c>
      <c r="D100" s="196" t="s">
        <v>23</v>
      </c>
      <c r="E100" s="222" t="s">
        <v>28</v>
      </c>
      <c r="F100" s="222">
        <v>303.5</v>
      </c>
      <c r="G100" s="222">
        <v>302.5</v>
      </c>
      <c r="H100" s="222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44607</v>
      </c>
      <c r="D101" s="196" t="s">
        <v>23</v>
      </c>
      <c r="E101" s="222" t="s">
        <v>28</v>
      </c>
      <c r="F101" s="222">
        <v>298.60000000000002</v>
      </c>
      <c r="G101" s="222">
        <v>298.10000000000002</v>
      </c>
      <c r="H101" s="274">
        <v>0.5</v>
      </c>
      <c r="I101" s="197">
        <v>5000</v>
      </c>
      <c r="J101" s="268">
        <f t="shared" si="10"/>
        <v>2500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12</v>
      </c>
      <c r="C102" s="195">
        <v>44608</v>
      </c>
      <c r="D102" s="196" t="s">
        <v>16</v>
      </c>
      <c r="E102" s="222" t="s">
        <v>28</v>
      </c>
      <c r="F102" s="222">
        <v>298</v>
      </c>
      <c r="G102" s="222">
        <v>300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44609</v>
      </c>
      <c r="D103" s="196" t="s">
        <v>23</v>
      </c>
      <c r="E103" s="222" t="s">
        <v>28</v>
      </c>
      <c r="F103" s="222">
        <v>297.60000000000002</v>
      </c>
      <c r="G103" s="222">
        <v>296</v>
      </c>
      <c r="H103" s="274">
        <v>0.6</v>
      </c>
      <c r="I103" s="197">
        <v>5000</v>
      </c>
      <c r="J103" s="268">
        <f t="shared" si="10"/>
        <v>3000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44610</v>
      </c>
      <c r="D104" s="196" t="s">
        <v>23</v>
      </c>
      <c r="E104" s="222" t="s">
        <v>28</v>
      </c>
      <c r="F104" s="222">
        <v>301</v>
      </c>
      <c r="G104" s="222">
        <v>300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15</v>
      </c>
      <c r="C105" s="195">
        <v>44613</v>
      </c>
      <c r="D105" s="196" t="s">
        <v>23</v>
      </c>
      <c r="E105" s="222" t="s">
        <v>28</v>
      </c>
      <c r="F105" s="223">
        <v>296.10000000000002</v>
      </c>
      <c r="G105" s="222">
        <v>295.10000000000002</v>
      </c>
      <c r="H105" s="274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44614</v>
      </c>
      <c r="D106" s="196" t="s">
        <v>23</v>
      </c>
      <c r="E106" s="222" t="s">
        <v>28</v>
      </c>
      <c r="F106" s="222">
        <v>295.5</v>
      </c>
      <c r="G106" s="222">
        <v>294.5</v>
      </c>
      <c r="H106" s="274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44615</v>
      </c>
      <c r="D107" s="196" t="s">
        <v>16</v>
      </c>
      <c r="E107" s="222" t="s">
        <v>28</v>
      </c>
      <c r="F107" s="222">
        <v>298.60000000000002</v>
      </c>
      <c r="G107" s="222">
        <v>299.3</v>
      </c>
      <c r="H107" s="274">
        <f>299.3-298.6</f>
        <v>0.69999999999998863</v>
      </c>
      <c r="I107" s="197">
        <v>5000</v>
      </c>
      <c r="J107" s="268">
        <f t="shared" si="10"/>
        <v>3499.9999999999432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18</v>
      </c>
      <c r="C108" s="195">
        <v>44616</v>
      </c>
      <c r="D108" s="196" t="s">
        <v>16</v>
      </c>
      <c r="E108" s="222" t="s">
        <v>28</v>
      </c>
      <c r="F108" s="222">
        <v>304.5</v>
      </c>
      <c r="G108" s="222">
        <v>306.3</v>
      </c>
      <c r="H108" s="274">
        <v>1.8</v>
      </c>
      <c r="I108" s="197">
        <v>5000</v>
      </c>
      <c r="J108" s="268">
        <f t="shared" si="10"/>
        <v>9000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44617</v>
      </c>
      <c r="D109" s="196" t="s">
        <v>23</v>
      </c>
      <c r="E109" s="222" t="s">
        <v>28</v>
      </c>
      <c r="F109" s="222">
        <v>300.5</v>
      </c>
      <c r="G109" s="222">
        <v>299.89999999999998</v>
      </c>
      <c r="H109" s="274">
        <f>300.5-299.9</f>
        <v>0.60000000000002274</v>
      </c>
      <c r="I109" s="197">
        <v>5000</v>
      </c>
      <c r="J109" s="268">
        <f t="shared" si="10"/>
        <v>3000.0000000001137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44620</v>
      </c>
      <c r="D110" s="196" t="s">
        <v>23</v>
      </c>
      <c r="E110" s="222" t="s">
        <v>28</v>
      </c>
      <c r="F110" s="222">
        <v>304.2</v>
      </c>
      <c r="G110" s="222">
        <v>302.7</v>
      </c>
      <c r="H110" s="274">
        <f>304.2-302.7</f>
        <v>1.5</v>
      </c>
      <c r="I110" s="197">
        <v>5000</v>
      </c>
      <c r="J110" s="268">
        <f t="shared" si="10"/>
        <v>7500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81499.999999999884</v>
      </c>
      <c r="K114" s="185"/>
      <c r="V114" s="183">
        <f>SUM(V91:V113)</f>
        <v>18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E00-000000000000}"/>
    <hyperlink ref="B83" r:id="rId2" xr:uid="{00000000-0004-0000-6E00-000001000000}"/>
    <hyperlink ref="M4:M5" location="'FEB -2022'!A1" display="BULLION" xr:uid="{00000000-0004-0000-6E00-000002000000}"/>
    <hyperlink ref="B114" r:id="rId3" xr:uid="{00000000-0004-0000-6E00-000003000000}"/>
    <hyperlink ref="M8:M9" location="'FEB -2022'!A86" display="BASE METAL" xr:uid="{00000000-0004-0000-6E00-000004000000}"/>
    <hyperlink ref="M1" location="MASTER!A1" display="Back" xr:uid="{00000000-0004-0000-6E00-000005000000}"/>
    <hyperlink ref="M6:M7" location="'FEB -2022'!A54" display="ENERGY" xr:uid="{00000000-0004-0000-6E00-000006000000}"/>
  </hyperlinks>
  <pageMargins left="0" right="0" top="0" bottom="0" header="0" footer="0"/>
  <pageSetup paperSize="9" orientation="portrait" r:id="rId4"/>
  <drawing r:id="rId5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W11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44621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41</v>
      </c>
      <c r="O4" s="348">
        <f>V52</f>
        <v>29</v>
      </c>
      <c r="P4" s="355">
        <f>W52</f>
        <v>7</v>
      </c>
      <c r="Q4" s="356">
        <v>0</v>
      </c>
      <c r="R4" s="343">
        <f>O4/N4</f>
        <v>0.70731707317073167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44622</v>
      </c>
      <c r="D6" s="192" t="s">
        <v>23</v>
      </c>
      <c r="E6" s="192" t="s">
        <v>24</v>
      </c>
      <c r="F6" s="193">
        <v>51860</v>
      </c>
      <c r="G6" s="193">
        <v>51660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COUNT(C60:C82)</f>
        <v>21</v>
      </c>
      <c r="O6" s="348">
        <f>V83</f>
        <v>17</v>
      </c>
      <c r="P6" s="348">
        <f>W83</f>
        <v>4</v>
      </c>
      <c r="Q6" s="349">
        <f>N6-O6-P6</f>
        <v>0</v>
      </c>
      <c r="R6" s="345">
        <f t="shared" ref="R6" si="0">O6/N6</f>
        <v>0.80952380952380953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44622</v>
      </c>
      <c r="D7" s="196" t="s">
        <v>23</v>
      </c>
      <c r="E7" s="196" t="s">
        <v>22</v>
      </c>
      <c r="F7" s="197">
        <v>67800</v>
      </c>
      <c r="G7" s="197">
        <v>67300</v>
      </c>
      <c r="H7" s="196">
        <v>500</v>
      </c>
      <c r="I7" s="197">
        <v>30</v>
      </c>
      <c r="J7" s="268">
        <f t="shared" ref="J7:J51" si="1">H7*I7</f>
        <v>15000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44623</v>
      </c>
      <c r="D8" s="196" t="s">
        <v>23</v>
      </c>
      <c r="E8" s="196" t="s">
        <v>24</v>
      </c>
      <c r="F8" s="197">
        <v>51720</v>
      </c>
      <c r="G8" s="197">
        <v>51675</v>
      </c>
      <c r="H8" s="196">
        <f>51720-51675</f>
        <v>45</v>
      </c>
      <c r="I8" s="197">
        <v>100</v>
      </c>
      <c r="J8" s="268">
        <f t="shared" si="1"/>
        <v>4500</v>
      </c>
      <c r="K8" s="185"/>
      <c r="M8" s="362" t="s">
        <v>877</v>
      </c>
      <c r="N8" s="347">
        <f>COUNT(C91:C113)</f>
        <v>20</v>
      </c>
      <c r="O8" s="348">
        <f>V114</f>
        <v>16</v>
      </c>
      <c r="P8" s="348">
        <f>W114</f>
        <v>4</v>
      </c>
      <c r="Q8" s="349">
        <f>N8-O8-P8</f>
        <v>0</v>
      </c>
      <c r="R8" s="345">
        <f t="shared" ref="R8" si="4">O8/N8</f>
        <v>0.8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44623</v>
      </c>
      <c r="D9" s="196" t="s">
        <v>23</v>
      </c>
      <c r="E9" s="196" t="s">
        <v>22</v>
      </c>
      <c r="F9" s="197">
        <v>68450</v>
      </c>
      <c r="G9" s="197">
        <v>68150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44624</v>
      </c>
      <c r="D10" s="196" t="s">
        <v>23</v>
      </c>
      <c r="E10" s="196" t="s">
        <v>24</v>
      </c>
      <c r="F10" s="197">
        <v>52000</v>
      </c>
      <c r="G10" s="197">
        <v>52100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82</v>
      </c>
      <c r="O10" s="321">
        <f>SUM(O4:O9)</f>
        <v>62</v>
      </c>
      <c r="P10" s="321">
        <f>SUM(P4:P9)</f>
        <v>15</v>
      </c>
      <c r="Q10" s="341">
        <f>SUM(Q4:Q9)</f>
        <v>0</v>
      </c>
      <c r="R10" s="343">
        <f t="shared" ref="R10" si="5">O10/N10</f>
        <v>0.75609756097560976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44624</v>
      </c>
      <c r="D11" s="196" t="s">
        <v>23</v>
      </c>
      <c r="E11" s="196" t="s">
        <v>22</v>
      </c>
      <c r="F11" s="197">
        <v>68350</v>
      </c>
      <c r="G11" s="197">
        <v>68250</v>
      </c>
      <c r="H11" s="196">
        <v>100</v>
      </c>
      <c r="I11" s="197">
        <v>30</v>
      </c>
      <c r="J11" s="268">
        <f t="shared" si="1"/>
        <v>3000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44627</v>
      </c>
      <c r="D12" s="196" t="s">
        <v>23</v>
      </c>
      <c r="E12" s="196" t="s">
        <v>24</v>
      </c>
      <c r="F12" s="197">
        <v>53820</v>
      </c>
      <c r="G12" s="197">
        <v>53920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0.75609756097560976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44627</v>
      </c>
      <c r="D13" s="196" t="s">
        <v>23</v>
      </c>
      <c r="E13" s="196" t="s">
        <v>22</v>
      </c>
      <c r="F13" s="197">
        <v>70950</v>
      </c>
      <c r="G13" s="197">
        <v>71250</v>
      </c>
      <c r="H13" s="196">
        <v>-300</v>
      </c>
      <c r="I13" s="197">
        <v>30</v>
      </c>
      <c r="J13" s="268">
        <f t="shared" si="1"/>
        <v>-9000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44628</v>
      </c>
      <c r="D14" s="196" t="s">
        <v>23</v>
      </c>
      <c r="E14" s="196" t="s">
        <v>24</v>
      </c>
      <c r="F14" s="197">
        <v>53940</v>
      </c>
      <c r="G14" s="197">
        <v>53740</v>
      </c>
      <c r="H14" s="196">
        <v>200</v>
      </c>
      <c r="I14" s="197">
        <v>100</v>
      </c>
      <c r="J14" s="268">
        <f t="shared" si="1"/>
        <v>20000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44628</v>
      </c>
      <c r="D15" s="196" t="s">
        <v>23</v>
      </c>
      <c r="E15" s="196" t="s">
        <v>22</v>
      </c>
      <c r="F15" s="197">
        <v>71550</v>
      </c>
      <c r="G15" s="197">
        <v>71130</v>
      </c>
      <c r="H15" s="196">
        <f>71550-71130</f>
        <v>420</v>
      </c>
      <c r="I15" s="197">
        <v>30</v>
      </c>
      <c r="J15" s="268">
        <f t="shared" si="1"/>
        <v>12600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44629</v>
      </c>
      <c r="D16" s="196" t="s">
        <v>23</v>
      </c>
      <c r="E16" s="196" t="s">
        <v>24</v>
      </c>
      <c r="F16" s="197">
        <v>54040</v>
      </c>
      <c r="G16" s="197">
        <v>53840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44629</v>
      </c>
      <c r="D17" s="196" t="s">
        <v>23</v>
      </c>
      <c r="E17" s="196" t="s">
        <v>22</v>
      </c>
      <c r="F17" s="197">
        <v>71600</v>
      </c>
      <c r="G17" s="197">
        <v>71100</v>
      </c>
      <c r="H17" s="196">
        <v>500</v>
      </c>
      <c r="I17" s="197">
        <v>30</v>
      </c>
      <c r="J17" s="268">
        <f t="shared" si="1"/>
        <v>15000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44630</v>
      </c>
      <c r="D18" s="196" t="s">
        <v>16</v>
      </c>
      <c r="E18" s="196" t="s">
        <v>24</v>
      </c>
      <c r="F18" s="197">
        <v>52830</v>
      </c>
      <c r="G18" s="197">
        <v>53030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44630</v>
      </c>
      <c r="D19" s="196" t="s">
        <v>23</v>
      </c>
      <c r="E19" s="196" t="s">
        <v>22</v>
      </c>
      <c r="F19" s="197">
        <v>69600</v>
      </c>
      <c r="G19" s="197">
        <v>70200</v>
      </c>
      <c r="H19" s="196">
        <f>70200-69600</f>
        <v>600</v>
      </c>
      <c r="I19" s="197">
        <v>30</v>
      </c>
      <c r="J19" s="268">
        <f t="shared" si="1"/>
        <v>18000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44631</v>
      </c>
      <c r="D20" s="196" t="s">
        <v>23</v>
      </c>
      <c r="E20" s="196" t="s">
        <v>24</v>
      </c>
      <c r="F20" s="197">
        <v>53040</v>
      </c>
      <c r="G20" s="197">
        <v>53140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44631</v>
      </c>
      <c r="D21" s="196" t="s">
        <v>23</v>
      </c>
      <c r="E21" s="196" t="s">
        <v>22</v>
      </c>
      <c r="F21" s="197">
        <v>70500</v>
      </c>
      <c r="G21" s="197">
        <v>69900</v>
      </c>
      <c r="H21" s="196"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44634</v>
      </c>
      <c r="D22" s="196" t="s">
        <v>23</v>
      </c>
      <c r="E22" s="196" t="s">
        <v>24</v>
      </c>
      <c r="F22" s="197">
        <v>52350</v>
      </c>
      <c r="G22" s="197">
        <v>52210</v>
      </c>
      <c r="H22" s="196">
        <f>52350-52210</f>
        <v>140</v>
      </c>
      <c r="I22" s="197">
        <v>100</v>
      </c>
      <c r="J22" s="268">
        <f t="shared" si="1"/>
        <v>14000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44634</v>
      </c>
      <c r="D23" s="196" t="s">
        <v>23</v>
      </c>
      <c r="E23" s="196" t="s">
        <v>22</v>
      </c>
      <c r="F23" s="197">
        <v>69500</v>
      </c>
      <c r="G23" s="197">
        <v>68900</v>
      </c>
      <c r="H23" s="196">
        <f>69500-68900</f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44635</v>
      </c>
      <c r="D24" s="196" t="s">
        <v>23</v>
      </c>
      <c r="E24" s="196" t="s">
        <v>24</v>
      </c>
      <c r="F24" s="197">
        <v>51800</v>
      </c>
      <c r="G24" s="197">
        <v>51600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44635</v>
      </c>
      <c r="D25" s="196" t="s">
        <v>23</v>
      </c>
      <c r="E25" s="196" t="s">
        <v>22</v>
      </c>
      <c r="F25" s="197">
        <v>68150</v>
      </c>
      <c r="G25" s="197">
        <v>67720</v>
      </c>
      <c r="H25" s="196">
        <f>68150-67720</f>
        <v>430</v>
      </c>
      <c r="I25" s="197">
        <v>30</v>
      </c>
      <c r="J25" s="268">
        <f t="shared" si="1"/>
        <v>12900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44636</v>
      </c>
      <c r="D26" s="196" t="s">
        <v>23</v>
      </c>
      <c r="E26" s="196" t="s">
        <v>24</v>
      </c>
      <c r="F26" s="197">
        <v>51500</v>
      </c>
      <c r="G26" s="197">
        <v>51360</v>
      </c>
      <c r="H26" s="196">
        <f>51500-51360</f>
        <v>140</v>
      </c>
      <c r="I26" s="197">
        <v>100</v>
      </c>
      <c r="J26" s="268">
        <f t="shared" si="1"/>
        <v>14000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44636</v>
      </c>
      <c r="D27" s="196" t="s">
        <v>23</v>
      </c>
      <c r="E27" s="196" t="s">
        <v>22</v>
      </c>
      <c r="F27" s="197">
        <v>68000</v>
      </c>
      <c r="G27" s="197">
        <v>67700</v>
      </c>
      <c r="H27" s="196">
        <f>68000-67700</f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44637</v>
      </c>
      <c r="D28" s="196" t="s">
        <v>23</v>
      </c>
      <c r="E28" s="196" t="s">
        <v>24</v>
      </c>
      <c r="F28" s="197">
        <v>51600</v>
      </c>
      <c r="G28" s="197">
        <v>51700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44641</v>
      </c>
      <c r="D29" s="196" t="s">
        <v>23</v>
      </c>
      <c r="E29" s="196" t="s">
        <v>24</v>
      </c>
      <c r="F29" s="197">
        <v>51500</v>
      </c>
      <c r="G29" s="197">
        <v>51400</v>
      </c>
      <c r="H29" s="196">
        <v>100</v>
      </c>
      <c r="I29" s="197">
        <v>100</v>
      </c>
      <c r="J29" s="268">
        <f t="shared" si="1"/>
        <v>10000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44641</v>
      </c>
      <c r="D30" s="196" t="s">
        <v>23</v>
      </c>
      <c r="E30" s="196" t="s">
        <v>22</v>
      </c>
      <c r="F30" s="197">
        <v>68200</v>
      </c>
      <c r="G30" s="197">
        <v>68000</v>
      </c>
      <c r="H30" s="196">
        <v>200</v>
      </c>
      <c r="I30" s="197">
        <v>30</v>
      </c>
      <c r="J30" s="268">
        <f t="shared" si="1"/>
        <v>6000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44642</v>
      </c>
      <c r="D31" s="196" t="s">
        <v>23</v>
      </c>
      <c r="E31" s="196" t="s">
        <v>24</v>
      </c>
      <c r="F31" s="197">
        <v>51580</v>
      </c>
      <c r="G31" s="197">
        <v>51380</v>
      </c>
      <c r="H31" s="196">
        <v>200</v>
      </c>
      <c r="I31" s="197">
        <v>100</v>
      </c>
      <c r="J31" s="268">
        <f t="shared" si="1"/>
        <v>20000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44642</v>
      </c>
      <c r="D32" s="196" t="s">
        <v>23</v>
      </c>
      <c r="E32" s="196" t="s">
        <v>22</v>
      </c>
      <c r="F32" s="197">
        <v>68200</v>
      </c>
      <c r="G32" s="197">
        <v>67600</v>
      </c>
      <c r="H32" s="196">
        <f>68200-67600</f>
        <v>600</v>
      </c>
      <c r="I32" s="197">
        <v>30</v>
      </c>
      <c r="J32" s="268">
        <f t="shared" si="1"/>
        <v>18000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44643</v>
      </c>
      <c r="D33" s="196" t="s">
        <v>23</v>
      </c>
      <c r="E33" s="196" t="s">
        <v>24</v>
      </c>
      <c r="F33" s="197">
        <v>51650</v>
      </c>
      <c r="G33" s="197">
        <v>51550</v>
      </c>
      <c r="H33" s="196">
        <v>100</v>
      </c>
      <c r="I33" s="197">
        <v>100</v>
      </c>
      <c r="J33" s="268">
        <f t="shared" si="1"/>
        <v>10000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44643</v>
      </c>
      <c r="D34" s="196" t="s">
        <v>23</v>
      </c>
      <c r="E34" s="196" t="s">
        <v>22</v>
      </c>
      <c r="F34" s="197">
        <v>68200</v>
      </c>
      <c r="G34" s="197">
        <v>67900</v>
      </c>
      <c r="H34" s="196">
        <f>68200-67900</f>
        <v>300</v>
      </c>
      <c r="I34" s="197">
        <v>30</v>
      </c>
      <c r="J34" s="268">
        <f t="shared" si="1"/>
        <v>9000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44644</v>
      </c>
      <c r="D35" s="196" t="s">
        <v>23</v>
      </c>
      <c r="E35" s="196" t="s">
        <v>24</v>
      </c>
      <c r="F35" s="197">
        <v>51770</v>
      </c>
      <c r="G35" s="197">
        <v>51870</v>
      </c>
      <c r="H35" s="196">
        <v>-100</v>
      </c>
      <c r="I35" s="197">
        <v>100</v>
      </c>
      <c r="J35" s="268">
        <f t="shared" si="1"/>
        <v>-10000</v>
      </c>
      <c r="K35" s="185"/>
      <c r="V35" s="183">
        <f t="shared" si="2"/>
        <v>0</v>
      </c>
      <c r="W35" s="183">
        <f t="shared" ref="W35:W40" si="6">IF($J35&lt;0,1,0)</f>
        <v>1</v>
      </c>
    </row>
    <row r="36" spans="1:23" x14ac:dyDescent="0.3">
      <c r="A36" s="184"/>
      <c r="B36" s="194">
        <v>31</v>
      </c>
      <c r="C36" s="195">
        <v>44644</v>
      </c>
      <c r="D36" s="196" t="s">
        <v>23</v>
      </c>
      <c r="E36" s="196" t="s">
        <v>22</v>
      </c>
      <c r="F36" s="197">
        <v>68200</v>
      </c>
      <c r="G36" s="197">
        <v>68500</v>
      </c>
      <c r="H36" s="196">
        <v>-300</v>
      </c>
      <c r="I36" s="197">
        <v>30</v>
      </c>
      <c r="J36" s="268">
        <f t="shared" si="1"/>
        <v>-9000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37340</v>
      </c>
      <c r="D37" s="196" t="s">
        <v>23</v>
      </c>
      <c r="E37" s="196" t="s">
        <v>24</v>
      </c>
      <c r="F37" s="197">
        <v>51970</v>
      </c>
      <c r="G37" s="197">
        <v>51770</v>
      </c>
      <c r="H37" s="196">
        <v>200</v>
      </c>
      <c r="I37" s="197">
        <v>100</v>
      </c>
      <c r="J37" s="268">
        <f t="shared" si="1"/>
        <v>20000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44645</v>
      </c>
      <c r="D38" s="196" t="s">
        <v>23</v>
      </c>
      <c r="E38" s="196" t="s">
        <v>22</v>
      </c>
      <c r="F38" s="197">
        <v>69400</v>
      </c>
      <c r="G38" s="197">
        <v>68800</v>
      </c>
      <c r="H38" s="196">
        <f>69400-68800</f>
        <v>600</v>
      </c>
      <c r="I38" s="197">
        <v>30</v>
      </c>
      <c r="J38" s="268">
        <f t="shared" si="1"/>
        <v>18000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44648</v>
      </c>
      <c r="D39" s="196" t="s">
        <v>23</v>
      </c>
      <c r="E39" s="196" t="s">
        <v>24</v>
      </c>
      <c r="F39" s="197">
        <v>51450</v>
      </c>
      <c r="G39" s="197">
        <v>51370</v>
      </c>
      <c r="H39" s="196">
        <f>51450-51370</f>
        <v>80</v>
      </c>
      <c r="I39" s="197">
        <v>100</v>
      </c>
      <c r="J39" s="268">
        <f t="shared" si="1"/>
        <v>8000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44648</v>
      </c>
      <c r="D40" s="196" t="s">
        <v>23</v>
      </c>
      <c r="E40" s="196" t="s">
        <v>22</v>
      </c>
      <c r="F40" s="197">
        <v>68150</v>
      </c>
      <c r="G40" s="197">
        <v>67920</v>
      </c>
      <c r="H40" s="196">
        <f>68150-67920</f>
        <v>230</v>
      </c>
      <c r="I40" s="197">
        <v>30</v>
      </c>
      <c r="J40" s="268">
        <f t="shared" si="1"/>
        <v>6900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44649</v>
      </c>
      <c r="D41" s="196" t="s">
        <v>23</v>
      </c>
      <c r="E41" s="196" t="s">
        <v>24</v>
      </c>
      <c r="F41" s="197">
        <v>51100</v>
      </c>
      <c r="G41" s="197">
        <v>50900</v>
      </c>
      <c r="H41" s="196">
        <f>51100-50900</f>
        <v>200</v>
      </c>
      <c r="I41" s="197">
        <v>100</v>
      </c>
      <c r="J41" s="268">
        <f t="shared" si="1"/>
        <v>20000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44649</v>
      </c>
      <c r="D42" s="196" t="s">
        <v>23</v>
      </c>
      <c r="E42" s="196" t="s">
        <v>22</v>
      </c>
      <c r="F42" s="197">
        <v>67300</v>
      </c>
      <c r="G42" s="197">
        <v>66700</v>
      </c>
      <c r="H42" s="196">
        <v>600</v>
      </c>
      <c r="I42" s="197">
        <v>30</v>
      </c>
      <c r="J42" s="268">
        <f t="shared" si="1"/>
        <v>18000</v>
      </c>
      <c r="K42" s="185"/>
    </row>
    <row r="43" spans="1:23" x14ac:dyDescent="0.3">
      <c r="A43" s="184"/>
      <c r="B43" s="194">
        <v>38</v>
      </c>
      <c r="C43" s="195">
        <v>44650</v>
      </c>
      <c r="D43" s="196" t="s">
        <v>23</v>
      </c>
      <c r="E43" s="196" t="s">
        <v>24</v>
      </c>
      <c r="F43" s="197">
        <v>51020</v>
      </c>
      <c r="G43" s="197">
        <v>51120</v>
      </c>
      <c r="H43" s="196">
        <v>-100</v>
      </c>
      <c r="I43" s="197">
        <v>100</v>
      </c>
      <c r="J43" s="268">
        <f t="shared" si="1"/>
        <v>-10000</v>
      </c>
      <c r="K43" s="185"/>
    </row>
    <row r="44" spans="1:23" x14ac:dyDescent="0.3">
      <c r="A44" s="184"/>
      <c r="B44" s="194">
        <v>39</v>
      </c>
      <c r="C44" s="195">
        <v>44650</v>
      </c>
      <c r="D44" s="196" t="s">
        <v>23</v>
      </c>
      <c r="E44" s="196" t="s">
        <v>22</v>
      </c>
      <c r="F44" s="197">
        <v>67300</v>
      </c>
      <c r="G44" s="197">
        <v>67600</v>
      </c>
      <c r="H44" s="196">
        <v>-300</v>
      </c>
      <c r="I44" s="197">
        <v>30</v>
      </c>
      <c r="J44" s="268">
        <f t="shared" si="1"/>
        <v>-9000</v>
      </c>
      <c r="K44" s="185"/>
    </row>
    <row r="45" spans="1:23" x14ac:dyDescent="0.3">
      <c r="A45" s="184"/>
      <c r="B45" s="194">
        <v>40</v>
      </c>
      <c r="C45" s="195">
        <v>44651</v>
      </c>
      <c r="D45" s="196" t="s">
        <v>16</v>
      </c>
      <c r="E45" s="196" t="s">
        <v>24</v>
      </c>
      <c r="F45" s="197">
        <v>51650</v>
      </c>
      <c r="G45" s="197">
        <v>51850</v>
      </c>
      <c r="H45" s="196">
        <v>200</v>
      </c>
      <c r="I45" s="197">
        <v>100</v>
      </c>
      <c r="J45" s="268">
        <f t="shared" si="1"/>
        <v>20000</v>
      </c>
      <c r="K45" s="185"/>
    </row>
    <row r="46" spans="1:23" x14ac:dyDescent="0.3">
      <c r="A46" s="184"/>
      <c r="B46" s="194">
        <v>41</v>
      </c>
      <c r="C46" s="195">
        <v>44651</v>
      </c>
      <c r="D46" s="196" t="s">
        <v>16</v>
      </c>
      <c r="E46" s="196" t="s">
        <v>22</v>
      </c>
      <c r="F46" s="197">
        <v>67100</v>
      </c>
      <c r="G46" s="197">
        <v>67700</v>
      </c>
      <c r="H46" s="196">
        <v>600</v>
      </c>
      <c r="I46" s="197">
        <v>30</v>
      </c>
      <c r="J46" s="268">
        <f t="shared" si="1"/>
        <v>18000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377900</v>
      </c>
      <c r="K52" s="185"/>
      <c r="V52" s="183">
        <f>SUM(V6:V51)</f>
        <v>29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44621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44622</v>
      </c>
      <c r="D60" s="192" t="s">
        <v>23</v>
      </c>
      <c r="E60" s="192" t="s">
        <v>25</v>
      </c>
      <c r="F60" s="193">
        <v>8310</v>
      </c>
      <c r="G60" s="193">
        <v>8285</v>
      </c>
      <c r="H60" s="192">
        <f>8310-8285</f>
        <v>25</v>
      </c>
      <c r="I60" s="193">
        <v>100</v>
      </c>
      <c r="J60" s="267">
        <f t="shared" ref="J60:J82" si="7">I60*H60</f>
        <v>2500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44623</v>
      </c>
      <c r="D61" s="196" t="s">
        <v>23</v>
      </c>
      <c r="E61" s="196" t="s">
        <v>25</v>
      </c>
      <c r="F61" s="197">
        <v>8740</v>
      </c>
      <c r="G61" s="197">
        <v>8660</v>
      </c>
      <c r="H61" s="196">
        <f>8740-8660</f>
        <v>80</v>
      </c>
      <c r="I61" s="197">
        <v>100</v>
      </c>
      <c r="J61" s="268">
        <f t="shared" si="7"/>
        <v>8000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44624</v>
      </c>
      <c r="D62" s="196" t="s">
        <v>16</v>
      </c>
      <c r="E62" s="196" t="s">
        <v>25</v>
      </c>
      <c r="F62" s="197">
        <v>8390</v>
      </c>
      <c r="G62" s="197">
        <v>8450</v>
      </c>
      <c r="H62" s="196">
        <f>8450-8390</f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4</v>
      </c>
      <c r="C63" s="195">
        <v>44627</v>
      </c>
      <c r="D63" s="196" t="s">
        <v>23</v>
      </c>
      <c r="E63" s="196" t="s">
        <v>25</v>
      </c>
      <c r="F63" s="197">
        <v>9480</v>
      </c>
      <c r="G63" s="197">
        <v>9420</v>
      </c>
      <c r="H63" s="196">
        <f>9480-9420</f>
        <v>60</v>
      </c>
      <c r="I63" s="197">
        <v>100</v>
      </c>
      <c r="J63" s="268">
        <f t="shared" si="7"/>
        <v>6000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44628</v>
      </c>
      <c r="D64" s="196" t="s">
        <v>23</v>
      </c>
      <c r="E64" s="196" t="s">
        <v>25</v>
      </c>
      <c r="F64" s="197">
        <v>9280</v>
      </c>
      <c r="G64" s="197">
        <v>9250</v>
      </c>
      <c r="H64" s="196">
        <v>30</v>
      </c>
      <c r="I64" s="197">
        <v>100</v>
      </c>
      <c r="J64" s="268">
        <f t="shared" si="7"/>
        <v>3000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44629</v>
      </c>
      <c r="D65" s="196" t="s">
        <v>23</v>
      </c>
      <c r="E65" s="196" t="s">
        <v>25</v>
      </c>
      <c r="F65" s="197">
        <v>9470</v>
      </c>
      <c r="G65" s="197">
        <v>9400</v>
      </c>
      <c r="H65" s="196">
        <v>200</v>
      </c>
      <c r="I65" s="197">
        <v>100</v>
      </c>
      <c r="J65" s="268">
        <f t="shared" si="7"/>
        <v>20000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44630</v>
      </c>
      <c r="D66" s="196" t="s">
        <v>16</v>
      </c>
      <c r="E66" s="196" t="s">
        <v>25</v>
      </c>
      <c r="F66" s="222">
        <v>8690</v>
      </c>
      <c r="G66" s="222">
        <v>8730</v>
      </c>
      <c r="H66" s="196">
        <f>8730-8690</f>
        <v>40</v>
      </c>
      <c r="I66" s="197">
        <v>100</v>
      </c>
      <c r="J66" s="268">
        <f t="shared" si="7"/>
        <v>4000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44631</v>
      </c>
      <c r="D67" s="196" t="s">
        <v>16</v>
      </c>
      <c r="E67" s="196" t="s">
        <v>25</v>
      </c>
      <c r="F67" s="197">
        <v>5330</v>
      </c>
      <c r="G67" s="197">
        <v>5390</v>
      </c>
      <c r="H67" s="196">
        <v>60</v>
      </c>
      <c r="I67" s="197">
        <v>100</v>
      </c>
      <c r="J67" s="268">
        <f t="shared" si="7"/>
        <v>6000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9</v>
      </c>
      <c r="C68" s="195">
        <v>44634</v>
      </c>
      <c r="D68" s="196" t="s">
        <v>23</v>
      </c>
      <c r="E68" s="196" t="s">
        <v>25</v>
      </c>
      <c r="F68" s="197">
        <v>7950</v>
      </c>
      <c r="G68" s="197">
        <v>7900</v>
      </c>
      <c r="H68" s="196">
        <v>50</v>
      </c>
      <c r="I68" s="197">
        <v>100</v>
      </c>
      <c r="J68" s="268">
        <f t="shared" si="7"/>
        <v>5000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44635</v>
      </c>
      <c r="D69" s="196" t="s">
        <v>23</v>
      </c>
      <c r="E69" s="196" t="s">
        <v>25</v>
      </c>
      <c r="F69" s="197">
        <v>7430</v>
      </c>
      <c r="G69" s="197">
        <v>7370</v>
      </c>
      <c r="H69" s="196">
        <v>60</v>
      </c>
      <c r="I69" s="197">
        <v>100</v>
      </c>
      <c r="J69" s="268">
        <f t="shared" si="7"/>
        <v>6000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11</v>
      </c>
      <c r="C70" s="195">
        <v>44636</v>
      </c>
      <c r="D70" s="196" t="s">
        <v>23</v>
      </c>
      <c r="E70" s="196" t="s">
        <v>25</v>
      </c>
      <c r="F70" s="197">
        <v>7440</v>
      </c>
      <c r="G70" s="197">
        <v>7380</v>
      </c>
      <c r="H70" s="196">
        <f>7440-7380</f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44637</v>
      </c>
      <c r="D71" s="196" t="s">
        <v>23</v>
      </c>
      <c r="E71" s="196" t="s">
        <v>25</v>
      </c>
      <c r="F71" s="197">
        <v>7490</v>
      </c>
      <c r="G71" s="197">
        <v>7520</v>
      </c>
      <c r="H71" s="196">
        <v>-30</v>
      </c>
      <c r="I71" s="197">
        <v>100</v>
      </c>
      <c r="J71" s="268">
        <f t="shared" si="7"/>
        <v>-3000</v>
      </c>
      <c r="K71" s="185"/>
      <c r="V71" s="183">
        <f t="shared" si="8"/>
        <v>0</v>
      </c>
      <c r="W71" s="183">
        <f t="shared" si="9"/>
        <v>1</v>
      </c>
    </row>
    <row r="72" spans="1:23" x14ac:dyDescent="0.3">
      <c r="A72" s="184"/>
      <c r="B72" s="194">
        <v>13</v>
      </c>
      <c r="C72" s="195">
        <v>44641</v>
      </c>
      <c r="D72" s="196" t="s">
        <v>23</v>
      </c>
      <c r="E72" s="196" t="s">
        <v>25</v>
      </c>
      <c r="F72" s="197">
        <v>8300</v>
      </c>
      <c r="G72" s="197">
        <v>8240</v>
      </c>
      <c r="H72" s="196">
        <f>8300-8240</f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44642</v>
      </c>
      <c r="D73" s="196" t="s">
        <v>23</v>
      </c>
      <c r="E73" s="196" t="s">
        <v>25</v>
      </c>
      <c r="F73" s="197">
        <v>8250</v>
      </c>
      <c r="G73" s="197">
        <v>8221</v>
      </c>
      <c r="H73" s="196">
        <f>8250-8221</f>
        <v>29</v>
      </c>
      <c r="I73" s="197">
        <v>100</v>
      </c>
      <c r="J73" s="268">
        <f t="shared" si="7"/>
        <v>2900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44643</v>
      </c>
      <c r="D74" s="196" t="s">
        <v>23</v>
      </c>
      <c r="E74" s="196" t="s">
        <v>25</v>
      </c>
      <c r="F74" s="197">
        <v>8530</v>
      </c>
      <c r="G74" s="197">
        <v>8560</v>
      </c>
      <c r="H74" s="196">
        <v>-30</v>
      </c>
      <c r="I74" s="197">
        <v>100</v>
      </c>
      <c r="J74" s="268">
        <f t="shared" si="7"/>
        <v>-3000</v>
      </c>
      <c r="K74" s="185"/>
      <c r="V74" s="183">
        <f t="shared" si="8"/>
        <v>0</v>
      </c>
      <c r="W74" s="183">
        <f t="shared" si="9"/>
        <v>1</v>
      </c>
    </row>
    <row r="75" spans="1:23" x14ac:dyDescent="0.3">
      <c r="A75" s="184"/>
      <c r="B75" s="194">
        <v>16</v>
      </c>
      <c r="C75" s="195">
        <v>44644</v>
      </c>
      <c r="D75" s="196" t="s">
        <v>23</v>
      </c>
      <c r="E75" s="196" t="s">
        <v>25</v>
      </c>
      <c r="F75" s="197">
        <v>8780</v>
      </c>
      <c r="G75" s="197">
        <v>8740</v>
      </c>
      <c r="H75" s="196">
        <v>40</v>
      </c>
      <c r="I75" s="197">
        <v>100</v>
      </c>
      <c r="J75" s="268">
        <f t="shared" si="7"/>
        <v>4000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44645</v>
      </c>
      <c r="D76" s="196" t="s">
        <v>23</v>
      </c>
      <c r="E76" s="196" t="s">
        <v>25</v>
      </c>
      <c r="F76" s="197">
        <v>8375</v>
      </c>
      <c r="G76" s="197">
        <v>8420</v>
      </c>
      <c r="H76" s="196">
        <v>-30</v>
      </c>
      <c r="I76" s="197">
        <v>100</v>
      </c>
      <c r="J76" s="268">
        <f t="shared" si="7"/>
        <v>-3000</v>
      </c>
      <c r="K76" s="185"/>
      <c r="V76" s="183">
        <f t="shared" si="8"/>
        <v>0</v>
      </c>
      <c r="W76" s="183">
        <f t="shared" si="9"/>
        <v>1</v>
      </c>
    </row>
    <row r="77" spans="1:23" x14ac:dyDescent="0.3">
      <c r="A77" s="255"/>
      <c r="B77" s="194">
        <v>18</v>
      </c>
      <c r="C77" s="195">
        <v>44648</v>
      </c>
      <c r="D77" s="196" t="s">
        <v>23</v>
      </c>
      <c r="E77" s="196" t="s">
        <v>25</v>
      </c>
      <c r="F77" s="197">
        <v>8340</v>
      </c>
      <c r="G77" s="197">
        <v>8370</v>
      </c>
      <c r="H77" s="196">
        <v>-30</v>
      </c>
      <c r="I77" s="197">
        <v>100</v>
      </c>
      <c r="J77" s="268">
        <f t="shared" si="7"/>
        <v>-3000</v>
      </c>
      <c r="K77" s="185"/>
      <c r="V77" s="183">
        <f t="shared" si="8"/>
        <v>0</v>
      </c>
      <c r="W77" s="183">
        <f t="shared" si="9"/>
        <v>1</v>
      </c>
    </row>
    <row r="78" spans="1:23" x14ac:dyDescent="0.3">
      <c r="A78" s="184"/>
      <c r="B78" s="194">
        <v>19</v>
      </c>
      <c r="C78" s="195">
        <v>44649</v>
      </c>
      <c r="D78" s="196" t="s">
        <v>23</v>
      </c>
      <c r="E78" s="196" t="s">
        <v>25</v>
      </c>
      <c r="F78" s="197">
        <v>8060</v>
      </c>
      <c r="G78" s="197">
        <v>8025</v>
      </c>
      <c r="H78" s="196">
        <f>8060-8025</f>
        <v>35</v>
      </c>
      <c r="I78" s="197">
        <v>100</v>
      </c>
      <c r="J78" s="268">
        <f t="shared" si="7"/>
        <v>3500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44650</v>
      </c>
      <c r="D79" s="196" t="s">
        <v>23</v>
      </c>
      <c r="E79" s="196" t="s">
        <v>25</v>
      </c>
      <c r="F79" s="197">
        <v>8070</v>
      </c>
      <c r="G79" s="197">
        <v>8046</v>
      </c>
      <c r="H79" s="196">
        <f>8070-8046</f>
        <v>24</v>
      </c>
      <c r="I79" s="197">
        <v>100</v>
      </c>
      <c r="J79" s="268">
        <f t="shared" si="7"/>
        <v>2400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>
        <v>44651</v>
      </c>
      <c r="D80" s="196" t="s">
        <v>23</v>
      </c>
      <c r="E80" s="196" t="s">
        <v>25</v>
      </c>
      <c r="F80" s="197">
        <v>7730</v>
      </c>
      <c r="G80" s="197">
        <v>7670</v>
      </c>
      <c r="H80" s="196">
        <v>60</v>
      </c>
      <c r="I80" s="197">
        <v>100</v>
      </c>
      <c r="J80" s="268">
        <f t="shared" si="7"/>
        <v>6000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85300</v>
      </c>
      <c r="K83" s="185"/>
      <c r="V83" s="183">
        <f>SUM(V60:V82)</f>
        <v>17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44621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44622</v>
      </c>
      <c r="D91" s="216" t="s">
        <v>16</v>
      </c>
      <c r="E91" s="256" t="s">
        <v>28</v>
      </c>
      <c r="F91" s="256">
        <v>319</v>
      </c>
      <c r="G91" s="256">
        <v>321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44623</v>
      </c>
      <c r="D92" s="196" t="s">
        <v>16</v>
      </c>
      <c r="E92" s="222" t="s">
        <v>28</v>
      </c>
      <c r="F92" s="222">
        <v>330.9</v>
      </c>
      <c r="G92" s="222">
        <v>331.9</v>
      </c>
      <c r="H92" s="222">
        <v>1</v>
      </c>
      <c r="I92" s="197">
        <v>5000</v>
      </c>
      <c r="J92" s="268">
        <f t="shared" ref="J92:J113" si="10">I92*H92</f>
        <v>5000</v>
      </c>
      <c r="K92" s="185"/>
      <c r="V92" s="183">
        <f t="shared" ref="V92:V113" si="11">IF($J92&gt;0,1,0)</f>
        <v>1</v>
      </c>
      <c r="W92" s="183">
        <f t="shared" ref="W92:W113" si="12">IF($J92&lt;0,1,0)</f>
        <v>0</v>
      </c>
    </row>
    <row r="93" spans="1:23" x14ac:dyDescent="0.3">
      <c r="A93" s="184"/>
      <c r="B93" s="194">
        <v>3</v>
      </c>
      <c r="C93" s="195">
        <v>44624</v>
      </c>
      <c r="D93" s="196" t="s">
        <v>16</v>
      </c>
      <c r="E93" s="222" t="s">
        <v>28</v>
      </c>
      <c r="F93" s="222">
        <v>331.6</v>
      </c>
      <c r="G93" s="222">
        <v>332.6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4</v>
      </c>
      <c r="C94" s="195">
        <v>44627</v>
      </c>
      <c r="D94" s="196" t="s">
        <v>16</v>
      </c>
      <c r="E94" s="222" t="s">
        <v>28</v>
      </c>
      <c r="F94" s="222">
        <v>344.5</v>
      </c>
      <c r="G94" s="222">
        <v>346.5</v>
      </c>
      <c r="H94" s="222">
        <v>2</v>
      </c>
      <c r="I94" s="197">
        <v>5000</v>
      </c>
      <c r="J94" s="268">
        <f t="shared" si="10"/>
        <v>10000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44628</v>
      </c>
      <c r="D95" s="196" t="s">
        <v>23</v>
      </c>
      <c r="E95" s="222" t="s">
        <v>28</v>
      </c>
      <c r="F95" s="222">
        <v>345</v>
      </c>
      <c r="G95" s="222">
        <v>343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44629</v>
      </c>
      <c r="D96" s="196" t="s">
        <v>23</v>
      </c>
      <c r="E96" s="222" t="s">
        <v>28</v>
      </c>
      <c r="F96" s="222">
        <v>329.8</v>
      </c>
      <c r="G96" s="222">
        <v>327.8</v>
      </c>
      <c r="H96" s="222">
        <v>2</v>
      </c>
      <c r="I96" s="197">
        <v>5000</v>
      </c>
      <c r="J96" s="268">
        <f t="shared" si="10"/>
        <v>10000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44630</v>
      </c>
      <c r="D97" s="196" t="s">
        <v>23</v>
      </c>
      <c r="E97" s="222" t="s">
        <v>28</v>
      </c>
      <c r="F97" s="222">
        <v>325.5</v>
      </c>
      <c r="G97" s="222">
        <v>326.5</v>
      </c>
      <c r="H97" s="274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8</v>
      </c>
      <c r="C98" s="195">
        <v>44631</v>
      </c>
      <c r="D98" s="196" t="s">
        <v>16</v>
      </c>
      <c r="E98" s="222" t="s">
        <v>28</v>
      </c>
      <c r="F98" s="222">
        <v>319.5</v>
      </c>
      <c r="G98" s="222">
        <v>318.5</v>
      </c>
      <c r="H98" s="222">
        <v>-1</v>
      </c>
      <c r="I98" s="197">
        <v>5000</v>
      </c>
      <c r="J98" s="268">
        <f t="shared" si="10"/>
        <v>-5000</v>
      </c>
      <c r="K98" s="185"/>
      <c r="V98" s="183">
        <f t="shared" si="11"/>
        <v>0</v>
      </c>
      <c r="W98" s="183">
        <f t="shared" si="12"/>
        <v>1</v>
      </c>
    </row>
    <row r="99" spans="1:23" x14ac:dyDescent="0.3">
      <c r="A99" s="184"/>
      <c r="B99" s="194">
        <v>9</v>
      </c>
      <c r="C99" s="195">
        <v>44634</v>
      </c>
      <c r="D99" s="196" t="s">
        <v>23</v>
      </c>
      <c r="E99" s="222" t="s">
        <v>28</v>
      </c>
      <c r="F99" s="222">
        <v>315.5</v>
      </c>
      <c r="G99" s="222">
        <v>313.5</v>
      </c>
      <c r="H99" s="222">
        <v>2</v>
      </c>
      <c r="I99" s="197">
        <v>5000</v>
      </c>
      <c r="J99" s="268">
        <f t="shared" si="10"/>
        <v>10000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44635</v>
      </c>
      <c r="D100" s="196" t="s">
        <v>23</v>
      </c>
      <c r="E100" s="222" t="s">
        <v>28</v>
      </c>
      <c r="F100" s="222">
        <v>312.5</v>
      </c>
      <c r="G100" s="222">
        <v>310.5</v>
      </c>
      <c r="H100" s="222">
        <v>2</v>
      </c>
      <c r="I100" s="197">
        <v>5000</v>
      </c>
      <c r="J100" s="268">
        <f t="shared" si="10"/>
        <v>10000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44636</v>
      </c>
      <c r="D101" s="196" t="s">
        <v>23</v>
      </c>
      <c r="E101" s="222" t="s">
        <v>28</v>
      </c>
      <c r="F101" s="222">
        <v>318.60000000000002</v>
      </c>
      <c r="G101" s="222">
        <v>317.60000000000002</v>
      </c>
      <c r="H101" s="274">
        <v>1</v>
      </c>
      <c r="I101" s="197">
        <v>5000</v>
      </c>
      <c r="J101" s="268">
        <f t="shared" si="10"/>
        <v>5000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12</v>
      </c>
      <c r="C102" s="195">
        <v>44641</v>
      </c>
      <c r="D102" s="196" t="s">
        <v>23</v>
      </c>
      <c r="E102" s="222" t="s">
        <v>28</v>
      </c>
      <c r="F102" s="222">
        <v>323.5</v>
      </c>
      <c r="G102" s="222">
        <v>323.05</v>
      </c>
      <c r="H102" s="274">
        <f>323.5-323.05</f>
        <v>0.44999999999998863</v>
      </c>
      <c r="I102" s="197">
        <v>5000</v>
      </c>
      <c r="J102" s="268">
        <f t="shared" si="10"/>
        <v>2249.9999999999432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44642</v>
      </c>
      <c r="D103" s="196" t="s">
        <v>23</v>
      </c>
      <c r="E103" s="222" t="s">
        <v>28</v>
      </c>
      <c r="F103" s="222">
        <v>326.8</v>
      </c>
      <c r="G103" s="222">
        <v>326.39999999999998</v>
      </c>
      <c r="H103" s="274">
        <f>326.8-326.4</f>
        <v>0.40000000000003411</v>
      </c>
      <c r="I103" s="197">
        <v>5000</v>
      </c>
      <c r="J103" s="268">
        <f t="shared" si="10"/>
        <v>2000.0000000001705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44643</v>
      </c>
      <c r="D104" s="196" t="s">
        <v>23</v>
      </c>
      <c r="E104" s="222" t="s">
        <v>28</v>
      </c>
      <c r="F104" s="222">
        <v>331.6</v>
      </c>
      <c r="G104" s="222">
        <v>331.2</v>
      </c>
      <c r="H104" s="274">
        <v>0.4</v>
      </c>
      <c r="I104" s="197">
        <v>5000</v>
      </c>
      <c r="J104" s="268">
        <f t="shared" si="10"/>
        <v>2000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15</v>
      </c>
      <c r="C105" s="195">
        <v>44644</v>
      </c>
      <c r="D105" s="196" t="s">
        <v>16</v>
      </c>
      <c r="E105" s="222" t="s">
        <v>28</v>
      </c>
      <c r="F105" s="223">
        <v>339.6</v>
      </c>
      <c r="G105" s="222">
        <v>341.6</v>
      </c>
      <c r="H105" s="274">
        <v>2</v>
      </c>
      <c r="I105" s="197">
        <v>5000</v>
      </c>
      <c r="J105" s="268">
        <f t="shared" si="10"/>
        <v>10000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44645</v>
      </c>
      <c r="D106" s="196" t="s">
        <v>23</v>
      </c>
      <c r="E106" s="222" t="s">
        <v>28</v>
      </c>
      <c r="F106" s="222">
        <v>336</v>
      </c>
      <c r="G106" s="222">
        <v>335.5</v>
      </c>
      <c r="H106" s="274">
        <f>336-335.5</f>
        <v>0.5</v>
      </c>
      <c r="I106" s="197">
        <v>5000</v>
      </c>
      <c r="J106" s="268">
        <f t="shared" si="10"/>
        <v>2500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44648</v>
      </c>
      <c r="D107" s="196" t="s">
        <v>23</v>
      </c>
      <c r="E107" s="222" t="s">
        <v>28</v>
      </c>
      <c r="F107" s="222">
        <v>336.3</v>
      </c>
      <c r="G107" s="222">
        <v>337.3</v>
      </c>
      <c r="H107" s="274">
        <v>-1</v>
      </c>
      <c r="I107" s="197">
        <v>5000</v>
      </c>
      <c r="J107" s="268">
        <f t="shared" si="10"/>
        <v>-5000</v>
      </c>
      <c r="K107" s="185"/>
      <c r="V107" s="183">
        <f t="shared" si="11"/>
        <v>0</v>
      </c>
      <c r="W107" s="183">
        <f t="shared" si="12"/>
        <v>1</v>
      </c>
    </row>
    <row r="108" spans="1:23" x14ac:dyDescent="0.3">
      <c r="A108" s="184"/>
      <c r="B108" s="194">
        <v>18</v>
      </c>
      <c r="C108" s="195">
        <v>44649</v>
      </c>
      <c r="D108" s="196" t="s">
        <v>23</v>
      </c>
      <c r="E108" s="222" t="s">
        <v>28</v>
      </c>
      <c r="F108" s="222">
        <v>340.5</v>
      </c>
      <c r="G108" s="222">
        <v>338.5</v>
      </c>
      <c r="H108" s="274">
        <v>2</v>
      </c>
      <c r="I108" s="197">
        <v>5000</v>
      </c>
      <c r="J108" s="268">
        <f t="shared" si="10"/>
        <v>10000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44650</v>
      </c>
      <c r="D109" s="196" t="s">
        <v>23</v>
      </c>
      <c r="E109" s="222" t="s">
        <v>28</v>
      </c>
      <c r="F109" s="222">
        <v>338.3</v>
      </c>
      <c r="G109" s="222">
        <v>339.3</v>
      </c>
      <c r="H109" s="274">
        <v>-1</v>
      </c>
      <c r="I109" s="197">
        <v>5000</v>
      </c>
      <c r="J109" s="268">
        <f t="shared" si="10"/>
        <v>-5000</v>
      </c>
      <c r="K109" s="185"/>
      <c r="V109" s="183">
        <f t="shared" si="11"/>
        <v>0</v>
      </c>
      <c r="W109" s="183">
        <f t="shared" si="12"/>
        <v>1</v>
      </c>
    </row>
    <row r="110" spans="1:23" x14ac:dyDescent="0.3">
      <c r="A110" s="184"/>
      <c r="B110" s="194">
        <v>20</v>
      </c>
      <c r="C110" s="195">
        <v>44651</v>
      </c>
      <c r="D110" s="196" t="s">
        <v>23</v>
      </c>
      <c r="E110" s="222" t="s">
        <v>28</v>
      </c>
      <c r="F110" s="222">
        <v>340.3</v>
      </c>
      <c r="G110" s="222">
        <v>340</v>
      </c>
      <c r="H110" s="274">
        <v>0.3</v>
      </c>
      <c r="I110" s="197">
        <v>5000</v>
      </c>
      <c r="J110" s="268">
        <f t="shared" si="10"/>
        <v>1500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85250.000000000116</v>
      </c>
      <c r="K114" s="185"/>
      <c r="V114" s="183">
        <f>SUM(V91:V113)</f>
        <v>16</v>
      </c>
      <c r="W114" s="183">
        <f>SUM(W91:W113)</f>
        <v>4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6F00-000000000000}"/>
    <hyperlink ref="B83" r:id="rId2" xr:uid="{00000000-0004-0000-6F00-000001000000}"/>
    <hyperlink ref="M4:M5" location="'MARCH -2022'!A1" display="BULLION" xr:uid="{00000000-0004-0000-6F00-000002000000}"/>
    <hyperlink ref="B114" r:id="rId3" xr:uid="{00000000-0004-0000-6F00-000003000000}"/>
    <hyperlink ref="M8:M9" location="'MARCH -2022'!A86" display="BASE METAL" xr:uid="{00000000-0004-0000-6F00-000004000000}"/>
    <hyperlink ref="M1" location="MASTER!A1" display="Back" xr:uid="{00000000-0004-0000-6F00-000005000000}"/>
    <hyperlink ref="M6:M7" location="'MARCH -2022'!A54" display="ENERGY" xr:uid="{00000000-0004-0000-6F00-000006000000}"/>
  </hyperlinks>
  <pageMargins left="0" right="0" top="0" bottom="0" header="0" footer="0"/>
  <pageSetup paperSize="9" orientation="portrait" r:id="rId4"/>
  <drawing r:id="rId5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W115"/>
  <sheetViews>
    <sheetView topLeftCell="A34" zoomScaleNormal="100" workbookViewId="0">
      <selection activeCell="A54" sqref="A54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44652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38</v>
      </c>
      <c r="O4" s="348">
        <f>V52</f>
        <v>32</v>
      </c>
      <c r="P4" s="355">
        <f>W52</f>
        <v>4</v>
      </c>
      <c r="Q4" s="356">
        <v>0</v>
      </c>
      <c r="R4" s="343">
        <f>O4/N4</f>
        <v>0.84210526315789469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44652</v>
      </c>
      <c r="D6" s="192" t="s">
        <v>23</v>
      </c>
      <c r="E6" s="192" t="s">
        <v>24</v>
      </c>
      <c r="F6" s="193">
        <v>51920</v>
      </c>
      <c r="G6" s="193">
        <v>51720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COUNT(C60:C82)</f>
        <v>19</v>
      </c>
      <c r="O6" s="348">
        <f>V83</f>
        <v>17</v>
      </c>
      <c r="P6" s="348">
        <f>W83</f>
        <v>2</v>
      </c>
      <c r="Q6" s="349">
        <f>N6-O6-P6</f>
        <v>0</v>
      </c>
      <c r="R6" s="345">
        <f t="shared" ref="R6" si="0">O6/N6</f>
        <v>0.89473684210526316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44652</v>
      </c>
      <c r="D7" s="196" t="s">
        <v>23</v>
      </c>
      <c r="E7" s="196" t="s">
        <v>22</v>
      </c>
      <c r="F7" s="197">
        <v>67200</v>
      </c>
      <c r="G7" s="197">
        <v>66800</v>
      </c>
      <c r="H7" s="196">
        <v>400</v>
      </c>
      <c r="I7" s="197">
        <v>30</v>
      </c>
      <c r="J7" s="268">
        <f t="shared" ref="J7:J51" si="1">H7*I7</f>
        <v>12000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44655</v>
      </c>
      <c r="D8" s="196" t="s">
        <v>23</v>
      </c>
      <c r="E8" s="196" t="s">
        <v>24</v>
      </c>
      <c r="F8" s="197">
        <v>51490</v>
      </c>
      <c r="G8" s="197">
        <v>51450</v>
      </c>
      <c r="H8" s="196">
        <v>40</v>
      </c>
      <c r="I8" s="197">
        <v>100</v>
      </c>
      <c r="J8" s="268">
        <f t="shared" si="1"/>
        <v>4000</v>
      </c>
      <c r="K8" s="185"/>
      <c r="M8" s="362" t="s">
        <v>877</v>
      </c>
      <c r="N8" s="347">
        <f>COUNT(C91:C113)</f>
        <v>20</v>
      </c>
      <c r="O8" s="348">
        <f>V114</f>
        <v>18</v>
      </c>
      <c r="P8" s="348">
        <f>W114</f>
        <v>2</v>
      </c>
      <c r="Q8" s="349">
        <f>N8-O8-P8</f>
        <v>0</v>
      </c>
      <c r="R8" s="345">
        <f t="shared" ref="R8" si="4">O8/N8</f>
        <v>0.9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44655</v>
      </c>
      <c r="D9" s="196" t="s">
        <v>23</v>
      </c>
      <c r="E9" s="196" t="s">
        <v>22</v>
      </c>
      <c r="F9" s="197">
        <v>66800</v>
      </c>
      <c r="G9" s="197">
        <v>66635</v>
      </c>
      <c r="H9" s="196">
        <f>66800-66635</f>
        <v>165</v>
      </c>
      <c r="I9" s="197">
        <v>30</v>
      </c>
      <c r="J9" s="268">
        <f t="shared" si="1"/>
        <v>4950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44656</v>
      </c>
      <c r="D10" s="196" t="s">
        <v>23</v>
      </c>
      <c r="E10" s="196" t="s">
        <v>24</v>
      </c>
      <c r="F10" s="197">
        <v>51520</v>
      </c>
      <c r="G10" s="197">
        <v>51380</v>
      </c>
      <c r="H10" s="196">
        <f>51520-51380</f>
        <v>140</v>
      </c>
      <c r="I10" s="197">
        <v>100</v>
      </c>
      <c r="J10" s="268">
        <f t="shared" si="1"/>
        <v>14000</v>
      </c>
      <c r="K10" s="185"/>
      <c r="M10" s="319" t="s">
        <v>300</v>
      </c>
      <c r="N10" s="321">
        <f>SUM(N4:N9)</f>
        <v>77</v>
      </c>
      <c r="O10" s="321">
        <f>SUM(O4:O9)</f>
        <v>67</v>
      </c>
      <c r="P10" s="321">
        <f>SUM(P4:P9)</f>
        <v>8</v>
      </c>
      <c r="Q10" s="341">
        <f>SUM(Q4:Q9)</f>
        <v>0</v>
      </c>
      <c r="R10" s="343">
        <f t="shared" ref="R10" si="5">O10/N10</f>
        <v>0.87012987012987009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44656</v>
      </c>
      <c r="D11" s="196" t="s">
        <v>23</v>
      </c>
      <c r="E11" s="196" t="s">
        <v>22</v>
      </c>
      <c r="F11" s="197">
        <v>66650</v>
      </c>
      <c r="G11" s="197">
        <v>66410</v>
      </c>
      <c r="H11" s="196">
        <f>66650-66410</f>
        <v>240</v>
      </c>
      <c r="I11" s="197">
        <v>30</v>
      </c>
      <c r="J11" s="268">
        <f t="shared" si="1"/>
        <v>7200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44657</v>
      </c>
      <c r="D12" s="196" t="s">
        <v>23</v>
      </c>
      <c r="E12" s="196" t="s">
        <v>24</v>
      </c>
      <c r="F12" s="197">
        <v>51700</v>
      </c>
      <c r="G12" s="197">
        <v>51540</v>
      </c>
      <c r="H12" s="196">
        <f>51700-51540</f>
        <v>160</v>
      </c>
      <c r="I12" s="197">
        <v>100</v>
      </c>
      <c r="J12" s="268">
        <f t="shared" si="1"/>
        <v>16000</v>
      </c>
      <c r="K12" s="185"/>
      <c r="M12" s="323" t="s">
        <v>878</v>
      </c>
      <c r="N12" s="324"/>
      <c r="O12" s="325"/>
      <c r="P12" s="332">
        <f>R10</f>
        <v>0.87012987012987009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44657</v>
      </c>
      <c r="D13" s="196" t="s">
        <v>23</v>
      </c>
      <c r="E13" s="196" t="s">
        <v>22</v>
      </c>
      <c r="F13" s="197">
        <v>66300</v>
      </c>
      <c r="G13" s="197">
        <v>65950</v>
      </c>
      <c r="H13" s="196">
        <f>66300-65950</f>
        <v>350</v>
      </c>
      <c r="I13" s="197">
        <v>30</v>
      </c>
      <c r="J13" s="268">
        <f t="shared" si="1"/>
        <v>10500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44658</v>
      </c>
      <c r="D14" s="196" t="s">
        <v>23</v>
      </c>
      <c r="E14" s="196" t="s">
        <v>24</v>
      </c>
      <c r="F14" s="197">
        <v>51770</v>
      </c>
      <c r="G14" s="197">
        <v>51685</v>
      </c>
      <c r="H14" s="196">
        <f>51770-51685</f>
        <v>85</v>
      </c>
      <c r="I14" s="197">
        <v>100</v>
      </c>
      <c r="J14" s="268">
        <f t="shared" si="1"/>
        <v>8500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44658</v>
      </c>
      <c r="D15" s="196" t="s">
        <v>23</v>
      </c>
      <c r="E15" s="196" t="s">
        <v>22</v>
      </c>
      <c r="F15" s="197">
        <v>66600</v>
      </c>
      <c r="G15" s="197">
        <v>66344</v>
      </c>
      <c r="H15" s="196">
        <f>66600-66344</f>
        <v>256</v>
      </c>
      <c r="I15" s="197">
        <v>30</v>
      </c>
      <c r="J15" s="268">
        <f t="shared" si="1"/>
        <v>7680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44659</v>
      </c>
      <c r="D16" s="196" t="s">
        <v>23</v>
      </c>
      <c r="E16" s="196" t="s">
        <v>24</v>
      </c>
      <c r="F16" s="197">
        <v>51850</v>
      </c>
      <c r="G16" s="197">
        <v>51757</v>
      </c>
      <c r="H16" s="196">
        <f>51850-51757</f>
        <v>93</v>
      </c>
      <c r="I16" s="197">
        <v>100</v>
      </c>
      <c r="J16" s="268">
        <f t="shared" si="1"/>
        <v>9300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44659</v>
      </c>
      <c r="D17" s="196" t="s">
        <v>23</v>
      </c>
      <c r="E17" s="196" t="s">
        <v>22</v>
      </c>
      <c r="F17" s="197">
        <v>66950</v>
      </c>
      <c r="G17" s="197">
        <v>66450</v>
      </c>
      <c r="H17" s="196">
        <f>66950-66450</f>
        <v>500</v>
      </c>
      <c r="I17" s="197">
        <v>30</v>
      </c>
      <c r="J17" s="268">
        <f t="shared" si="1"/>
        <v>15000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44662</v>
      </c>
      <c r="D18" s="196" t="s">
        <v>23</v>
      </c>
      <c r="E18" s="196" t="s">
        <v>24</v>
      </c>
      <c r="F18" s="197">
        <v>52520</v>
      </c>
      <c r="G18" s="197">
        <v>52380</v>
      </c>
      <c r="H18" s="196">
        <v>140</v>
      </c>
      <c r="I18" s="197">
        <v>100</v>
      </c>
      <c r="J18" s="268">
        <f t="shared" si="1"/>
        <v>14000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44662</v>
      </c>
      <c r="D19" s="196" t="s">
        <v>23</v>
      </c>
      <c r="E19" s="196" t="s">
        <v>22</v>
      </c>
      <c r="F19" s="197">
        <v>67750</v>
      </c>
      <c r="G19" s="197">
        <v>67550</v>
      </c>
      <c r="H19" s="196">
        <f>67750-67550</f>
        <v>200</v>
      </c>
      <c r="I19" s="197">
        <v>30</v>
      </c>
      <c r="J19" s="268">
        <f t="shared" si="1"/>
        <v>6000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44663</v>
      </c>
      <c r="D20" s="196" t="s">
        <v>16</v>
      </c>
      <c r="E20" s="196" t="s">
        <v>24</v>
      </c>
      <c r="F20" s="197">
        <v>52500</v>
      </c>
      <c r="G20" s="197">
        <v>52700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44663</v>
      </c>
      <c r="D21" s="196" t="s">
        <v>16</v>
      </c>
      <c r="E21" s="196" t="s">
        <v>22</v>
      </c>
      <c r="F21" s="197">
        <v>67800</v>
      </c>
      <c r="G21" s="197">
        <v>68400</v>
      </c>
      <c r="H21" s="196">
        <f>68400-67800</f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44664</v>
      </c>
      <c r="D22" s="196" t="s">
        <v>23</v>
      </c>
      <c r="E22" s="196" t="s">
        <v>24</v>
      </c>
      <c r="F22" s="197">
        <v>53040</v>
      </c>
      <c r="G22" s="197">
        <v>53140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44664</v>
      </c>
      <c r="D23" s="196" t="s">
        <v>23</v>
      </c>
      <c r="E23" s="196" t="s">
        <v>22</v>
      </c>
      <c r="F23" s="197">
        <v>69350</v>
      </c>
      <c r="G23" s="197">
        <v>69105</v>
      </c>
      <c r="H23" s="196">
        <f>69350-69105</f>
        <v>245</v>
      </c>
      <c r="I23" s="197">
        <v>30</v>
      </c>
      <c r="J23" s="268">
        <f t="shared" si="1"/>
        <v>7350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44669</v>
      </c>
      <c r="D24" s="196" t="s">
        <v>23</v>
      </c>
      <c r="E24" s="196" t="s">
        <v>24</v>
      </c>
      <c r="F24" s="197">
        <v>53530</v>
      </c>
      <c r="G24" s="197">
        <v>53430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44669</v>
      </c>
      <c r="D25" s="196" t="s">
        <v>23</v>
      </c>
      <c r="E25" s="196" t="s">
        <v>22</v>
      </c>
      <c r="F25" s="197">
        <v>70050</v>
      </c>
      <c r="G25" s="197">
        <v>69950</v>
      </c>
      <c r="H25" s="196">
        <f>70050-69950</f>
        <v>100</v>
      </c>
      <c r="I25" s="197">
        <v>30</v>
      </c>
      <c r="J25" s="268">
        <f t="shared" si="1"/>
        <v>3000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44670</v>
      </c>
      <c r="D26" s="196" t="s">
        <v>23</v>
      </c>
      <c r="E26" s="196" t="s">
        <v>24</v>
      </c>
      <c r="F26" s="197">
        <v>53260</v>
      </c>
      <c r="G26" s="197">
        <v>53190</v>
      </c>
      <c r="H26" s="196">
        <f>53260-53190</f>
        <v>70</v>
      </c>
      <c r="I26" s="197">
        <v>100</v>
      </c>
      <c r="J26" s="268">
        <f t="shared" si="1"/>
        <v>7000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44670</v>
      </c>
      <c r="D27" s="196" t="s">
        <v>23</v>
      </c>
      <c r="E27" s="196" t="s">
        <v>22</v>
      </c>
      <c r="F27" s="197">
        <v>70050</v>
      </c>
      <c r="G27" s="197">
        <v>69806</v>
      </c>
      <c r="H27" s="196">
        <f>70050-69850</f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44671</v>
      </c>
      <c r="D28" s="196" t="s">
        <v>23</v>
      </c>
      <c r="E28" s="196" t="s">
        <v>24</v>
      </c>
      <c r="F28" s="197">
        <v>52550</v>
      </c>
      <c r="G28" s="197">
        <v>52450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44671</v>
      </c>
      <c r="D29" s="196" t="s">
        <v>23</v>
      </c>
      <c r="E29" s="196" t="s">
        <v>22</v>
      </c>
      <c r="F29" s="197">
        <v>68200</v>
      </c>
      <c r="G29" s="197">
        <v>68500</v>
      </c>
      <c r="H29" s="196">
        <v>-300</v>
      </c>
      <c r="I29" s="197">
        <v>30</v>
      </c>
      <c r="J29" s="268">
        <f t="shared" si="1"/>
        <v>-9000</v>
      </c>
      <c r="K29" s="185"/>
      <c r="V29" s="183">
        <f t="shared" si="2"/>
        <v>0</v>
      </c>
      <c r="W29" s="183">
        <f t="shared" si="3"/>
        <v>1</v>
      </c>
    </row>
    <row r="30" spans="1:23" x14ac:dyDescent="0.3">
      <c r="A30" s="184"/>
      <c r="B30" s="194">
        <v>25</v>
      </c>
      <c r="C30" s="195">
        <v>44672</v>
      </c>
      <c r="D30" s="196" t="s">
        <v>23</v>
      </c>
      <c r="E30" s="196" t="s">
        <v>24</v>
      </c>
      <c r="F30" s="197">
        <v>52300</v>
      </c>
      <c r="G30" s="197">
        <v>52155</v>
      </c>
      <c r="H30" s="196">
        <f>52300-52155</f>
        <v>145</v>
      </c>
      <c r="I30" s="197">
        <v>100</v>
      </c>
      <c r="J30" s="268">
        <f t="shared" si="1"/>
        <v>14500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44672</v>
      </c>
      <c r="D31" s="196" t="s">
        <v>23</v>
      </c>
      <c r="E31" s="196" t="s">
        <v>22</v>
      </c>
      <c r="F31" s="197">
        <v>67450</v>
      </c>
      <c r="G31" s="197">
        <v>67150</v>
      </c>
      <c r="H31" s="196">
        <v>300</v>
      </c>
      <c r="I31" s="197">
        <v>30</v>
      </c>
      <c r="J31" s="268">
        <f t="shared" si="1"/>
        <v>9000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44673</v>
      </c>
      <c r="D32" s="196" t="s">
        <v>23</v>
      </c>
      <c r="E32" s="196" t="s">
        <v>24</v>
      </c>
      <c r="F32" s="197">
        <v>52450</v>
      </c>
      <c r="G32" s="197">
        <v>52250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44673</v>
      </c>
      <c r="D33" s="196" t="s">
        <v>23</v>
      </c>
      <c r="E33" s="196" t="s">
        <v>22</v>
      </c>
      <c r="F33" s="197">
        <v>66500</v>
      </c>
      <c r="G33" s="197">
        <v>66110</v>
      </c>
      <c r="H33" s="196">
        <v>390</v>
      </c>
      <c r="I33" s="197">
        <v>30</v>
      </c>
      <c r="J33" s="268">
        <f t="shared" si="1"/>
        <v>11700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44676</v>
      </c>
      <c r="D34" s="196" t="s">
        <v>23</v>
      </c>
      <c r="E34" s="196" t="s">
        <v>24</v>
      </c>
      <c r="F34" s="197">
        <v>51950</v>
      </c>
      <c r="G34" s="197">
        <v>51750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44676</v>
      </c>
      <c r="D35" s="196" t="s">
        <v>23</v>
      </c>
      <c r="E35" s="196" t="s">
        <v>22</v>
      </c>
      <c r="F35" s="197">
        <v>65350</v>
      </c>
      <c r="G35" s="197">
        <v>64750</v>
      </c>
      <c r="H35" s="196">
        <v>600</v>
      </c>
      <c r="I35" s="197">
        <v>30</v>
      </c>
      <c r="J35" s="268">
        <f t="shared" si="1"/>
        <v>18000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44677</v>
      </c>
      <c r="D36" s="196" t="s">
        <v>23</v>
      </c>
      <c r="E36" s="196" t="s">
        <v>24</v>
      </c>
      <c r="F36" s="197">
        <v>51600</v>
      </c>
      <c r="G36" s="197">
        <v>51700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44677</v>
      </c>
      <c r="D37" s="196" t="s">
        <v>23</v>
      </c>
      <c r="E37" s="196" t="s">
        <v>22</v>
      </c>
      <c r="F37" s="197">
        <v>65400</v>
      </c>
      <c r="G37" s="197">
        <v>65100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44678</v>
      </c>
      <c r="D38" s="196" t="s">
        <v>23</v>
      </c>
      <c r="E38" s="196" t="s">
        <v>24</v>
      </c>
      <c r="F38" s="197">
        <v>51370</v>
      </c>
      <c r="G38" s="197">
        <v>51320</v>
      </c>
      <c r="H38" s="196">
        <v>50</v>
      </c>
      <c r="I38" s="197">
        <v>100</v>
      </c>
      <c r="J38" s="268">
        <f t="shared" si="1"/>
        <v>5000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44678</v>
      </c>
      <c r="D39" s="196" t="s">
        <v>23</v>
      </c>
      <c r="E39" s="196" t="s">
        <v>22</v>
      </c>
      <c r="F39" s="197">
        <v>64900</v>
      </c>
      <c r="G39" s="197">
        <v>65200</v>
      </c>
      <c r="H39" s="196">
        <v>-300</v>
      </c>
      <c r="I39" s="197">
        <v>30</v>
      </c>
      <c r="J39" s="268">
        <f t="shared" si="1"/>
        <v>-9000</v>
      </c>
      <c r="K39" s="185"/>
      <c r="V39" s="183">
        <f t="shared" si="2"/>
        <v>0</v>
      </c>
      <c r="W39" s="183">
        <f t="shared" si="6"/>
        <v>1</v>
      </c>
    </row>
    <row r="40" spans="1:23" x14ac:dyDescent="0.3">
      <c r="A40" s="184"/>
      <c r="B40" s="194">
        <v>35</v>
      </c>
      <c r="C40" s="195">
        <v>44679</v>
      </c>
      <c r="D40" s="196" t="s">
        <v>23</v>
      </c>
      <c r="E40" s="196" t="s">
        <v>24</v>
      </c>
      <c r="F40" s="197">
        <v>51150</v>
      </c>
      <c r="G40" s="197">
        <v>51100</v>
      </c>
      <c r="H40" s="196">
        <v>50</v>
      </c>
      <c r="I40" s="197">
        <v>100</v>
      </c>
      <c r="J40" s="268">
        <f t="shared" si="1"/>
        <v>5000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44679</v>
      </c>
      <c r="D41" s="196" t="s">
        <v>23</v>
      </c>
      <c r="E41" s="196" t="s">
        <v>22</v>
      </c>
      <c r="F41" s="197">
        <v>64200</v>
      </c>
      <c r="G41" s="197">
        <v>63900</v>
      </c>
      <c r="H41" s="196">
        <f>64200-63900</f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44680</v>
      </c>
      <c r="D42" s="196" t="s">
        <v>23</v>
      </c>
      <c r="E42" s="196" t="s">
        <v>24</v>
      </c>
      <c r="F42" s="197">
        <v>51750</v>
      </c>
      <c r="G42" s="197">
        <v>51700</v>
      </c>
      <c r="H42" s="196">
        <v>50</v>
      </c>
      <c r="I42" s="197">
        <v>100</v>
      </c>
      <c r="J42" s="268">
        <f t="shared" si="1"/>
        <v>5000</v>
      </c>
      <c r="K42" s="185"/>
    </row>
    <row r="43" spans="1:23" x14ac:dyDescent="0.3">
      <c r="A43" s="184"/>
      <c r="B43" s="194">
        <v>38</v>
      </c>
      <c r="C43" s="195">
        <v>44680</v>
      </c>
      <c r="D43" s="196" t="s">
        <v>23</v>
      </c>
      <c r="E43" s="196" t="s">
        <v>22</v>
      </c>
      <c r="F43" s="197">
        <v>64600</v>
      </c>
      <c r="G43" s="197">
        <v>64100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327680</v>
      </c>
      <c r="K52" s="185"/>
      <c r="V52" s="183">
        <f>SUM(V6:V51)</f>
        <v>32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44652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44652</v>
      </c>
      <c r="D60" s="192" t="s">
        <v>23</v>
      </c>
      <c r="E60" s="192" t="s">
        <v>25</v>
      </c>
      <c r="F60" s="193">
        <v>7640</v>
      </c>
      <c r="G60" s="193">
        <v>7580</v>
      </c>
      <c r="H60" s="192">
        <f>7580-7640</f>
        <v>-60</v>
      </c>
      <c r="I60" s="193">
        <v>100</v>
      </c>
      <c r="J60" s="267">
        <f t="shared" ref="J60:J82" si="7">I60*H60</f>
        <v>-6000</v>
      </c>
      <c r="K60" s="185"/>
      <c r="V60" s="183">
        <f>IF($J60&gt;0,1,0)</f>
        <v>0</v>
      </c>
      <c r="W60" s="183">
        <f>IF($J60&lt;0,1,0)</f>
        <v>1</v>
      </c>
    </row>
    <row r="61" spans="1:23" x14ac:dyDescent="0.3">
      <c r="A61" s="184"/>
      <c r="B61" s="194">
        <v>2</v>
      </c>
      <c r="C61" s="195">
        <v>44655</v>
      </c>
      <c r="D61" s="196" t="s">
        <v>23</v>
      </c>
      <c r="E61" s="196" t="s">
        <v>25</v>
      </c>
      <c r="F61" s="197">
        <v>7465</v>
      </c>
      <c r="G61" s="197">
        <v>7438</v>
      </c>
      <c r="H61" s="196">
        <f>7465-7438</f>
        <v>27</v>
      </c>
      <c r="I61" s="197">
        <v>100</v>
      </c>
      <c r="J61" s="268">
        <f t="shared" si="7"/>
        <v>2700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44656</v>
      </c>
      <c r="D62" s="196" t="s">
        <v>23</v>
      </c>
      <c r="E62" s="196" t="s">
        <v>25</v>
      </c>
      <c r="F62" s="197">
        <v>7830</v>
      </c>
      <c r="G62" s="197">
        <v>7815</v>
      </c>
      <c r="H62" s="196">
        <v>15</v>
      </c>
      <c r="I62" s="197">
        <v>100</v>
      </c>
      <c r="J62" s="268">
        <f t="shared" si="7"/>
        <v>1500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4</v>
      </c>
      <c r="C63" s="195">
        <v>44657</v>
      </c>
      <c r="D63" s="196" t="s">
        <v>23</v>
      </c>
      <c r="E63" s="196" t="s">
        <v>25</v>
      </c>
      <c r="F63" s="197">
        <v>7860</v>
      </c>
      <c r="G63" s="197">
        <v>7800</v>
      </c>
      <c r="H63" s="196">
        <v>60</v>
      </c>
      <c r="I63" s="197">
        <v>100</v>
      </c>
      <c r="J63" s="268">
        <f t="shared" si="7"/>
        <v>6000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44658</v>
      </c>
      <c r="D64" s="196" t="s">
        <v>23</v>
      </c>
      <c r="E64" s="196" t="s">
        <v>25</v>
      </c>
      <c r="F64" s="197">
        <v>7440</v>
      </c>
      <c r="G64" s="197">
        <v>7400</v>
      </c>
      <c r="H64" s="196">
        <v>40</v>
      </c>
      <c r="I64" s="197">
        <v>100</v>
      </c>
      <c r="J64" s="268">
        <f t="shared" si="7"/>
        <v>4000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44659</v>
      </c>
      <c r="D65" s="196" t="s">
        <v>23</v>
      </c>
      <c r="E65" s="196" t="s">
        <v>25</v>
      </c>
      <c r="F65" s="197">
        <v>7390</v>
      </c>
      <c r="G65" s="197">
        <v>7330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44662</v>
      </c>
      <c r="D66" s="196" t="s">
        <v>23</v>
      </c>
      <c r="E66" s="196" t="s">
        <v>25</v>
      </c>
      <c r="F66" s="222">
        <v>7290</v>
      </c>
      <c r="G66" s="222">
        <v>7230</v>
      </c>
      <c r="H66" s="196">
        <f>7290-7230</f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44663</v>
      </c>
      <c r="D67" s="196" t="s">
        <v>23</v>
      </c>
      <c r="E67" s="196" t="s">
        <v>25</v>
      </c>
      <c r="F67" s="197">
        <v>7390</v>
      </c>
      <c r="G67" s="197">
        <v>7420</v>
      </c>
      <c r="H67" s="196">
        <v>-30</v>
      </c>
      <c r="I67" s="197">
        <v>100</v>
      </c>
      <c r="J67" s="268">
        <f t="shared" si="7"/>
        <v>-3000</v>
      </c>
      <c r="K67" s="185"/>
      <c r="V67" s="183">
        <f t="shared" si="8"/>
        <v>0</v>
      </c>
      <c r="W67" s="183">
        <f t="shared" si="9"/>
        <v>1</v>
      </c>
    </row>
    <row r="68" spans="1:23" x14ac:dyDescent="0.3">
      <c r="A68" s="184"/>
      <c r="B68" s="194">
        <v>9</v>
      </c>
      <c r="C68" s="195">
        <v>44664</v>
      </c>
      <c r="D68" s="196" t="s">
        <v>16</v>
      </c>
      <c r="E68" s="196" t="s">
        <v>25</v>
      </c>
      <c r="F68" s="197">
        <v>7710</v>
      </c>
      <c r="G68" s="197">
        <v>7770</v>
      </c>
      <c r="H68" s="196"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44669</v>
      </c>
      <c r="D69" s="196" t="s">
        <v>23</v>
      </c>
      <c r="E69" s="196" t="s">
        <v>25</v>
      </c>
      <c r="F69" s="197">
        <v>8120</v>
      </c>
      <c r="G69" s="197">
        <v>8100</v>
      </c>
      <c r="H69" s="196">
        <v>20</v>
      </c>
      <c r="I69" s="197">
        <v>100</v>
      </c>
      <c r="J69" s="268">
        <f t="shared" si="7"/>
        <v>2000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11</v>
      </c>
      <c r="C70" s="195">
        <v>44670</v>
      </c>
      <c r="D70" s="196" t="s">
        <v>23</v>
      </c>
      <c r="E70" s="196" t="s">
        <v>25</v>
      </c>
      <c r="F70" s="197">
        <v>8120</v>
      </c>
      <c r="G70" s="197">
        <v>8060</v>
      </c>
      <c r="H70" s="196">
        <f>8120-8060</f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44671</v>
      </c>
      <c r="D71" s="196" t="s">
        <v>23</v>
      </c>
      <c r="E71" s="196" t="s">
        <v>25</v>
      </c>
      <c r="F71" s="197">
        <v>7895</v>
      </c>
      <c r="G71" s="197">
        <v>7855</v>
      </c>
      <c r="H71" s="196">
        <v>40</v>
      </c>
      <c r="I71" s="197">
        <v>100</v>
      </c>
      <c r="J71" s="268">
        <f t="shared" si="7"/>
        <v>4000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13</v>
      </c>
      <c r="C72" s="195">
        <v>44672</v>
      </c>
      <c r="D72" s="196" t="s">
        <v>23</v>
      </c>
      <c r="E72" s="196" t="s">
        <v>25</v>
      </c>
      <c r="F72" s="197">
        <v>7875</v>
      </c>
      <c r="G72" s="197">
        <v>7815</v>
      </c>
      <c r="H72" s="196"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44673</v>
      </c>
      <c r="D73" s="196" t="s">
        <v>23</v>
      </c>
      <c r="E73" s="196" t="s">
        <v>25</v>
      </c>
      <c r="F73" s="197">
        <v>7820</v>
      </c>
      <c r="G73" s="197">
        <v>7784</v>
      </c>
      <c r="H73" s="196">
        <f>7820-7784</f>
        <v>36</v>
      </c>
      <c r="I73" s="197">
        <v>100</v>
      </c>
      <c r="J73" s="268">
        <f t="shared" si="7"/>
        <v>3600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44676</v>
      </c>
      <c r="D74" s="196" t="s">
        <v>16</v>
      </c>
      <c r="E74" s="196" t="s">
        <v>25</v>
      </c>
      <c r="F74" s="197">
        <v>7520</v>
      </c>
      <c r="G74" s="197">
        <v>7550</v>
      </c>
      <c r="H74" s="196">
        <v>30</v>
      </c>
      <c r="I74" s="197">
        <v>100</v>
      </c>
      <c r="J74" s="268">
        <f t="shared" si="7"/>
        <v>3000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16</v>
      </c>
      <c r="C75" s="195">
        <v>44677</v>
      </c>
      <c r="D75" s="196" t="s">
        <v>16</v>
      </c>
      <c r="E75" s="196" t="s">
        <v>25</v>
      </c>
      <c r="F75" s="197">
        <v>7545</v>
      </c>
      <c r="G75" s="197">
        <v>7605</v>
      </c>
      <c r="H75" s="196">
        <v>60</v>
      </c>
      <c r="I75" s="197">
        <v>100</v>
      </c>
      <c r="J75" s="268">
        <f t="shared" si="7"/>
        <v>6000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44678</v>
      </c>
      <c r="D76" s="196" t="s">
        <v>23</v>
      </c>
      <c r="E76" s="196" t="s">
        <v>25</v>
      </c>
      <c r="F76" s="197">
        <v>7850</v>
      </c>
      <c r="G76" s="197">
        <v>7790</v>
      </c>
      <c r="H76" s="196">
        <f>7850-7790</f>
        <v>60</v>
      </c>
      <c r="I76" s="197">
        <v>100</v>
      </c>
      <c r="J76" s="268">
        <f t="shared" si="7"/>
        <v>6000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255"/>
      <c r="B77" s="194">
        <v>18</v>
      </c>
      <c r="C77" s="195">
        <v>44679</v>
      </c>
      <c r="D77" s="196" t="s">
        <v>23</v>
      </c>
      <c r="E77" s="196" t="s">
        <v>25</v>
      </c>
      <c r="F77" s="197">
        <v>7870</v>
      </c>
      <c r="G77" s="197">
        <v>7810</v>
      </c>
      <c r="H77" s="196">
        <v>60</v>
      </c>
      <c r="I77" s="197">
        <v>100</v>
      </c>
      <c r="J77" s="268">
        <f t="shared" si="7"/>
        <v>6000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44680</v>
      </c>
      <c r="D78" s="196" t="s">
        <v>23</v>
      </c>
      <c r="E78" s="196" t="s">
        <v>25</v>
      </c>
      <c r="F78" s="197">
        <v>8150</v>
      </c>
      <c r="G78" s="197">
        <v>8120</v>
      </c>
      <c r="H78" s="196">
        <v>30</v>
      </c>
      <c r="I78" s="197">
        <v>100</v>
      </c>
      <c r="J78" s="268">
        <f t="shared" si="7"/>
        <v>3000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68800</v>
      </c>
      <c r="K83" s="185"/>
      <c r="V83" s="183">
        <f>SUM(V60:V82)</f>
        <v>17</v>
      </c>
      <c r="W83" s="183">
        <f>SUM(W60:W82)</f>
        <v>2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44652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44652</v>
      </c>
      <c r="D91" s="216" t="s">
        <v>23</v>
      </c>
      <c r="E91" s="256" t="s">
        <v>28</v>
      </c>
      <c r="F91" s="256">
        <v>349.7</v>
      </c>
      <c r="G91" s="256">
        <v>348.7</v>
      </c>
      <c r="H91" s="256">
        <v>1</v>
      </c>
      <c r="I91" s="218">
        <v>5000</v>
      </c>
      <c r="J91" s="273">
        <f>I91*H91</f>
        <v>5000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44655</v>
      </c>
      <c r="D92" s="196" t="s">
        <v>16</v>
      </c>
      <c r="E92" s="222" t="s">
        <v>28</v>
      </c>
      <c r="F92" s="222">
        <v>360</v>
      </c>
      <c r="G92" s="222">
        <v>362</v>
      </c>
      <c r="H92" s="222">
        <v>2</v>
      </c>
      <c r="I92" s="197">
        <v>5000</v>
      </c>
      <c r="J92" s="268">
        <f t="shared" ref="J92:J113" si="10">I92*H92</f>
        <v>10000</v>
      </c>
      <c r="K92" s="185"/>
      <c r="V92" s="183">
        <f t="shared" ref="V92:V113" si="11">IF($J92&gt;0,1,0)</f>
        <v>1</v>
      </c>
      <c r="W92" s="183">
        <f t="shared" ref="W92:W113" si="12">IF($J92&lt;0,1,0)</f>
        <v>0</v>
      </c>
    </row>
    <row r="93" spans="1:23" x14ac:dyDescent="0.3">
      <c r="A93" s="184"/>
      <c r="B93" s="194">
        <v>3</v>
      </c>
      <c r="C93" s="195">
        <v>44656</v>
      </c>
      <c r="D93" s="196" t="s">
        <v>23</v>
      </c>
      <c r="E93" s="222" t="s">
        <v>28</v>
      </c>
      <c r="F93" s="222">
        <v>355.5</v>
      </c>
      <c r="G93" s="222">
        <v>353.5</v>
      </c>
      <c r="H93" s="222">
        <v>2</v>
      </c>
      <c r="I93" s="197">
        <v>5000</v>
      </c>
      <c r="J93" s="268">
        <f t="shared" si="10"/>
        <v>10000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4</v>
      </c>
      <c r="C94" s="195">
        <v>44657</v>
      </c>
      <c r="D94" s="196" t="s">
        <v>23</v>
      </c>
      <c r="E94" s="222" t="s">
        <v>28</v>
      </c>
      <c r="F94" s="222">
        <v>355.5</v>
      </c>
      <c r="G94" s="222">
        <v>353.9</v>
      </c>
      <c r="H94" s="222">
        <f>355.5-353.9</f>
        <v>1.6000000000000227</v>
      </c>
      <c r="I94" s="197">
        <v>5000</v>
      </c>
      <c r="J94" s="268">
        <f t="shared" si="10"/>
        <v>8000.0000000001137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44658</v>
      </c>
      <c r="D95" s="196" t="s">
        <v>23</v>
      </c>
      <c r="E95" s="222" t="s">
        <v>28</v>
      </c>
      <c r="F95" s="222">
        <v>351.5</v>
      </c>
      <c r="G95" s="222">
        <v>351.1</v>
      </c>
      <c r="H95" s="222">
        <f>351.5-351.1</f>
        <v>0.39999999999997726</v>
      </c>
      <c r="I95" s="197">
        <v>5000</v>
      </c>
      <c r="J95" s="268">
        <f t="shared" si="10"/>
        <v>1999.9999999998863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44659</v>
      </c>
      <c r="D96" s="196" t="s">
        <v>23</v>
      </c>
      <c r="E96" s="222" t="s">
        <v>28</v>
      </c>
      <c r="F96" s="222">
        <v>355</v>
      </c>
      <c r="G96" s="222">
        <v>354.7</v>
      </c>
      <c r="H96" s="222">
        <f>355-354.7</f>
        <v>0.30000000000001137</v>
      </c>
      <c r="I96" s="197">
        <v>5000</v>
      </c>
      <c r="J96" s="268">
        <f t="shared" si="10"/>
        <v>1500.0000000000568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44662</v>
      </c>
      <c r="D97" s="196" t="s">
        <v>23</v>
      </c>
      <c r="E97" s="222" t="s">
        <v>28</v>
      </c>
      <c r="F97" s="222">
        <v>363</v>
      </c>
      <c r="G97" s="222">
        <v>361.5</v>
      </c>
      <c r="H97" s="274">
        <v>1.5</v>
      </c>
      <c r="I97" s="197">
        <v>5000</v>
      </c>
      <c r="J97" s="268">
        <f t="shared" si="10"/>
        <v>7500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8</v>
      </c>
      <c r="C98" s="195">
        <v>44663</v>
      </c>
      <c r="D98" s="196" t="s">
        <v>23</v>
      </c>
      <c r="E98" s="222" t="s">
        <v>28</v>
      </c>
      <c r="F98" s="222">
        <v>361.5</v>
      </c>
      <c r="G98" s="222">
        <v>360.5</v>
      </c>
      <c r="H98" s="222">
        <v>1</v>
      </c>
      <c r="I98" s="197">
        <v>5000</v>
      </c>
      <c r="J98" s="268">
        <f t="shared" si="10"/>
        <v>5000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44664</v>
      </c>
      <c r="D99" s="196" t="s">
        <v>23</v>
      </c>
      <c r="E99" s="222" t="s">
        <v>28</v>
      </c>
      <c r="F99" s="222">
        <v>375.5</v>
      </c>
      <c r="G99" s="222">
        <v>373.5</v>
      </c>
      <c r="H99" s="222">
        <v>2</v>
      </c>
      <c r="I99" s="197">
        <v>5000</v>
      </c>
      <c r="J99" s="268">
        <f t="shared" si="10"/>
        <v>10000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44669</v>
      </c>
      <c r="D100" s="196" t="s">
        <v>23</v>
      </c>
      <c r="E100" s="222" t="s">
        <v>28</v>
      </c>
      <c r="F100" s="222">
        <v>374.5</v>
      </c>
      <c r="G100" s="222">
        <v>375.6</v>
      </c>
      <c r="H100" s="222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44670</v>
      </c>
      <c r="D101" s="196" t="s">
        <v>23</v>
      </c>
      <c r="E101" s="222" t="s">
        <v>28</v>
      </c>
      <c r="F101" s="222">
        <v>377.5</v>
      </c>
      <c r="G101" s="222">
        <v>375.5</v>
      </c>
      <c r="H101" s="274">
        <v>2</v>
      </c>
      <c r="I101" s="197">
        <v>5000</v>
      </c>
      <c r="J101" s="268">
        <f t="shared" si="10"/>
        <v>10000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12</v>
      </c>
      <c r="C102" s="195">
        <v>44671</v>
      </c>
      <c r="D102" s="196" t="s">
        <v>23</v>
      </c>
      <c r="E102" s="222" t="s">
        <v>28</v>
      </c>
      <c r="F102" s="222">
        <v>374.9</v>
      </c>
      <c r="G102" s="222">
        <v>372.9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44672</v>
      </c>
      <c r="D103" s="196" t="s">
        <v>16</v>
      </c>
      <c r="E103" s="222" t="s">
        <v>28</v>
      </c>
      <c r="F103" s="222">
        <v>370</v>
      </c>
      <c r="G103" s="222">
        <v>372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44673</v>
      </c>
      <c r="D104" s="196" t="s">
        <v>23</v>
      </c>
      <c r="E104" s="222" t="s">
        <v>28</v>
      </c>
      <c r="F104" s="222">
        <v>376</v>
      </c>
      <c r="G104" s="222">
        <v>374.4</v>
      </c>
      <c r="H104" s="274">
        <f>376-374.4</f>
        <v>1.6000000000000227</v>
      </c>
      <c r="I104" s="197">
        <v>5000</v>
      </c>
      <c r="J104" s="268">
        <f t="shared" si="10"/>
        <v>8000.0000000001137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15</v>
      </c>
      <c r="C105" s="195">
        <v>44676</v>
      </c>
      <c r="D105" s="196" t="s">
        <v>23</v>
      </c>
      <c r="E105" s="222" t="s">
        <v>28</v>
      </c>
      <c r="F105" s="223">
        <v>365</v>
      </c>
      <c r="G105" s="222">
        <v>364</v>
      </c>
      <c r="H105" s="274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44676</v>
      </c>
      <c r="D106" s="196" t="s">
        <v>23</v>
      </c>
      <c r="E106" s="222" t="s">
        <v>28</v>
      </c>
      <c r="F106" s="222">
        <v>365</v>
      </c>
      <c r="G106" s="222">
        <v>364</v>
      </c>
      <c r="H106" s="274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44677</v>
      </c>
      <c r="D107" s="196" t="s">
        <v>23</v>
      </c>
      <c r="E107" s="222" t="s">
        <v>28</v>
      </c>
      <c r="F107" s="222">
        <v>358</v>
      </c>
      <c r="G107" s="222">
        <v>359</v>
      </c>
      <c r="H107" s="274">
        <v>-1</v>
      </c>
      <c r="I107" s="197">
        <v>5000</v>
      </c>
      <c r="J107" s="268">
        <f t="shared" si="10"/>
        <v>-5000</v>
      </c>
      <c r="K107" s="185"/>
      <c r="V107" s="183">
        <f t="shared" si="11"/>
        <v>0</v>
      </c>
      <c r="W107" s="183">
        <f t="shared" si="12"/>
        <v>1</v>
      </c>
    </row>
    <row r="108" spans="1:23" x14ac:dyDescent="0.3">
      <c r="A108" s="184"/>
      <c r="B108" s="194">
        <v>18</v>
      </c>
      <c r="C108" s="195">
        <v>44678</v>
      </c>
      <c r="D108" s="196" t="s">
        <v>23</v>
      </c>
      <c r="E108" s="222" t="s">
        <v>28</v>
      </c>
      <c r="F108" s="222">
        <v>360</v>
      </c>
      <c r="G108" s="222">
        <v>358</v>
      </c>
      <c r="H108" s="274">
        <v>2</v>
      </c>
      <c r="I108" s="197">
        <v>5000</v>
      </c>
      <c r="J108" s="268">
        <f t="shared" si="10"/>
        <v>10000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44679</v>
      </c>
      <c r="D109" s="196" t="s">
        <v>23</v>
      </c>
      <c r="E109" s="222" t="s">
        <v>28</v>
      </c>
      <c r="F109" s="222">
        <v>357.5</v>
      </c>
      <c r="G109" s="222">
        <v>356</v>
      </c>
      <c r="H109" s="274">
        <v>1.5</v>
      </c>
      <c r="I109" s="197">
        <v>5000</v>
      </c>
      <c r="J109" s="268">
        <f t="shared" si="10"/>
        <v>7500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44680</v>
      </c>
      <c r="D110" s="196" t="s">
        <v>16</v>
      </c>
      <c r="E110" s="222" t="s">
        <v>28</v>
      </c>
      <c r="F110" s="222">
        <v>353.6</v>
      </c>
      <c r="G110" s="222">
        <v>352.6</v>
      </c>
      <c r="H110" s="274">
        <v>-1</v>
      </c>
      <c r="I110" s="197">
        <v>5000</v>
      </c>
      <c r="J110" s="268">
        <f t="shared" si="10"/>
        <v>-5000</v>
      </c>
      <c r="K110" s="185"/>
      <c r="V110" s="183">
        <f t="shared" si="11"/>
        <v>0</v>
      </c>
      <c r="W110" s="183">
        <f t="shared" si="12"/>
        <v>1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119500.00000000017</v>
      </c>
      <c r="K114" s="185"/>
      <c r="V114" s="183">
        <f>SUM(V91:V113)</f>
        <v>18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7000-000000000000}"/>
    <hyperlink ref="B83" r:id="rId2" xr:uid="{00000000-0004-0000-7000-000001000000}"/>
    <hyperlink ref="M4:M5" location="'APRIL 2022'!A1" display="BULLION" xr:uid="{00000000-0004-0000-7000-000002000000}"/>
    <hyperlink ref="B114" r:id="rId3" xr:uid="{00000000-0004-0000-7000-000003000000}"/>
    <hyperlink ref="M8:M9" location="'APRIL 2022'!A86" display="BASE METAL" xr:uid="{00000000-0004-0000-7000-000004000000}"/>
    <hyperlink ref="M1" location="MASTER!A1" display="Back" xr:uid="{00000000-0004-0000-7000-000005000000}"/>
    <hyperlink ref="M6:M7" location="'APRIL 2022'!A54" display="ENERGY" xr:uid="{00000000-0004-0000-7000-000006000000}"/>
  </hyperlinks>
  <pageMargins left="0" right="0" top="0" bottom="0" header="0" footer="0"/>
  <pageSetup paperSize="9" orientation="portrait" r:id="rId4"/>
  <drawing r:id="rId5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W11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44682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48">
        <v>33</v>
      </c>
      <c r="P4" s="355">
        <f>W52</f>
        <v>5</v>
      </c>
      <c r="Q4" s="356">
        <v>0</v>
      </c>
      <c r="R4" s="343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44683</v>
      </c>
      <c r="D6" s="192" t="s">
        <v>23</v>
      </c>
      <c r="E6" s="192" t="s">
        <v>24</v>
      </c>
      <c r="F6" s="193">
        <v>51070</v>
      </c>
      <c r="G6" s="193">
        <v>50970</v>
      </c>
      <c r="H6" s="192">
        <v>100</v>
      </c>
      <c r="I6" s="193">
        <v>100</v>
      </c>
      <c r="J6" s="267">
        <f>H6*I6</f>
        <v>10000</v>
      </c>
      <c r="K6" s="185"/>
      <c r="M6" s="364" t="s">
        <v>258</v>
      </c>
      <c r="N6" s="347">
        <f>COUNT(C60:C82)</f>
        <v>21</v>
      </c>
      <c r="O6" s="348">
        <f>V83</f>
        <v>18</v>
      </c>
      <c r="P6" s="348">
        <f>W83</f>
        <v>3</v>
      </c>
      <c r="Q6" s="349">
        <f>N6-O6-P6</f>
        <v>0</v>
      </c>
      <c r="R6" s="345">
        <f t="shared" ref="R6" si="0">O6/N6</f>
        <v>0.8571428571428571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44683</v>
      </c>
      <c r="D7" s="196" t="s">
        <v>23</v>
      </c>
      <c r="E7" s="196" t="s">
        <v>22</v>
      </c>
      <c r="F7" s="197">
        <v>63300</v>
      </c>
      <c r="G7" s="197">
        <v>63080</v>
      </c>
      <c r="H7" s="196">
        <v>80</v>
      </c>
      <c r="I7" s="197">
        <v>30</v>
      </c>
      <c r="J7" s="268">
        <f t="shared" ref="J7:J51" si="1">H7*I7</f>
        <v>2400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44685</v>
      </c>
      <c r="D8" s="196" t="s">
        <v>16</v>
      </c>
      <c r="E8" s="196" t="s">
        <v>24</v>
      </c>
      <c r="F8" s="197">
        <v>50750</v>
      </c>
      <c r="G8" s="197">
        <v>50630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COUNT(C91:C113)</f>
        <v>21</v>
      </c>
      <c r="O8" s="348">
        <f>V114</f>
        <v>15</v>
      </c>
      <c r="P8" s="348">
        <f>W114</f>
        <v>6</v>
      </c>
      <c r="Q8" s="349">
        <f>N8-O8-P8</f>
        <v>0</v>
      </c>
      <c r="R8" s="345">
        <f t="shared" ref="R8" si="4">O8/N8</f>
        <v>0.7142857142857143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44685</v>
      </c>
      <c r="D9" s="196" t="s">
        <v>16</v>
      </c>
      <c r="E9" s="196" t="s">
        <v>22</v>
      </c>
      <c r="F9" s="197">
        <v>62900</v>
      </c>
      <c r="G9" s="197">
        <v>62600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44686</v>
      </c>
      <c r="D10" s="196" t="s">
        <v>23</v>
      </c>
      <c r="E10" s="196" t="s">
        <v>24</v>
      </c>
      <c r="F10" s="197">
        <v>51080</v>
      </c>
      <c r="G10" s="197">
        <v>51200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84</v>
      </c>
      <c r="O10" s="321">
        <f>SUM(O4:O9)</f>
        <v>66</v>
      </c>
      <c r="P10" s="321">
        <f>SUM(P4:P9)</f>
        <v>14</v>
      </c>
      <c r="Q10" s="341">
        <f>SUM(Q4:Q9)</f>
        <v>0</v>
      </c>
      <c r="R10" s="343">
        <f t="shared" ref="R10" si="5">O10/N10</f>
        <v>0.7857142857142857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44686</v>
      </c>
      <c r="D11" s="196" t="s">
        <v>23</v>
      </c>
      <c r="E11" s="196" t="s">
        <v>22</v>
      </c>
      <c r="F11" s="197">
        <v>63600</v>
      </c>
      <c r="G11" s="197">
        <v>63400</v>
      </c>
      <c r="H11" s="196">
        <v>200</v>
      </c>
      <c r="I11" s="197">
        <v>30</v>
      </c>
      <c r="J11" s="268">
        <f t="shared" si="1"/>
        <v>6000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44687</v>
      </c>
      <c r="D12" s="196" t="s">
        <v>23</v>
      </c>
      <c r="E12" s="196" t="s">
        <v>24</v>
      </c>
      <c r="F12" s="197">
        <v>51250</v>
      </c>
      <c r="G12" s="197">
        <v>51200</v>
      </c>
      <c r="H12" s="196">
        <v>50</v>
      </c>
      <c r="I12" s="197">
        <v>100</v>
      </c>
      <c r="J12" s="268">
        <f t="shared" si="1"/>
        <v>5000</v>
      </c>
      <c r="K12" s="185"/>
      <c r="M12" s="323" t="s">
        <v>878</v>
      </c>
      <c r="N12" s="324"/>
      <c r="O12" s="325"/>
      <c r="P12" s="332">
        <f>R10</f>
        <v>0.7857142857142857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44687</v>
      </c>
      <c r="D13" s="196" t="s">
        <v>23</v>
      </c>
      <c r="E13" s="196" t="s">
        <v>22</v>
      </c>
      <c r="F13" s="197">
        <v>62700</v>
      </c>
      <c r="G13" s="197">
        <v>62500</v>
      </c>
      <c r="H13" s="196">
        <v>200</v>
      </c>
      <c r="I13" s="197">
        <v>30</v>
      </c>
      <c r="J13" s="268">
        <f t="shared" si="1"/>
        <v>6000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44690</v>
      </c>
      <c r="D14" s="196" t="s">
        <v>23</v>
      </c>
      <c r="E14" s="196" t="s">
        <v>24</v>
      </c>
      <c r="F14" s="197">
        <v>51180</v>
      </c>
      <c r="G14" s="197">
        <v>50980</v>
      </c>
      <c r="H14" s="196">
        <v>200</v>
      </c>
      <c r="I14" s="197">
        <v>100</v>
      </c>
      <c r="J14" s="268">
        <f t="shared" si="1"/>
        <v>20000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44690</v>
      </c>
      <c r="D15" s="196" t="s">
        <v>23</v>
      </c>
      <c r="E15" s="196" t="s">
        <v>22</v>
      </c>
      <c r="F15" s="197">
        <v>62150</v>
      </c>
      <c r="G15" s="197">
        <v>61680</v>
      </c>
      <c r="H15" s="196">
        <v>470</v>
      </c>
      <c r="I15" s="197">
        <v>30</v>
      </c>
      <c r="J15" s="268">
        <f t="shared" si="1"/>
        <v>14100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44691</v>
      </c>
      <c r="D16" s="196" t="s">
        <v>23</v>
      </c>
      <c r="E16" s="196" t="s">
        <v>24</v>
      </c>
      <c r="F16" s="197">
        <v>50930</v>
      </c>
      <c r="G16" s="197">
        <v>50861</v>
      </c>
      <c r="H16" s="196">
        <v>69</v>
      </c>
      <c r="I16" s="197">
        <v>100</v>
      </c>
      <c r="J16" s="268">
        <f t="shared" si="1"/>
        <v>6900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44691</v>
      </c>
      <c r="D17" s="196" t="s">
        <v>23</v>
      </c>
      <c r="E17" s="196" t="s">
        <v>22</v>
      </c>
      <c r="F17" s="197">
        <v>61450</v>
      </c>
      <c r="G17" s="197">
        <v>61250</v>
      </c>
      <c r="H17" s="196">
        <f>61450-61250</f>
        <v>200</v>
      </c>
      <c r="I17" s="197">
        <v>30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44692</v>
      </c>
      <c r="D18" s="196" t="s">
        <v>23</v>
      </c>
      <c r="E18" s="196" t="s">
        <v>24</v>
      </c>
      <c r="F18" s="197">
        <v>50750</v>
      </c>
      <c r="G18" s="197">
        <v>50550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44692</v>
      </c>
      <c r="D19" s="196" t="s">
        <v>23</v>
      </c>
      <c r="E19" s="196" t="s">
        <v>22</v>
      </c>
      <c r="F19" s="197">
        <v>61200</v>
      </c>
      <c r="G19" s="197">
        <v>60800</v>
      </c>
      <c r="H19" s="196">
        <f>61200-60800</f>
        <v>400</v>
      </c>
      <c r="I19" s="197">
        <v>30</v>
      </c>
      <c r="J19" s="268">
        <f t="shared" si="1"/>
        <v>12000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44693</v>
      </c>
      <c r="D20" s="196" t="s">
        <v>23</v>
      </c>
      <c r="E20" s="196" t="s">
        <v>24</v>
      </c>
      <c r="F20" s="197">
        <v>50700</v>
      </c>
      <c r="G20" s="197">
        <v>50600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44693</v>
      </c>
      <c r="D21" s="196" t="s">
        <v>23</v>
      </c>
      <c r="E21" s="196" t="s">
        <v>22</v>
      </c>
      <c r="F21" s="197">
        <v>60150</v>
      </c>
      <c r="G21" s="197">
        <v>59550</v>
      </c>
      <c r="H21" s="196">
        <f>60150-59550</f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44694</v>
      </c>
      <c r="D22" s="196" t="s">
        <v>23</v>
      </c>
      <c r="E22" s="196" t="s">
        <v>24</v>
      </c>
      <c r="F22" s="197">
        <v>50150</v>
      </c>
      <c r="G22" s="197">
        <v>50000</v>
      </c>
      <c r="H22" s="196">
        <v>150</v>
      </c>
      <c r="I22" s="197">
        <v>100</v>
      </c>
      <c r="J22" s="268">
        <f t="shared" si="1"/>
        <v>15000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44694</v>
      </c>
      <c r="D23" s="196" t="s">
        <v>23</v>
      </c>
      <c r="E23" s="196" t="s">
        <v>22</v>
      </c>
      <c r="F23" s="197">
        <v>58900</v>
      </c>
      <c r="G23" s="197">
        <v>58300</v>
      </c>
      <c r="H23" s="196"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44697</v>
      </c>
      <c r="D24" s="196" t="s">
        <v>23</v>
      </c>
      <c r="E24" s="196" t="s">
        <v>24</v>
      </c>
      <c r="F24" s="197">
        <v>49950</v>
      </c>
      <c r="G24" s="197">
        <v>49850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44697</v>
      </c>
      <c r="D25" s="196" t="s">
        <v>23</v>
      </c>
      <c r="E25" s="196" t="s">
        <v>22</v>
      </c>
      <c r="F25" s="197">
        <v>59900</v>
      </c>
      <c r="G25" s="197">
        <v>59720</v>
      </c>
      <c r="H25" s="196">
        <f>59900-59720</f>
        <v>180</v>
      </c>
      <c r="I25" s="197">
        <v>30</v>
      </c>
      <c r="J25" s="268">
        <f t="shared" si="1"/>
        <v>5400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44698</v>
      </c>
      <c r="D26" s="196" t="s">
        <v>23</v>
      </c>
      <c r="E26" s="196" t="s">
        <v>24</v>
      </c>
      <c r="F26" s="197">
        <v>50380</v>
      </c>
      <c r="G26" s="197">
        <v>50302</v>
      </c>
      <c r="H26" s="196">
        <f>50380-50302</f>
        <v>78</v>
      </c>
      <c r="I26" s="197">
        <v>100</v>
      </c>
      <c r="J26" s="268">
        <f t="shared" si="1"/>
        <v>7800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44698</v>
      </c>
      <c r="D27" s="196" t="s">
        <v>23</v>
      </c>
      <c r="E27" s="196" t="s">
        <v>22</v>
      </c>
      <c r="F27" s="197">
        <v>61300</v>
      </c>
      <c r="G27" s="197">
        <v>61000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44699</v>
      </c>
      <c r="D28" s="196" t="s">
        <v>23</v>
      </c>
      <c r="E28" s="196" t="s">
        <v>24</v>
      </c>
      <c r="F28" s="197">
        <v>50120</v>
      </c>
      <c r="G28" s="197">
        <v>50220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44699</v>
      </c>
      <c r="D29" s="196" t="s">
        <v>23</v>
      </c>
      <c r="E29" s="196" t="s">
        <v>22</v>
      </c>
      <c r="F29" s="197">
        <v>61000</v>
      </c>
      <c r="G29" s="197">
        <v>61300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44700</v>
      </c>
      <c r="D30" s="196" t="s">
        <v>16</v>
      </c>
      <c r="E30" s="196" t="s">
        <v>24</v>
      </c>
      <c r="F30" s="197">
        <v>50380</v>
      </c>
      <c r="G30" s="197">
        <v>50580</v>
      </c>
      <c r="H30" s="196">
        <f>50580-50380</f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44700</v>
      </c>
      <c r="D31" s="196" t="s">
        <v>23</v>
      </c>
      <c r="E31" s="196" t="s">
        <v>22</v>
      </c>
      <c r="F31" s="197">
        <v>62150</v>
      </c>
      <c r="G31" s="197">
        <v>61600</v>
      </c>
      <c r="H31" s="196">
        <v>550</v>
      </c>
      <c r="I31" s="197">
        <v>30</v>
      </c>
      <c r="J31" s="268">
        <f t="shared" si="1"/>
        <v>16500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44701</v>
      </c>
      <c r="D32" s="196" t="s">
        <v>23</v>
      </c>
      <c r="E32" s="196" t="s">
        <v>24</v>
      </c>
      <c r="F32" s="197">
        <v>50720</v>
      </c>
      <c r="G32" s="197">
        <v>50820</v>
      </c>
      <c r="H32" s="196">
        <v>-100</v>
      </c>
      <c r="I32" s="197">
        <v>100</v>
      </c>
      <c r="J32" s="268">
        <f t="shared" si="1"/>
        <v>-10000</v>
      </c>
      <c r="K32" s="185"/>
      <c r="V32" s="183">
        <f t="shared" si="2"/>
        <v>0</v>
      </c>
      <c r="W32" s="183">
        <f t="shared" si="3"/>
        <v>1</v>
      </c>
    </row>
    <row r="33" spans="1:23" x14ac:dyDescent="0.3">
      <c r="A33" s="184"/>
      <c r="B33" s="194">
        <v>28</v>
      </c>
      <c r="C33" s="195">
        <v>44701</v>
      </c>
      <c r="D33" s="196" t="s">
        <v>23</v>
      </c>
      <c r="E33" s="196" t="s">
        <v>22</v>
      </c>
      <c r="F33" s="197">
        <v>62000</v>
      </c>
      <c r="G33" s="197">
        <v>61750</v>
      </c>
      <c r="H33" s="196">
        <f>62000-61750</f>
        <v>250</v>
      </c>
      <c r="I33" s="197">
        <v>30</v>
      </c>
      <c r="J33" s="268">
        <f t="shared" si="1"/>
        <v>7500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44704</v>
      </c>
      <c r="D34" s="196" t="s">
        <v>23</v>
      </c>
      <c r="E34" s="196" t="s">
        <v>24</v>
      </c>
      <c r="F34" s="197">
        <v>51120</v>
      </c>
      <c r="G34" s="197">
        <v>50920</v>
      </c>
      <c r="H34" s="196">
        <f>51120-50920</f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44704</v>
      </c>
      <c r="D35" s="196" t="s">
        <v>23</v>
      </c>
      <c r="E35" s="196" t="s">
        <v>22</v>
      </c>
      <c r="F35" s="197">
        <v>62150</v>
      </c>
      <c r="G35" s="197">
        <v>61600</v>
      </c>
      <c r="H35" s="196">
        <v>550</v>
      </c>
      <c r="I35" s="197">
        <v>30</v>
      </c>
      <c r="J35" s="268">
        <f t="shared" si="1"/>
        <v>16500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44705</v>
      </c>
      <c r="D36" s="196" t="s">
        <v>23</v>
      </c>
      <c r="E36" s="196" t="s">
        <v>24</v>
      </c>
      <c r="F36" s="197">
        <v>51050</v>
      </c>
      <c r="G36" s="197">
        <v>50980</v>
      </c>
      <c r="H36" s="196">
        <v>70</v>
      </c>
      <c r="I36" s="197">
        <v>100</v>
      </c>
      <c r="J36" s="268">
        <f t="shared" si="1"/>
        <v>7000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44705</v>
      </c>
      <c r="D37" s="196" t="s">
        <v>23</v>
      </c>
      <c r="E37" s="196" t="s">
        <v>22</v>
      </c>
      <c r="F37" s="197">
        <v>61500</v>
      </c>
      <c r="G37" s="197">
        <v>61380</v>
      </c>
      <c r="H37" s="196">
        <f>61500-61380</f>
        <v>120</v>
      </c>
      <c r="I37" s="197">
        <v>30</v>
      </c>
      <c r="J37" s="268">
        <f t="shared" si="1"/>
        <v>3600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44706</v>
      </c>
      <c r="D38" s="196" t="s">
        <v>23</v>
      </c>
      <c r="E38" s="196" t="s">
        <v>24</v>
      </c>
      <c r="F38" s="197">
        <v>50960</v>
      </c>
      <c r="G38" s="197">
        <v>50860</v>
      </c>
      <c r="H38" s="196">
        <f>50960-50860</f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44706</v>
      </c>
      <c r="D39" s="196" t="s">
        <v>23</v>
      </c>
      <c r="E39" s="196" t="s">
        <v>22</v>
      </c>
      <c r="F39" s="197">
        <v>61700</v>
      </c>
      <c r="G39" s="197">
        <v>61250</v>
      </c>
      <c r="H39" s="196">
        <f>61700-61250</f>
        <v>450</v>
      </c>
      <c r="I39" s="197">
        <v>30</v>
      </c>
      <c r="J39" s="268">
        <f t="shared" si="1"/>
        <v>13500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44707</v>
      </c>
      <c r="D40" s="196" t="s">
        <v>23</v>
      </c>
      <c r="E40" s="196" t="s">
        <v>24</v>
      </c>
      <c r="F40" s="197">
        <v>50740</v>
      </c>
      <c r="G40" s="197">
        <v>50580</v>
      </c>
      <c r="H40" s="196">
        <v>160</v>
      </c>
      <c r="I40" s="197">
        <v>100</v>
      </c>
      <c r="J40" s="268">
        <f t="shared" si="1"/>
        <v>16000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44707</v>
      </c>
      <c r="D41" s="196" t="s">
        <v>23</v>
      </c>
      <c r="E41" s="196" t="s">
        <v>22</v>
      </c>
      <c r="F41" s="197">
        <v>61600</v>
      </c>
      <c r="G41" s="197">
        <v>61380</v>
      </c>
      <c r="H41" s="196">
        <f>61600-61380</f>
        <v>220</v>
      </c>
      <c r="I41" s="197">
        <v>30</v>
      </c>
      <c r="J41" s="268">
        <f t="shared" si="1"/>
        <v>6600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44708</v>
      </c>
      <c r="D42" s="196" t="s">
        <v>16</v>
      </c>
      <c r="E42" s="196" t="s">
        <v>24</v>
      </c>
      <c r="F42" s="197">
        <v>51000</v>
      </c>
      <c r="G42" s="197">
        <v>51060</v>
      </c>
      <c r="H42" s="196">
        <v>60</v>
      </c>
      <c r="I42" s="197">
        <v>100</v>
      </c>
      <c r="J42" s="268">
        <f t="shared" si="1"/>
        <v>6000</v>
      </c>
      <c r="K42" s="185"/>
    </row>
    <row r="43" spans="1:23" x14ac:dyDescent="0.3">
      <c r="A43" s="184"/>
      <c r="B43" s="194">
        <v>38</v>
      </c>
      <c r="C43" s="195">
        <v>44708</v>
      </c>
      <c r="D43" s="196" t="s">
        <v>16</v>
      </c>
      <c r="E43" s="196" t="s">
        <v>22</v>
      </c>
      <c r="F43" s="197">
        <v>62450</v>
      </c>
      <c r="G43" s="197">
        <v>62750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44711</v>
      </c>
      <c r="D44" s="196" t="s">
        <v>23</v>
      </c>
      <c r="E44" s="196" t="s">
        <v>24</v>
      </c>
      <c r="F44" s="197">
        <v>51100</v>
      </c>
      <c r="G44" s="197">
        <v>51050</v>
      </c>
      <c r="H44" s="196">
        <f>51100-51050</f>
        <v>50</v>
      </c>
      <c r="I44" s="197">
        <v>100</v>
      </c>
      <c r="J44" s="268">
        <f t="shared" si="1"/>
        <v>5000</v>
      </c>
      <c r="K44" s="185"/>
    </row>
    <row r="45" spans="1:23" x14ac:dyDescent="0.3">
      <c r="A45" s="184"/>
      <c r="B45" s="194">
        <v>40</v>
      </c>
      <c r="C45" s="195">
        <v>44711</v>
      </c>
      <c r="D45" s="196" t="s">
        <v>23</v>
      </c>
      <c r="E45" s="196" t="s">
        <v>22</v>
      </c>
      <c r="F45" s="197">
        <v>62200</v>
      </c>
      <c r="G45" s="197">
        <v>61726</v>
      </c>
      <c r="H45" s="196">
        <f>62200-61726</f>
        <v>474</v>
      </c>
      <c r="I45" s="197">
        <v>30</v>
      </c>
      <c r="J45" s="268">
        <f t="shared" si="1"/>
        <v>14220</v>
      </c>
      <c r="K45" s="185"/>
    </row>
    <row r="46" spans="1:23" x14ac:dyDescent="0.3">
      <c r="A46" s="184"/>
      <c r="B46" s="194">
        <v>41</v>
      </c>
      <c r="C46" s="195">
        <v>44712</v>
      </c>
      <c r="D46" s="196" t="s">
        <v>23</v>
      </c>
      <c r="E46" s="196" t="s">
        <v>24</v>
      </c>
      <c r="F46" s="197">
        <v>50980</v>
      </c>
      <c r="G46" s="197">
        <v>50900</v>
      </c>
      <c r="H46" s="196">
        <v>80</v>
      </c>
      <c r="I46" s="197">
        <v>100</v>
      </c>
      <c r="J46" s="268">
        <f t="shared" si="1"/>
        <v>8000</v>
      </c>
      <c r="K46" s="185"/>
    </row>
    <row r="47" spans="1:23" x14ac:dyDescent="0.3">
      <c r="A47" s="184"/>
      <c r="B47" s="194">
        <v>42</v>
      </c>
      <c r="C47" s="195">
        <v>44712</v>
      </c>
      <c r="D47" s="196" t="s">
        <v>23</v>
      </c>
      <c r="E47" s="196" t="s">
        <v>22</v>
      </c>
      <c r="F47" s="197">
        <v>61600</v>
      </c>
      <c r="G47" s="197">
        <v>61000</v>
      </c>
      <c r="H47" s="196">
        <v>600</v>
      </c>
      <c r="I47" s="197">
        <v>30</v>
      </c>
      <c r="J47" s="268">
        <f t="shared" si="1"/>
        <v>18000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359020</v>
      </c>
      <c r="K52" s="185"/>
      <c r="V52" s="183">
        <f>SUM(V6:V51)</f>
        <v>31</v>
      </c>
      <c r="W52" s="183">
        <f>SUM(W6:W51)</f>
        <v>5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44682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44683</v>
      </c>
      <c r="D60" s="192" t="s">
        <v>23</v>
      </c>
      <c r="E60" s="192" t="s">
        <v>25</v>
      </c>
      <c r="F60" s="193">
        <v>7800</v>
      </c>
      <c r="G60" s="193">
        <v>7740</v>
      </c>
      <c r="H60" s="192">
        <f>7800-7740</f>
        <v>60</v>
      </c>
      <c r="I60" s="193">
        <v>100</v>
      </c>
      <c r="J60" s="267">
        <f t="shared" ref="J60:J82" si="7">I60*H60</f>
        <v>6000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44685</v>
      </c>
      <c r="D61" s="196" t="s">
        <v>23</v>
      </c>
      <c r="E61" s="196" t="s">
        <v>25</v>
      </c>
      <c r="F61" s="197">
        <v>8060</v>
      </c>
      <c r="G61" s="197">
        <v>8040</v>
      </c>
      <c r="H61" s="196">
        <v>20</v>
      </c>
      <c r="I61" s="197">
        <v>100</v>
      </c>
      <c r="J61" s="268">
        <f t="shared" si="7"/>
        <v>2000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44686</v>
      </c>
      <c r="D62" s="196" t="s">
        <v>23</v>
      </c>
      <c r="E62" s="196" t="s">
        <v>25</v>
      </c>
      <c r="F62" s="197">
        <v>8215</v>
      </c>
      <c r="G62" s="197">
        <v>8245</v>
      </c>
      <c r="H62" s="196">
        <v>-30</v>
      </c>
      <c r="I62" s="197">
        <v>100</v>
      </c>
      <c r="J62" s="268">
        <f t="shared" si="7"/>
        <v>-3000</v>
      </c>
      <c r="K62" s="185"/>
      <c r="V62" s="183">
        <f t="shared" si="8"/>
        <v>0</v>
      </c>
      <c r="W62" s="183">
        <f t="shared" si="9"/>
        <v>1</v>
      </c>
    </row>
    <row r="63" spans="1:23" x14ac:dyDescent="0.3">
      <c r="A63" s="184"/>
      <c r="B63" s="194">
        <v>4</v>
      </c>
      <c r="C63" s="195">
        <v>44687</v>
      </c>
      <c r="D63" s="196" t="s">
        <v>16</v>
      </c>
      <c r="E63" s="196" t="s">
        <v>25</v>
      </c>
      <c r="F63" s="197">
        <v>8490</v>
      </c>
      <c r="G63" s="197">
        <v>8528</v>
      </c>
      <c r="H63" s="196">
        <f>8528-8490</f>
        <v>38</v>
      </c>
      <c r="I63" s="197">
        <v>100</v>
      </c>
      <c r="J63" s="268">
        <f t="shared" si="7"/>
        <v>3800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44690</v>
      </c>
      <c r="D64" s="196" t="s">
        <v>23</v>
      </c>
      <c r="E64" s="196" t="s">
        <v>25</v>
      </c>
      <c r="F64" s="197">
        <v>8390</v>
      </c>
      <c r="G64" s="197">
        <v>8330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44691</v>
      </c>
      <c r="D65" s="196" t="s">
        <v>23</v>
      </c>
      <c r="E65" s="196" t="s">
        <v>25</v>
      </c>
      <c r="F65" s="197">
        <v>7960</v>
      </c>
      <c r="G65" s="197">
        <v>7900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44692</v>
      </c>
      <c r="D66" s="196" t="s">
        <v>16</v>
      </c>
      <c r="E66" s="196" t="s">
        <v>25</v>
      </c>
      <c r="F66" s="222">
        <v>7970</v>
      </c>
      <c r="G66" s="222">
        <v>8030</v>
      </c>
      <c r="H66" s="196">
        <f>8030-7970</f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44693</v>
      </c>
      <c r="D67" s="196" t="s">
        <v>16</v>
      </c>
      <c r="E67" s="196" t="s">
        <v>25</v>
      </c>
      <c r="F67" s="197">
        <v>8070</v>
      </c>
      <c r="G67" s="197">
        <v>8070</v>
      </c>
      <c r="H67" s="196">
        <v>-30</v>
      </c>
      <c r="I67" s="197">
        <v>100</v>
      </c>
      <c r="J67" s="268">
        <f t="shared" si="7"/>
        <v>-3000</v>
      </c>
      <c r="K67" s="185"/>
      <c r="V67" s="183">
        <f t="shared" si="8"/>
        <v>0</v>
      </c>
      <c r="W67" s="183">
        <f t="shared" si="9"/>
        <v>1</v>
      </c>
    </row>
    <row r="68" spans="1:23" x14ac:dyDescent="0.3">
      <c r="A68" s="184"/>
      <c r="B68" s="194">
        <v>9</v>
      </c>
      <c r="C68" s="195">
        <v>44694</v>
      </c>
      <c r="D68" s="196" t="s">
        <v>23</v>
      </c>
      <c r="E68" s="196" t="s">
        <v>25</v>
      </c>
      <c r="F68" s="197">
        <v>8340</v>
      </c>
      <c r="G68" s="197">
        <v>8325</v>
      </c>
      <c r="H68" s="196">
        <f>8340-8325</f>
        <v>15</v>
      </c>
      <c r="I68" s="197">
        <v>100</v>
      </c>
      <c r="J68" s="268">
        <f t="shared" si="7"/>
        <v>1500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44697</v>
      </c>
      <c r="D69" s="196" t="s">
        <v>23</v>
      </c>
      <c r="E69" s="196" t="s">
        <v>25</v>
      </c>
      <c r="F69" s="197">
        <v>8550</v>
      </c>
      <c r="G69" s="197">
        <v>8490</v>
      </c>
      <c r="H69" s="196">
        <f>8550-8490</f>
        <v>60</v>
      </c>
      <c r="I69" s="197">
        <v>100</v>
      </c>
      <c r="J69" s="268">
        <f t="shared" si="7"/>
        <v>6000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11</v>
      </c>
      <c r="C70" s="195">
        <v>44698</v>
      </c>
      <c r="D70" s="196" t="s">
        <v>23</v>
      </c>
      <c r="E70" s="196" t="s">
        <v>25</v>
      </c>
      <c r="F70" s="197">
        <v>8880</v>
      </c>
      <c r="G70" s="197">
        <v>8865</v>
      </c>
      <c r="H70" s="196">
        <f>8880-8865</f>
        <v>15</v>
      </c>
      <c r="I70" s="197">
        <v>100</v>
      </c>
      <c r="J70" s="268">
        <f t="shared" si="7"/>
        <v>1500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44699</v>
      </c>
      <c r="D71" s="196" t="s">
        <v>23</v>
      </c>
      <c r="E71" s="196" t="s">
        <v>25</v>
      </c>
      <c r="F71" s="197">
        <v>8870</v>
      </c>
      <c r="G71" s="197">
        <v>8810</v>
      </c>
      <c r="H71" s="196">
        <f>8870-8810</f>
        <v>60</v>
      </c>
      <c r="I71" s="197">
        <v>100</v>
      </c>
      <c r="J71" s="268">
        <f t="shared" si="7"/>
        <v>6000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13</v>
      </c>
      <c r="C72" s="195">
        <v>44700</v>
      </c>
      <c r="D72" s="196" t="s">
        <v>23</v>
      </c>
      <c r="E72" s="196" t="s">
        <v>25</v>
      </c>
      <c r="F72" s="197">
        <v>8190</v>
      </c>
      <c r="G72" s="197">
        <v>8130</v>
      </c>
      <c r="H72" s="196"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44701</v>
      </c>
      <c r="D73" s="196" t="s">
        <v>16</v>
      </c>
      <c r="E73" s="196" t="s">
        <v>25</v>
      </c>
      <c r="F73" s="197">
        <v>8530</v>
      </c>
      <c r="G73" s="197">
        <v>8560</v>
      </c>
      <c r="H73" s="196">
        <v>30</v>
      </c>
      <c r="I73" s="197">
        <v>100</v>
      </c>
      <c r="J73" s="268">
        <f t="shared" si="7"/>
        <v>3000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44704</v>
      </c>
      <c r="D74" s="196" t="s">
        <v>23</v>
      </c>
      <c r="E74" s="196" t="s">
        <v>25</v>
      </c>
      <c r="F74" s="197">
        <v>8645</v>
      </c>
      <c r="G74" s="197">
        <v>8675</v>
      </c>
      <c r="H74" s="196">
        <f>8675-8645</f>
        <v>30</v>
      </c>
      <c r="I74" s="197">
        <v>100</v>
      </c>
      <c r="J74" s="268">
        <f t="shared" si="7"/>
        <v>3000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16</v>
      </c>
      <c r="C75" s="195">
        <v>44705</v>
      </c>
      <c r="D75" s="196" t="s">
        <v>23</v>
      </c>
      <c r="E75" s="196" t="s">
        <v>25</v>
      </c>
      <c r="F75" s="197">
        <v>8540</v>
      </c>
      <c r="G75" s="197">
        <v>8520</v>
      </c>
      <c r="H75" s="196">
        <v>20</v>
      </c>
      <c r="I75" s="197">
        <v>100</v>
      </c>
      <c r="J75" s="268">
        <f t="shared" si="7"/>
        <v>2000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44706</v>
      </c>
      <c r="D76" s="196" t="s">
        <v>16</v>
      </c>
      <c r="E76" s="196" t="s">
        <v>25</v>
      </c>
      <c r="F76" s="197">
        <v>8640</v>
      </c>
      <c r="G76" s="197">
        <v>8610</v>
      </c>
      <c r="H76" s="196">
        <v>-30</v>
      </c>
      <c r="I76" s="197">
        <v>100</v>
      </c>
      <c r="J76" s="268">
        <f t="shared" si="7"/>
        <v>-3000</v>
      </c>
      <c r="K76" s="185"/>
      <c r="V76" s="183">
        <f t="shared" si="8"/>
        <v>0</v>
      </c>
      <c r="W76" s="183">
        <f t="shared" si="9"/>
        <v>1</v>
      </c>
    </row>
    <row r="77" spans="1:23" x14ac:dyDescent="0.3">
      <c r="A77" s="255"/>
      <c r="B77" s="194">
        <v>18</v>
      </c>
      <c r="C77" s="195">
        <v>44707</v>
      </c>
      <c r="D77" s="196" t="s">
        <v>23</v>
      </c>
      <c r="E77" s="196" t="s">
        <v>25</v>
      </c>
      <c r="F77" s="197">
        <v>8645</v>
      </c>
      <c r="G77" s="197">
        <v>8615</v>
      </c>
      <c r="H77" s="196">
        <f>8645-8615</f>
        <v>30</v>
      </c>
      <c r="I77" s="197">
        <v>100</v>
      </c>
      <c r="J77" s="268">
        <f t="shared" si="7"/>
        <v>3000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44708</v>
      </c>
      <c r="D78" s="196" t="s">
        <v>23</v>
      </c>
      <c r="E78" s="196" t="s">
        <v>25</v>
      </c>
      <c r="F78" s="197">
        <v>8920</v>
      </c>
      <c r="G78" s="197">
        <v>8866</v>
      </c>
      <c r="H78" s="196">
        <f>8920-8866</f>
        <v>54</v>
      </c>
      <c r="I78" s="197">
        <v>100</v>
      </c>
      <c r="J78" s="268">
        <f t="shared" si="7"/>
        <v>5400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44711</v>
      </c>
      <c r="D79" s="196" t="s">
        <v>23</v>
      </c>
      <c r="E79" s="196" t="s">
        <v>25</v>
      </c>
      <c r="F79" s="197">
        <v>8970</v>
      </c>
      <c r="G79" s="197">
        <v>8955</v>
      </c>
      <c r="H79" s="196">
        <f>8970-8955</f>
        <v>15</v>
      </c>
      <c r="I79" s="197">
        <v>100</v>
      </c>
      <c r="J79" s="268">
        <f t="shared" si="7"/>
        <v>1500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>
        <v>44712</v>
      </c>
      <c r="D80" s="196" t="s">
        <v>23</v>
      </c>
      <c r="E80" s="196" t="s">
        <v>25</v>
      </c>
      <c r="F80" s="197">
        <v>9230</v>
      </c>
      <c r="G80" s="197">
        <v>9190</v>
      </c>
      <c r="H80" s="196">
        <f>9230-9190</f>
        <v>40</v>
      </c>
      <c r="I80" s="197">
        <v>100</v>
      </c>
      <c r="J80" s="268">
        <f t="shared" si="7"/>
        <v>4000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63700</v>
      </c>
      <c r="K83" s="185"/>
      <c r="V83" s="183">
        <f>SUM(V60:V82)</f>
        <v>18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44682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44683</v>
      </c>
      <c r="D91" s="216" t="s">
        <v>23</v>
      </c>
      <c r="E91" s="256" t="s">
        <v>28</v>
      </c>
      <c r="F91" s="256">
        <v>334.5</v>
      </c>
      <c r="G91" s="256">
        <v>332.5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44685</v>
      </c>
      <c r="D92" s="196" t="s">
        <v>16</v>
      </c>
      <c r="E92" s="222" t="s">
        <v>28</v>
      </c>
      <c r="F92" s="222">
        <v>332.4</v>
      </c>
      <c r="G92" s="222">
        <v>331.4</v>
      </c>
      <c r="H92" s="222">
        <v>-1</v>
      </c>
      <c r="I92" s="197">
        <v>5000</v>
      </c>
      <c r="J92" s="268">
        <f t="shared" ref="J92:J113" si="10">I92*H92</f>
        <v>-5000</v>
      </c>
      <c r="K92" s="185"/>
      <c r="V92" s="183">
        <f t="shared" ref="V92:V113" si="11">IF($J92&gt;0,1,0)</f>
        <v>0</v>
      </c>
      <c r="W92" s="183">
        <f t="shared" ref="W92:W113" si="12">IF($J92&lt;0,1,0)</f>
        <v>1</v>
      </c>
    </row>
    <row r="93" spans="1:23" x14ac:dyDescent="0.3">
      <c r="A93" s="184"/>
      <c r="B93" s="194">
        <v>3</v>
      </c>
      <c r="C93" s="195">
        <v>44686</v>
      </c>
      <c r="D93" s="196" t="s">
        <v>23</v>
      </c>
      <c r="E93" s="222" t="s">
        <v>28</v>
      </c>
      <c r="F93" s="222">
        <v>335.2</v>
      </c>
      <c r="G93" s="222">
        <v>334.2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4</v>
      </c>
      <c r="C94" s="195">
        <v>44687</v>
      </c>
      <c r="D94" s="196" t="s">
        <v>23</v>
      </c>
      <c r="E94" s="222" t="s">
        <v>28</v>
      </c>
      <c r="F94" s="222">
        <v>326.8</v>
      </c>
      <c r="G94" s="222">
        <v>325.8</v>
      </c>
      <c r="H94" s="222">
        <v>1</v>
      </c>
      <c r="I94" s="197">
        <v>5000</v>
      </c>
      <c r="J94" s="268">
        <f t="shared" si="10"/>
        <v>5000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44690</v>
      </c>
      <c r="D95" s="196" t="s">
        <v>23</v>
      </c>
      <c r="E95" s="222" t="s">
        <v>28</v>
      </c>
      <c r="F95" s="222">
        <v>318.5</v>
      </c>
      <c r="G95" s="222">
        <v>316.5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44691</v>
      </c>
      <c r="D96" s="196" t="s">
        <v>23</v>
      </c>
      <c r="E96" s="222" t="s">
        <v>28</v>
      </c>
      <c r="F96" s="222">
        <v>310.5</v>
      </c>
      <c r="G96" s="222">
        <v>311.5</v>
      </c>
      <c r="H96" s="222">
        <v>-1</v>
      </c>
      <c r="I96" s="197">
        <v>5000</v>
      </c>
      <c r="J96" s="268">
        <f t="shared" si="10"/>
        <v>-5000</v>
      </c>
      <c r="K96" s="185"/>
      <c r="V96" s="183">
        <f t="shared" si="11"/>
        <v>0</v>
      </c>
      <c r="W96" s="183">
        <f t="shared" si="12"/>
        <v>1</v>
      </c>
    </row>
    <row r="97" spans="1:23" x14ac:dyDescent="0.3">
      <c r="A97" s="184"/>
      <c r="B97" s="194">
        <v>7</v>
      </c>
      <c r="C97" s="195">
        <v>44692</v>
      </c>
      <c r="D97" s="196" t="s">
        <v>23</v>
      </c>
      <c r="E97" s="222" t="s">
        <v>28</v>
      </c>
      <c r="F97" s="222">
        <v>313.5</v>
      </c>
      <c r="G97" s="222">
        <v>314.5</v>
      </c>
      <c r="H97" s="274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8</v>
      </c>
      <c r="C98" s="195">
        <v>44693</v>
      </c>
      <c r="D98" s="196" t="s">
        <v>23</v>
      </c>
      <c r="E98" s="222" t="s">
        <v>28</v>
      </c>
      <c r="F98" s="222">
        <v>310.60000000000002</v>
      </c>
      <c r="G98" s="222">
        <v>308.60000000000002</v>
      </c>
      <c r="H98" s="222">
        <v>2</v>
      </c>
      <c r="I98" s="197">
        <v>5000</v>
      </c>
      <c r="J98" s="268">
        <f t="shared" si="10"/>
        <v>10000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44694</v>
      </c>
      <c r="D99" s="196" t="s">
        <v>23</v>
      </c>
      <c r="E99" s="222" t="s">
        <v>28</v>
      </c>
      <c r="F99" s="222">
        <v>304.2</v>
      </c>
      <c r="G99" s="222">
        <v>303.2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44697</v>
      </c>
      <c r="D100" s="196" t="s">
        <v>23</v>
      </c>
      <c r="E100" s="222" t="s">
        <v>28</v>
      </c>
      <c r="F100" s="222">
        <v>310</v>
      </c>
      <c r="G100" s="222">
        <v>308</v>
      </c>
      <c r="H100" s="222">
        <v>2</v>
      </c>
      <c r="I100" s="197">
        <v>5000</v>
      </c>
      <c r="J100" s="268">
        <f t="shared" si="10"/>
        <v>10000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44698</v>
      </c>
      <c r="D101" s="196" t="s">
        <v>23</v>
      </c>
      <c r="E101" s="222" t="s">
        <v>28</v>
      </c>
      <c r="F101" s="222">
        <v>315.5</v>
      </c>
      <c r="G101" s="222">
        <v>316.5</v>
      </c>
      <c r="H101" s="274">
        <v>-1</v>
      </c>
      <c r="I101" s="197">
        <v>5000</v>
      </c>
      <c r="J101" s="268">
        <f t="shared" si="10"/>
        <v>-5000</v>
      </c>
      <c r="K101" s="185"/>
      <c r="V101" s="183">
        <f t="shared" si="11"/>
        <v>0</v>
      </c>
      <c r="W101" s="183">
        <f t="shared" si="12"/>
        <v>1</v>
      </c>
    </row>
    <row r="102" spans="1:23" x14ac:dyDescent="0.3">
      <c r="A102" s="184"/>
      <c r="B102" s="194">
        <v>12</v>
      </c>
      <c r="C102" s="195">
        <v>44699</v>
      </c>
      <c r="D102" s="196" t="s">
        <v>23</v>
      </c>
      <c r="E102" s="222" t="s">
        <v>28</v>
      </c>
      <c r="F102" s="222">
        <v>313</v>
      </c>
      <c r="G102" s="222">
        <v>314</v>
      </c>
      <c r="H102" s="274">
        <v>-1</v>
      </c>
      <c r="I102" s="197">
        <v>5000</v>
      </c>
      <c r="J102" s="268">
        <f t="shared" si="10"/>
        <v>-5000</v>
      </c>
      <c r="K102" s="185"/>
      <c r="V102" s="183">
        <f t="shared" si="11"/>
        <v>0</v>
      </c>
      <c r="W102" s="183">
        <f t="shared" si="12"/>
        <v>1</v>
      </c>
    </row>
    <row r="103" spans="1:23" x14ac:dyDescent="0.3">
      <c r="A103" s="184"/>
      <c r="B103" s="194">
        <v>13</v>
      </c>
      <c r="C103" s="195">
        <v>44700</v>
      </c>
      <c r="D103" s="196" t="s">
        <v>23</v>
      </c>
      <c r="E103" s="222" t="s">
        <v>28</v>
      </c>
      <c r="F103" s="222">
        <v>313</v>
      </c>
      <c r="G103" s="222">
        <v>312.7</v>
      </c>
      <c r="H103" s="274">
        <f>313-312.7</f>
        <v>0.30000000000001137</v>
      </c>
      <c r="I103" s="197">
        <v>5000</v>
      </c>
      <c r="J103" s="268">
        <f t="shared" si="10"/>
        <v>1500.0000000000568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44701</v>
      </c>
      <c r="D104" s="196" t="s">
        <v>23</v>
      </c>
      <c r="E104" s="222" t="s">
        <v>28</v>
      </c>
      <c r="F104" s="222">
        <v>323</v>
      </c>
      <c r="G104" s="222">
        <v>322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15</v>
      </c>
      <c r="C105" s="195">
        <v>44704</v>
      </c>
      <c r="D105" s="196" t="s">
        <v>23</v>
      </c>
      <c r="E105" s="196" t="s">
        <v>28</v>
      </c>
      <c r="F105" s="222">
        <v>322.7</v>
      </c>
      <c r="G105" s="222">
        <v>323.7</v>
      </c>
      <c r="H105" s="196">
        <v>-1</v>
      </c>
      <c r="I105" s="197">
        <v>5000</v>
      </c>
      <c r="J105" s="268">
        <f t="shared" si="10"/>
        <v>-5000</v>
      </c>
      <c r="K105" s="185"/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16</v>
      </c>
      <c r="C106" s="195">
        <v>44705</v>
      </c>
      <c r="D106" s="196" t="s">
        <v>23</v>
      </c>
      <c r="E106" s="196" t="s">
        <v>28</v>
      </c>
      <c r="F106" s="197">
        <v>323</v>
      </c>
      <c r="G106" s="197">
        <v>322</v>
      </c>
      <c r="H106" s="196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44706</v>
      </c>
      <c r="D107" s="196" t="s">
        <v>23</v>
      </c>
      <c r="E107" s="196" t="s">
        <v>28</v>
      </c>
      <c r="F107" s="222">
        <v>320.5</v>
      </c>
      <c r="G107" s="222">
        <v>319.5</v>
      </c>
      <c r="H107" s="196">
        <v>1</v>
      </c>
      <c r="I107" s="197">
        <v>5000</v>
      </c>
      <c r="J107" s="268">
        <f t="shared" si="10"/>
        <v>5000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18</v>
      </c>
      <c r="C108" s="195">
        <v>44707</v>
      </c>
      <c r="D108" s="196" t="s">
        <v>16</v>
      </c>
      <c r="E108" s="196" t="s">
        <v>28</v>
      </c>
      <c r="F108" s="222">
        <v>320.5</v>
      </c>
      <c r="G108" s="222">
        <v>321.5</v>
      </c>
      <c r="H108" s="196">
        <v>1</v>
      </c>
      <c r="I108" s="197">
        <v>5000</v>
      </c>
      <c r="J108" s="268">
        <f t="shared" si="10"/>
        <v>5000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44708</v>
      </c>
      <c r="D109" s="196" t="s">
        <v>23</v>
      </c>
      <c r="E109" s="196" t="s">
        <v>28</v>
      </c>
      <c r="F109" s="222">
        <v>325.60000000000002</v>
      </c>
      <c r="G109" s="222">
        <v>324.10000000000002</v>
      </c>
      <c r="H109" s="274">
        <f>325.6-324.1</f>
        <v>1.5</v>
      </c>
      <c r="I109" s="197">
        <v>5000</v>
      </c>
      <c r="J109" s="268">
        <f t="shared" si="10"/>
        <v>7500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44711</v>
      </c>
      <c r="D110" s="196" t="s">
        <v>23</v>
      </c>
      <c r="E110" s="222" t="s">
        <v>28</v>
      </c>
      <c r="F110" s="222">
        <v>336</v>
      </c>
      <c r="G110" s="222">
        <v>335.4</v>
      </c>
      <c r="H110" s="274">
        <f>336-335.4</f>
        <v>0.60000000000002274</v>
      </c>
      <c r="I110" s="197">
        <v>5000</v>
      </c>
      <c r="J110" s="268">
        <f t="shared" si="10"/>
        <v>3000.0000000001137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>
        <v>44712</v>
      </c>
      <c r="D111" s="196" t="s">
        <v>23</v>
      </c>
      <c r="E111" s="222" t="s">
        <v>28</v>
      </c>
      <c r="F111" s="222">
        <v>336.7</v>
      </c>
      <c r="G111" s="222">
        <v>336.2</v>
      </c>
      <c r="H111" s="274">
        <f>336.7-336.2</f>
        <v>0.5</v>
      </c>
      <c r="I111" s="197">
        <v>5000</v>
      </c>
      <c r="J111" s="268">
        <f t="shared" si="10"/>
        <v>2500</v>
      </c>
      <c r="K111" s="185"/>
      <c r="V111" s="183">
        <f t="shared" si="11"/>
        <v>1</v>
      </c>
      <c r="W111" s="183">
        <f t="shared" si="12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59500.000000000175</v>
      </c>
      <c r="K114" s="185"/>
      <c r="V114" s="183">
        <f>SUM(V91:V113)</f>
        <v>15</v>
      </c>
      <c r="W114" s="183">
        <f>SUM(W91:W113)</f>
        <v>6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7100-000000000000}"/>
    <hyperlink ref="B83" r:id="rId2" xr:uid="{00000000-0004-0000-7100-000001000000}"/>
    <hyperlink ref="M4:M5" location="'APRIL 2022'!A1" display="BULLION" xr:uid="{00000000-0004-0000-7100-000002000000}"/>
    <hyperlink ref="B114" r:id="rId3" xr:uid="{00000000-0004-0000-7100-000003000000}"/>
    <hyperlink ref="M8:M9" location="'APRIL 2022'!A86" display="BASE METAL" xr:uid="{00000000-0004-0000-7100-000004000000}"/>
    <hyperlink ref="M1" location="MASTER!A1" display="Back" xr:uid="{00000000-0004-0000-7100-000005000000}"/>
    <hyperlink ref="M6:M7" location="'APRIL 2022'!A54" display="ENERGY" xr:uid="{00000000-0004-0000-7100-000006000000}"/>
  </hyperlinks>
  <pageMargins left="0" right="0" top="0" bottom="0" header="0" footer="0"/>
  <pageSetup paperSize="9" orientation="portrait" r:id="rId4"/>
  <drawing r:id="rId5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W115"/>
  <sheetViews>
    <sheetView topLeftCell="A10" zoomScaleNormal="100" workbookViewId="0">
      <selection activeCell="L16" sqref="L1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44713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44</v>
      </c>
      <c r="O4" s="348">
        <v>33</v>
      </c>
      <c r="P4" s="355">
        <f>W52</f>
        <v>5</v>
      </c>
      <c r="Q4" s="356">
        <v>0</v>
      </c>
      <c r="R4" s="343">
        <f>O4/N4</f>
        <v>0.75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44713</v>
      </c>
      <c r="D6" s="192" t="s">
        <v>23</v>
      </c>
      <c r="E6" s="192" t="s">
        <v>24</v>
      </c>
      <c r="F6" s="193">
        <v>50300</v>
      </c>
      <c r="G6" s="193">
        <v>50430</v>
      </c>
      <c r="H6" s="192">
        <v>130</v>
      </c>
      <c r="I6" s="193">
        <v>100</v>
      </c>
      <c r="J6" s="267">
        <f>H6*I6</f>
        <v>13000</v>
      </c>
      <c r="K6" s="185"/>
      <c r="M6" s="364" t="s">
        <v>258</v>
      </c>
      <c r="N6" s="347">
        <f>COUNT(C60:C82)</f>
        <v>22</v>
      </c>
      <c r="O6" s="348">
        <f>V83</f>
        <v>21</v>
      </c>
      <c r="P6" s="348">
        <f>W83</f>
        <v>1</v>
      </c>
      <c r="Q6" s="349">
        <f>N6-O6-P6</f>
        <v>0</v>
      </c>
      <c r="R6" s="345">
        <f t="shared" ref="R6" si="0">O6/N6</f>
        <v>0.95454545454545459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44713</v>
      </c>
      <c r="D7" s="196" t="s">
        <v>23</v>
      </c>
      <c r="E7" s="196" t="s">
        <v>22</v>
      </c>
      <c r="F7" s="197">
        <v>60700</v>
      </c>
      <c r="G7" s="197">
        <v>61000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44714</v>
      </c>
      <c r="D8" s="196" t="s">
        <v>16</v>
      </c>
      <c r="E8" s="196" t="s">
        <v>24</v>
      </c>
      <c r="F8" s="197">
        <v>51000</v>
      </c>
      <c r="G8" s="197">
        <v>51200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COUNT(C91:C113)</f>
        <v>22</v>
      </c>
      <c r="O8" s="348">
        <f>V114</f>
        <v>19</v>
      </c>
      <c r="P8" s="348">
        <f>W114</f>
        <v>3</v>
      </c>
      <c r="Q8" s="349">
        <f>N8-O8-P8</f>
        <v>0</v>
      </c>
      <c r="R8" s="345">
        <f t="shared" ref="R8" si="4">O8/N8</f>
        <v>0.86363636363636365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44714</v>
      </c>
      <c r="D9" s="196" t="s">
        <v>16</v>
      </c>
      <c r="E9" s="196" t="s">
        <v>22</v>
      </c>
      <c r="F9" s="197">
        <v>61950</v>
      </c>
      <c r="G9" s="197">
        <v>62435</v>
      </c>
      <c r="H9" s="196">
        <f>62435-61950</f>
        <v>485</v>
      </c>
      <c r="I9" s="197">
        <v>30</v>
      </c>
      <c r="J9" s="268">
        <f t="shared" si="1"/>
        <v>14550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44715</v>
      </c>
      <c r="D10" s="196" t="s">
        <v>23</v>
      </c>
      <c r="E10" s="196" t="s">
        <v>24</v>
      </c>
      <c r="F10" s="197">
        <v>51300</v>
      </c>
      <c r="G10" s="197">
        <v>51110</v>
      </c>
      <c r="H10" s="196">
        <f>51300-51110</f>
        <v>190</v>
      </c>
      <c r="I10" s="197">
        <v>100</v>
      </c>
      <c r="J10" s="268">
        <f t="shared" si="1"/>
        <v>19000</v>
      </c>
      <c r="K10" s="185"/>
      <c r="M10" s="319" t="s">
        <v>300</v>
      </c>
      <c r="N10" s="321">
        <f>SUM(N4:N9)</f>
        <v>88</v>
      </c>
      <c r="O10" s="321">
        <f>SUM(O4:O9)</f>
        <v>73</v>
      </c>
      <c r="P10" s="321">
        <f>SUM(P4:P9)</f>
        <v>9</v>
      </c>
      <c r="Q10" s="341">
        <f>SUM(Q4:Q9)</f>
        <v>0</v>
      </c>
      <c r="R10" s="343">
        <f t="shared" ref="R10" si="5">O10/N10</f>
        <v>0.82954545454545459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44715</v>
      </c>
      <c r="D11" s="196" t="s">
        <v>23</v>
      </c>
      <c r="E11" s="196" t="s">
        <v>22</v>
      </c>
      <c r="F11" s="197">
        <v>62750</v>
      </c>
      <c r="G11" s="197">
        <v>62364</v>
      </c>
      <c r="H11" s="196">
        <f>62750-62364</f>
        <v>386</v>
      </c>
      <c r="I11" s="197">
        <v>30</v>
      </c>
      <c r="J11" s="268">
        <f t="shared" si="1"/>
        <v>11580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44718</v>
      </c>
      <c r="D12" s="196" t="s">
        <v>23</v>
      </c>
      <c r="E12" s="196" t="s">
        <v>24</v>
      </c>
      <c r="F12" s="197">
        <v>51020</v>
      </c>
      <c r="G12" s="197">
        <v>50865</v>
      </c>
      <c r="H12" s="196">
        <f>51020-50865</f>
        <v>155</v>
      </c>
      <c r="I12" s="197">
        <v>100</v>
      </c>
      <c r="J12" s="268">
        <f t="shared" si="1"/>
        <v>15500</v>
      </c>
      <c r="K12" s="185"/>
      <c r="M12" s="323" t="s">
        <v>878</v>
      </c>
      <c r="N12" s="324"/>
      <c r="O12" s="325"/>
      <c r="P12" s="332">
        <f>R10</f>
        <v>0.82954545454545459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44718</v>
      </c>
      <c r="D13" s="196" t="s">
        <v>23</v>
      </c>
      <c r="E13" s="196" t="s">
        <v>22</v>
      </c>
      <c r="F13" s="197">
        <v>62500</v>
      </c>
      <c r="G13" s="197">
        <v>62800</v>
      </c>
      <c r="H13" s="196">
        <v>-300</v>
      </c>
      <c r="I13" s="197">
        <v>30</v>
      </c>
      <c r="J13" s="268">
        <f t="shared" si="1"/>
        <v>-9000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44719</v>
      </c>
      <c r="D14" s="196" t="s">
        <v>23</v>
      </c>
      <c r="E14" s="196" t="s">
        <v>24</v>
      </c>
      <c r="F14" s="197">
        <v>50900</v>
      </c>
      <c r="G14" s="197">
        <v>51000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44719</v>
      </c>
      <c r="D15" s="196" t="s">
        <v>23</v>
      </c>
      <c r="E15" s="196" t="s">
        <v>22</v>
      </c>
      <c r="F15" s="197">
        <v>61850</v>
      </c>
      <c r="G15" s="197">
        <v>61700</v>
      </c>
      <c r="H15" s="196">
        <f>61850-61700</f>
        <v>150</v>
      </c>
      <c r="I15" s="197">
        <v>30</v>
      </c>
      <c r="J15" s="268">
        <f t="shared" si="1"/>
        <v>4500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37415</v>
      </c>
      <c r="D16" s="196" t="s">
        <v>23</v>
      </c>
      <c r="E16" s="196" t="s">
        <v>24</v>
      </c>
      <c r="F16" s="197">
        <v>50940</v>
      </c>
      <c r="G16" s="197">
        <v>50851</v>
      </c>
      <c r="H16" s="196">
        <v>89</v>
      </c>
      <c r="I16" s="197">
        <v>100</v>
      </c>
      <c r="J16" s="268">
        <f t="shared" si="1"/>
        <v>8900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44720</v>
      </c>
      <c r="D17" s="196" t="s">
        <v>23</v>
      </c>
      <c r="E17" s="196" t="s">
        <v>22</v>
      </c>
      <c r="F17" s="197">
        <v>62000</v>
      </c>
      <c r="G17" s="197">
        <v>61460</v>
      </c>
      <c r="H17" s="196">
        <f>62000-61460</f>
        <v>540</v>
      </c>
      <c r="I17" s="197">
        <v>30</v>
      </c>
      <c r="J17" s="268">
        <f t="shared" si="1"/>
        <v>16200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44721</v>
      </c>
      <c r="D18" s="196" t="s">
        <v>23</v>
      </c>
      <c r="E18" s="196" t="s">
        <v>24</v>
      </c>
      <c r="F18" s="197">
        <v>50980</v>
      </c>
      <c r="G18" s="197">
        <v>50880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44721</v>
      </c>
      <c r="D19" s="196" t="s">
        <v>23</v>
      </c>
      <c r="E19" s="196" t="s">
        <v>22</v>
      </c>
      <c r="F19" s="197">
        <v>61900</v>
      </c>
      <c r="G19" s="197">
        <v>61665</v>
      </c>
      <c r="H19" s="196">
        <f>61900-61665</f>
        <v>235</v>
      </c>
      <c r="I19" s="197">
        <v>30</v>
      </c>
      <c r="J19" s="268">
        <f t="shared" si="1"/>
        <v>7050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44722</v>
      </c>
      <c r="D20" s="196" t="s">
        <v>23</v>
      </c>
      <c r="E20" s="196" t="s">
        <v>24</v>
      </c>
      <c r="F20" s="197">
        <v>50880</v>
      </c>
      <c r="G20" s="197">
        <v>50680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44722</v>
      </c>
      <c r="D21" s="196" t="s">
        <v>23</v>
      </c>
      <c r="E21" s="196" t="s">
        <v>22</v>
      </c>
      <c r="F21" s="197">
        <v>61000</v>
      </c>
      <c r="G21" s="197">
        <v>60400</v>
      </c>
      <c r="H21" s="196">
        <f>61000-60400</f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44725</v>
      </c>
      <c r="D22" s="196" t="s">
        <v>23</v>
      </c>
      <c r="E22" s="196" t="s">
        <v>24</v>
      </c>
      <c r="F22" s="197">
        <v>51270</v>
      </c>
      <c r="G22" s="197">
        <v>51070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44725</v>
      </c>
      <c r="D23" s="196" t="s">
        <v>23</v>
      </c>
      <c r="E23" s="196" t="s">
        <v>22</v>
      </c>
      <c r="F23" s="197">
        <v>60900</v>
      </c>
      <c r="G23" s="197">
        <v>60600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44726</v>
      </c>
      <c r="D24" s="196" t="s">
        <v>23</v>
      </c>
      <c r="E24" s="196" t="s">
        <v>24</v>
      </c>
      <c r="F24" s="197">
        <v>50600</v>
      </c>
      <c r="G24" s="197">
        <v>50400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44726</v>
      </c>
      <c r="D25" s="196" t="s">
        <v>23</v>
      </c>
      <c r="E25" s="196" t="s">
        <v>22</v>
      </c>
      <c r="F25" s="197">
        <v>60200</v>
      </c>
      <c r="G25" s="197">
        <v>59800</v>
      </c>
      <c r="H25" s="196">
        <f>60200-59800</f>
        <v>400</v>
      </c>
      <c r="I25" s="197">
        <v>30</v>
      </c>
      <c r="J25" s="268">
        <f t="shared" si="1"/>
        <v>12000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44727</v>
      </c>
      <c r="D26" s="196" t="s">
        <v>16</v>
      </c>
      <c r="E26" s="196" t="s">
        <v>24</v>
      </c>
      <c r="F26" s="197">
        <v>50430</v>
      </c>
      <c r="G26" s="197">
        <v>50630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44727</v>
      </c>
      <c r="D27" s="196" t="s">
        <v>16</v>
      </c>
      <c r="E27" s="196" t="s">
        <v>22</v>
      </c>
      <c r="F27" s="197">
        <v>60400</v>
      </c>
      <c r="G27" s="197">
        <v>61000</v>
      </c>
      <c r="H27" s="196">
        <f>61000-60400</f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44728</v>
      </c>
      <c r="D28" s="196" t="s">
        <v>23</v>
      </c>
      <c r="E28" s="196" t="s">
        <v>24</v>
      </c>
      <c r="F28" s="197">
        <v>50480</v>
      </c>
      <c r="G28" s="197">
        <v>50300</v>
      </c>
      <c r="H28" s="196">
        <f>50480-50300</f>
        <v>180</v>
      </c>
      <c r="I28" s="197">
        <v>100</v>
      </c>
      <c r="J28" s="268">
        <f t="shared" si="1"/>
        <v>18000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44728</v>
      </c>
      <c r="D29" s="196" t="s">
        <v>23</v>
      </c>
      <c r="E29" s="196" t="s">
        <v>22</v>
      </c>
      <c r="F29" s="197">
        <v>60650</v>
      </c>
      <c r="G29" s="197">
        <v>60385</v>
      </c>
      <c r="H29" s="196">
        <f>60650-60385</f>
        <v>265</v>
      </c>
      <c r="I29" s="197">
        <v>30</v>
      </c>
      <c r="J29" s="268">
        <f t="shared" si="1"/>
        <v>7950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44729</v>
      </c>
      <c r="D30" s="196" t="s">
        <v>23</v>
      </c>
      <c r="E30" s="196" t="s">
        <v>24</v>
      </c>
      <c r="F30" s="197">
        <v>51070</v>
      </c>
      <c r="G30" s="197">
        <v>50970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44729</v>
      </c>
      <c r="D31" s="196" t="s">
        <v>23</v>
      </c>
      <c r="E31" s="196" t="s">
        <v>22</v>
      </c>
      <c r="F31" s="197">
        <v>61600</v>
      </c>
      <c r="G31" s="197">
        <v>61380</v>
      </c>
      <c r="H31" s="196">
        <f>61600-61380</f>
        <v>220</v>
      </c>
      <c r="I31" s="197">
        <v>30</v>
      </c>
      <c r="J31" s="268">
        <f t="shared" si="1"/>
        <v>6600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44732</v>
      </c>
      <c r="D32" s="196" t="s">
        <v>23</v>
      </c>
      <c r="E32" s="196" t="s">
        <v>24</v>
      </c>
      <c r="F32" s="197">
        <v>50800</v>
      </c>
      <c r="G32" s="197">
        <v>50690</v>
      </c>
      <c r="H32" s="196">
        <f>50800-50690</f>
        <v>110</v>
      </c>
      <c r="I32" s="197">
        <v>100</v>
      </c>
      <c r="J32" s="268">
        <f t="shared" si="1"/>
        <v>11000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44732</v>
      </c>
      <c r="D33" s="196" t="s">
        <v>23</v>
      </c>
      <c r="E33" s="196" t="s">
        <v>22</v>
      </c>
      <c r="F33" s="197">
        <v>60900</v>
      </c>
      <c r="G33" s="197">
        <v>60705</v>
      </c>
      <c r="H33" s="196">
        <f>60900-60705</f>
        <v>195</v>
      </c>
      <c r="I33" s="197">
        <v>30</v>
      </c>
      <c r="J33" s="268">
        <f t="shared" si="1"/>
        <v>5850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44733</v>
      </c>
      <c r="D34" s="196" t="s">
        <v>23</v>
      </c>
      <c r="E34" s="196" t="s">
        <v>24</v>
      </c>
      <c r="F34" s="197">
        <v>50790</v>
      </c>
      <c r="G34" s="197">
        <v>50690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44733</v>
      </c>
      <c r="D35" s="196" t="s">
        <v>23</v>
      </c>
      <c r="E35" s="196" t="s">
        <v>22</v>
      </c>
      <c r="F35" s="197">
        <v>61000</v>
      </c>
      <c r="G35" s="197">
        <v>61300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ref="W35:W40" si="6">IF($J35&lt;0,1,0)</f>
        <v>1</v>
      </c>
    </row>
    <row r="36" spans="1:23" x14ac:dyDescent="0.3">
      <c r="A36" s="184"/>
      <c r="B36" s="194">
        <v>31</v>
      </c>
      <c r="C36" s="195">
        <v>44734</v>
      </c>
      <c r="D36" s="196" t="s">
        <v>23</v>
      </c>
      <c r="E36" s="196" t="s">
        <v>24</v>
      </c>
      <c r="F36" s="197">
        <v>50560</v>
      </c>
      <c r="G36" s="197">
        <v>50660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44734</v>
      </c>
      <c r="D37" s="196" t="s">
        <v>23</v>
      </c>
      <c r="E37" s="196" t="s">
        <v>22</v>
      </c>
      <c r="F37" s="197">
        <v>60300</v>
      </c>
      <c r="G37" s="197">
        <v>60180</v>
      </c>
      <c r="H37" s="196">
        <f>60300-60180</f>
        <v>120</v>
      </c>
      <c r="I37" s="197">
        <v>30</v>
      </c>
      <c r="J37" s="268">
        <f t="shared" si="1"/>
        <v>3600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44735</v>
      </c>
      <c r="D38" s="196" t="s">
        <v>23</v>
      </c>
      <c r="E38" s="196" t="s">
        <v>24</v>
      </c>
      <c r="F38" s="197">
        <v>50810</v>
      </c>
      <c r="G38" s="197">
        <v>50685</v>
      </c>
      <c r="H38" s="196">
        <f>50810-50685</f>
        <v>125</v>
      </c>
      <c r="I38" s="197">
        <v>100</v>
      </c>
      <c r="J38" s="268">
        <f t="shared" si="1"/>
        <v>12500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44735</v>
      </c>
      <c r="D39" s="196" t="s">
        <v>23</v>
      </c>
      <c r="E39" s="196" t="s">
        <v>22</v>
      </c>
      <c r="F39" s="197">
        <v>60100</v>
      </c>
      <c r="G39" s="197">
        <v>59800</v>
      </c>
      <c r="H39" s="196">
        <f>60100-59800</f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44736</v>
      </c>
      <c r="D40" s="196" t="s">
        <v>23</v>
      </c>
      <c r="E40" s="196" t="s">
        <v>24</v>
      </c>
      <c r="F40" s="197">
        <v>50620</v>
      </c>
      <c r="G40" s="197">
        <v>50520</v>
      </c>
      <c r="H40" s="196">
        <v>100</v>
      </c>
      <c r="I40" s="197">
        <v>100</v>
      </c>
      <c r="J40" s="268">
        <f t="shared" si="1"/>
        <v>10000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44736</v>
      </c>
      <c r="D41" s="196" t="s">
        <v>23</v>
      </c>
      <c r="E41" s="196" t="s">
        <v>22</v>
      </c>
      <c r="F41" s="197">
        <v>59400</v>
      </c>
      <c r="G41" s="197">
        <v>59100</v>
      </c>
      <c r="H41" s="196">
        <f>59400-59100</f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44739</v>
      </c>
      <c r="D42" s="196" t="s">
        <v>23</v>
      </c>
      <c r="E42" s="196" t="s">
        <v>24</v>
      </c>
      <c r="F42" s="197">
        <v>50930</v>
      </c>
      <c r="G42" s="197">
        <v>50804</v>
      </c>
      <c r="H42" s="196">
        <f>50930-50804</f>
        <v>126</v>
      </c>
      <c r="I42" s="197">
        <v>100</v>
      </c>
      <c r="J42" s="268">
        <f t="shared" si="1"/>
        <v>12600</v>
      </c>
      <c r="K42" s="185"/>
    </row>
    <row r="43" spans="1:23" x14ac:dyDescent="0.3">
      <c r="A43" s="184"/>
      <c r="B43" s="194">
        <v>38</v>
      </c>
      <c r="C43" s="195">
        <v>44739</v>
      </c>
      <c r="D43" s="196" t="s">
        <v>23</v>
      </c>
      <c r="E43" s="196" t="s">
        <v>22</v>
      </c>
      <c r="F43" s="197">
        <v>60700</v>
      </c>
      <c r="G43" s="197">
        <v>60400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44740</v>
      </c>
      <c r="D44" s="196" t="s">
        <v>23</v>
      </c>
      <c r="E44" s="196" t="s">
        <v>24</v>
      </c>
      <c r="F44" s="197">
        <v>50900</v>
      </c>
      <c r="G44" s="197">
        <v>50820</v>
      </c>
      <c r="H44" s="196">
        <f>50900-50820</f>
        <v>80</v>
      </c>
      <c r="I44" s="197">
        <v>100</v>
      </c>
      <c r="J44" s="268">
        <f t="shared" si="1"/>
        <v>8000</v>
      </c>
      <c r="K44" s="185"/>
    </row>
    <row r="45" spans="1:23" x14ac:dyDescent="0.3">
      <c r="A45" s="184"/>
      <c r="B45" s="194">
        <v>40</v>
      </c>
      <c r="C45" s="195">
        <v>44740</v>
      </c>
      <c r="D45" s="196" t="s">
        <v>23</v>
      </c>
      <c r="E45" s="196" t="s">
        <v>22</v>
      </c>
      <c r="F45" s="197">
        <v>60450</v>
      </c>
      <c r="G45" s="197">
        <v>60150</v>
      </c>
      <c r="H45" s="196">
        <f>60450-60150</f>
        <v>300</v>
      </c>
      <c r="I45" s="197">
        <v>30</v>
      </c>
      <c r="J45" s="268">
        <f t="shared" si="1"/>
        <v>9000</v>
      </c>
      <c r="K45" s="185"/>
    </row>
    <row r="46" spans="1:23" x14ac:dyDescent="0.3">
      <c r="A46" s="184"/>
      <c r="B46" s="194">
        <v>41</v>
      </c>
      <c r="C46" s="195">
        <v>44741</v>
      </c>
      <c r="D46" s="196" t="s">
        <v>23</v>
      </c>
      <c r="E46" s="196" t="s">
        <v>24</v>
      </c>
      <c r="F46" s="197">
        <v>50800</v>
      </c>
      <c r="G46" s="197">
        <v>50660</v>
      </c>
      <c r="H46" s="196">
        <f>50800-50660</f>
        <v>140</v>
      </c>
      <c r="I46" s="197">
        <v>100</v>
      </c>
      <c r="J46" s="268">
        <f t="shared" si="1"/>
        <v>14000</v>
      </c>
      <c r="K46" s="185"/>
    </row>
    <row r="47" spans="1:23" x14ac:dyDescent="0.3">
      <c r="A47" s="184"/>
      <c r="B47" s="194">
        <v>42</v>
      </c>
      <c r="C47" s="195">
        <v>44741</v>
      </c>
      <c r="D47" s="196" t="s">
        <v>23</v>
      </c>
      <c r="E47" s="196" t="s">
        <v>22</v>
      </c>
      <c r="F47" s="197">
        <v>59350</v>
      </c>
      <c r="G47" s="197">
        <v>59105</v>
      </c>
      <c r="H47" s="196">
        <f>59350-59105</f>
        <v>245</v>
      </c>
      <c r="I47" s="197">
        <v>30</v>
      </c>
      <c r="J47" s="268">
        <f t="shared" si="1"/>
        <v>7350</v>
      </c>
      <c r="K47" s="185"/>
    </row>
    <row r="48" spans="1:23" x14ac:dyDescent="0.3">
      <c r="A48" s="184"/>
      <c r="B48" s="194">
        <v>43</v>
      </c>
      <c r="C48" s="195">
        <v>44742</v>
      </c>
      <c r="D48" s="196" t="s">
        <v>23</v>
      </c>
      <c r="E48" s="196" t="s">
        <v>24</v>
      </c>
      <c r="F48" s="197">
        <v>50690</v>
      </c>
      <c r="G48" s="197">
        <v>50601</v>
      </c>
      <c r="H48" s="196">
        <v>89</v>
      </c>
      <c r="I48" s="197">
        <v>100</v>
      </c>
      <c r="J48" s="268">
        <f t="shared" si="1"/>
        <v>8900</v>
      </c>
      <c r="K48" s="185"/>
      <c r="V48" s="183">
        <f t="shared" si="2"/>
        <v>1</v>
      </c>
      <c r="W48" s="183">
        <f t="shared" si="3"/>
        <v>0</v>
      </c>
    </row>
    <row r="49" spans="1:23" x14ac:dyDescent="0.3">
      <c r="A49" s="184"/>
      <c r="B49" s="194">
        <v>44</v>
      </c>
      <c r="C49" s="195">
        <v>44742</v>
      </c>
      <c r="D49" s="196" t="s">
        <v>23</v>
      </c>
      <c r="E49" s="196" t="s">
        <v>22</v>
      </c>
      <c r="F49" s="197">
        <v>59550</v>
      </c>
      <c r="G49" s="197">
        <v>58950</v>
      </c>
      <c r="H49" s="196">
        <v>600</v>
      </c>
      <c r="I49" s="197">
        <v>30</v>
      </c>
      <c r="J49" s="268">
        <f t="shared" si="1"/>
        <v>18000</v>
      </c>
      <c r="K49" s="185"/>
      <c r="V49" s="183">
        <f t="shared" si="2"/>
        <v>1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420630</v>
      </c>
      <c r="K52" s="185"/>
      <c r="V52" s="183">
        <f>SUM(V6:V51)</f>
        <v>33</v>
      </c>
      <c r="W52" s="183">
        <f>SUM(W6:W51)</f>
        <v>5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44713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44713</v>
      </c>
      <c r="D60" s="192" t="s">
        <v>23</v>
      </c>
      <c r="E60" s="192" t="s">
        <v>25</v>
      </c>
      <c r="F60" s="193">
        <v>9050</v>
      </c>
      <c r="G60" s="193">
        <v>8990</v>
      </c>
      <c r="H60" s="192">
        <f>9050-8990</f>
        <v>60</v>
      </c>
      <c r="I60" s="193">
        <v>100</v>
      </c>
      <c r="J60" s="267">
        <f t="shared" ref="J60:J82" si="7">I60*H60</f>
        <v>6000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44714</v>
      </c>
      <c r="D61" s="196" t="s">
        <v>16</v>
      </c>
      <c r="E61" s="196" t="s">
        <v>25</v>
      </c>
      <c r="F61" s="197">
        <v>8745</v>
      </c>
      <c r="G61" s="197">
        <v>8762</v>
      </c>
      <c r="H61" s="196">
        <v>17</v>
      </c>
      <c r="I61" s="197">
        <v>100</v>
      </c>
      <c r="J61" s="268">
        <f t="shared" si="7"/>
        <v>1700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44715</v>
      </c>
      <c r="D62" s="196" t="s">
        <v>23</v>
      </c>
      <c r="E62" s="196" t="s">
        <v>25</v>
      </c>
      <c r="F62" s="197">
        <v>9010</v>
      </c>
      <c r="G62" s="197">
        <v>8989</v>
      </c>
      <c r="H62" s="196">
        <f>9010-8989</f>
        <v>21</v>
      </c>
      <c r="I62" s="197">
        <v>100</v>
      </c>
      <c r="J62" s="268">
        <f t="shared" si="7"/>
        <v>2100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4</v>
      </c>
      <c r="C63" s="195">
        <v>44718</v>
      </c>
      <c r="D63" s="196" t="s">
        <v>23</v>
      </c>
      <c r="E63" s="196" t="s">
        <v>25</v>
      </c>
      <c r="F63" s="197">
        <v>9270</v>
      </c>
      <c r="G63" s="197">
        <v>9243</v>
      </c>
      <c r="H63" s="196">
        <f>9270-9243</f>
        <v>27</v>
      </c>
      <c r="I63" s="197">
        <v>100</v>
      </c>
      <c r="J63" s="268">
        <f t="shared" si="7"/>
        <v>2700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44719</v>
      </c>
      <c r="D64" s="196" t="s">
        <v>23</v>
      </c>
      <c r="E64" s="196" t="s">
        <v>25</v>
      </c>
      <c r="F64" s="197">
        <v>9190</v>
      </c>
      <c r="G64" s="197">
        <v>9170</v>
      </c>
      <c r="H64" s="196">
        <v>20</v>
      </c>
      <c r="I64" s="197">
        <v>100</v>
      </c>
      <c r="J64" s="268">
        <f t="shared" si="7"/>
        <v>2000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44720</v>
      </c>
      <c r="D65" s="196" t="s">
        <v>23</v>
      </c>
      <c r="E65" s="196" t="s">
        <v>25</v>
      </c>
      <c r="F65" s="197">
        <v>9350</v>
      </c>
      <c r="G65" s="197">
        <v>9330</v>
      </c>
      <c r="H65" s="196">
        <v>20</v>
      </c>
      <c r="I65" s="197">
        <v>100</v>
      </c>
      <c r="J65" s="268">
        <f t="shared" si="7"/>
        <v>2000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44721</v>
      </c>
      <c r="D66" s="196" t="s">
        <v>23</v>
      </c>
      <c r="E66" s="196" t="s">
        <v>25</v>
      </c>
      <c r="F66" s="222">
        <v>9480</v>
      </c>
      <c r="G66" s="222">
        <v>9444</v>
      </c>
      <c r="H66" s="196">
        <f>9480-9444</f>
        <v>36</v>
      </c>
      <c r="I66" s="197">
        <v>100</v>
      </c>
      <c r="J66" s="268">
        <f t="shared" si="7"/>
        <v>3600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44722</v>
      </c>
      <c r="D67" s="196" t="s">
        <v>23</v>
      </c>
      <c r="E67" s="196" t="s">
        <v>25</v>
      </c>
      <c r="F67" s="197">
        <v>9390</v>
      </c>
      <c r="G67" s="197">
        <v>9372</v>
      </c>
      <c r="H67" s="196">
        <f>9390-9372</f>
        <v>18</v>
      </c>
      <c r="I67" s="197">
        <v>100</v>
      </c>
      <c r="J67" s="268">
        <f t="shared" si="7"/>
        <v>1800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9</v>
      </c>
      <c r="C68" s="195">
        <v>44725</v>
      </c>
      <c r="D68" s="196" t="s">
        <v>23</v>
      </c>
      <c r="E68" s="196" t="s">
        <v>25</v>
      </c>
      <c r="F68" s="197">
        <v>9270</v>
      </c>
      <c r="G68" s="197">
        <v>9255</v>
      </c>
      <c r="H68" s="196">
        <f>9270-9255</f>
        <v>15</v>
      </c>
      <c r="I68" s="197">
        <v>100</v>
      </c>
      <c r="J68" s="268">
        <f t="shared" si="7"/>
        <v>1500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44726</v>
      </c>
      <c r="D69" s="196" t="s">
        <v>23</v>
      </c>
      <c r="E69" s="196" t="s">
        <v>25</v>
      </c>
      <c r="F69" s="197">
        <v>9500</v>
      </c>
      <c r="G69" s="197">
        <v>9460</v>
      </c>
      <c r="H69" s="196">
        <f>9500-9460</f>
        <v>40</v>
      </c>
      <c r="I69" s="197">
        <v>100</v>
      </c>
      <c r="J69" s="268">
        <f t="shared" si="7"/>
        <v>4000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11</v>
      </c>
      <c r="C70" s="195">
        <v>44727</v>
      </c>
      <c r="D70" s="196" t="s">
        <v>23</v>
      </c>
      <c r="E70" s="196" t="s">
        <v>25</v>
      </c>
      <c r="F70" s="197">
        <v>9240</v>
      </c>
      <c r="G70" s="197">
        <v>9180</v>
      </c>
      <c r="H70" s="196"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44728</v>
      </c>
      <c r="D71" s="196" t="s">
        <v>23</v>
      </c>
      <c r="E71" s="196" t="s">
        <v>25</v>
      </c>
      <c r="F71" s="197">
        <v>8970</v>
      </c>
      <c r="G71" s="197">
        <v>8915</v>
      </c>
      <c r="H71" s="196">
        <f>8970-8915</f>
        <v>55</v>
      </c>
      <c r="I71" s="197">
        <v>100</v>
      </c>
      <c r="J71" s="268">
        <f t="shared" si="7"/>
        <v>5500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13</v>
      </c>
      <c r="C72" s="195">
        <v>44729</v>
      </c>
      <c r="D72" s="196" t="s">
        <v>23</v>
      </c>
      <c r="E72" s="196" t="s">
        <v>25</v>
      </c>
      <c r="F72" s="197">
        <v>9100</v>
      </c>
      <c r="G72" s="197">
        <v>9040</v>
      </c>
      <c r="H72" s="196">
        <f>9100-9040</f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44732</v>
      </c>
      <c r="D73" s="196" t="s">
        <v>23</v>
      </c>
      <c r="E73" s="196" t="s">
        <v>25</v>
      </c>
      <c r="F73" s="197">
        <v>8440</v>
      </c>
      <c r="G73" s="197">
        <v>8400</v>
      </c>
      <c r="H73" s="196">
        <v>40</v>
      </c>
      <c r="I73" s="197">
        <v>100</v>
      </c>
      <c r="J73" s="268">
        <f t="shared" si="7"/>
        <v>4000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44733</v>
      </c>
      <c r="D74" s="196" t="s">
        <v>23</v>
      </c>
      <c r="E74" s="196" t="s">
        <v>25</v>
      </c>
      <c r="F74" s="197">
        <v>8620</v>
      </c>
      <c r="G74" s="197">
        <v>8650</v>
      </c>
      <c r="H74" s="196">
        <v>-30</v>
      </c>
      <c r="I74" s="197">
        <v>100</v>
      </c>
      <c r="J74" s="268">
        <f t="shared" si="7"/>
        <v>-3000</v>
      </c>
      <c r="K74" s="185"/>
      <c r="V74" s="183">
        <f t="shared" si="8"/>
        <v>0</v>
      </c>
      <c r="W74" s="183">
        <f t="shared" si="9"/>
        <v>1</v>
      </c>
    </row>
    <row r="75" spans="1:23" x14ac:dyDescent="0.3">
      <c r="A75" s="184"/>
      <c r="B75" s="194">
        <v>16</v>
      </c>
      <c r="C75" s="195">
        <v>44734</v>
      </c>
      <c r="D75" s="196" t="s">
        <v>23</v>
      </c>
      <c r="E75" s="196" t="s">
        <v>25</v>
      </c>
      <c r="F75" s="197">
        <v>8170</v>
      </c>
      <c r="G75" s="197">
        <v>8155</v>
      </c>
      <c r="H75" s="196">
        <f>8170-8155</f>
        <v>15</v>
      </c>
      <c r="I75" s="197">
        <v>100</v>
      </c>
      <c r="J75" s="268">
        <f t="shared" si="7"/>
        <v>1500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44735</v>
      </c>
      <c r="D76" s="196" t="s">
        <v>16</v>
      </c>
      <c r="E76" s="196" t="s">
        <v>25</v>
      </c>
      <c r="F76" s="197">
        <v>8190</v>
      </c>
      <c r="G76" s="197">
        <v>8250</v>
      </c>
      <c r="H76" s="196">
        <f>8250-8190</f>
        <v>60</v>
      </c>
      <c r="I76" s="197">
        <v>100</v>
      </c>
      <c r="J76" s="268">
        <f t="shared" si="7"/>
        <v>6000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255"/>
      <c r="B77" s="194">
        <v>18</v>
      </c>
      <c r="C77" s="195">
        <v>44736</v>
      </c>
      <c r="D77" s="196" t="s">
        <v>23</v>
      </c>
      <c r="E77" s="196" t="s">
        <v>25</v>
      </c>
      <c r="F77" s="197">
        <v>8245</v>
      </c>
      <c r="G77" s="197">
        <v>8225</v>
      </c>
      <c r="H77" s="196">
        <v>20</v>
      </c>
      <c r="I77" s="197">
        <v>100</v>
      </c>
      <c r="J77" s="268">
        <f t="shared" si="7"/>
        <v>2000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44739</v>
      </c>
      <c r="D78" s="196" t="s">
        <v>23</v>
      </c>
      <c r="E78" s="196" t="s">
        <v>25</v>
      </c>
      <c r="F78" s="197">
        <v>8430</v>
      </c>
      <c r="G78" s="197">
        <v>8379</v>
      </c>
      <c r="H78" s="196">
        <v>50</v>
      </c>
      <c r="I78" s="197">
        <v>100</v>
      </c>
      <c r="J78" s="268">
        <f t="shared" si="7"/>
        <v>5000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44740</v>
      </c>
      <c r="D79" s="196" t="s">
        <v>23</v>
      </c>
      <c r="E79" s="196" t="s">
        <v>25</v>
      </c>
      <c r="F79" s="197">
        <v>8740</v>
      </c>
      <c r="G79" s="197">
        <v>8725</v>
      </c>
      <c r="H79" s="196">
        <f>8740-8725</f>
        <v>15</v>
      </c>
      <c r="I79" s="197">
        <v>100</v>
      </c>
      <c r="J79" s="268">
        <f t="shared" si="7"/>
        <v>1500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>
        <v>44741</v>
      </c>
      <c r="D80" s="196" t="s">
        <v>23</v>
      </c>
      <c r="E80" s="196" t="s">
        <v>25</v>
      </c>
      <c r="F80" s="197">
        <v>8780</v>
      </c>
      <c r="G80" s="197">
        <v>8760</v>
      </c>
      <c r="H80" s="196">
        <v>20</v>
      </c>
      <c r="I80" s="197">
        <v>100</v>
      </c>
      <c r="J80" s="268">
        <f t="shared" si="7"/>
        <v>2000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22</v>
      </c>
      <c r="C81" s="195">
        <v>44742</v>
      </c>
      <c r="D81" s="196" t="s">
        <v>16</v>
      </c>
      <c r="E81" s="196" t="s">
        <v>25</v>
      </c>
      <c r="F81" s="197">
        <v>8680</v>
      </c>
      <c r="G81" s="197">
        <v>8697</v>
      </c>
      <c r="H81" s="196">
        <v>17</v>
      </c>
      <c r="I81" s="197">
        <v>100</v>
      </c>
      <c r="J81" s="268">
        <f t="shared" si="7"/>
        <v>1700</v>
      </c>
      <c r="K81" s="185"/>
      <c r="V81" s="183">
        <f t="shared" si="8"/>
        <v>1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65600</v>
      </c>
      <c r="K83" s="185"/>
      <c r="V83" s="183">
        <f>SUM(V60:V82)</f>
        <v>21</v>
      </c>
      <c r="W83" s="183">
        <f>SUM(W60:W82)</f>
        <v>1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44713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44713</v>
      </c>
      <c r="D91" s="216" t="s">
        <v>16</v>
      </c>
      <c r="E91" s="256" t="s">
        <v>28</v>
      </c>
      <c r="F91" s="256">
        <v>331</v>
      </c>
      <c r="G91" s="256">
        <v>333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44714</v>
      </c>
      <c r="D92" s="196" t="s">
        <v>16</v>
      </c>
      <c r="E92" s="222" t="s">
        <v>28</v>
      </c>
      <c r="F92" s="222">
        <v>335.5</v>
      </c>
      <c r="G92" s="222">
        <v>334.5</v>
      </c>
      <c r="H92" s="222">
        <v>-1</v>
      </c>
      <c r="I92" s="197">
        <v>5000</v>
      </c>
      <c r="J92" s="268">
        <f t="shared" ref="J92:J113" si="10">I92*H92</f>
        <v>-5000</v>
      </c>
      <c r="K92" s="185"/>
      <c r="V92" s="183">
        <f t="shared" ref="V92:V113" si="11">IF($J92&gt;0,1,0)</f>
        <v>0</v>
      </c>
      <c r="W92" s="183">
        <f t="shared" ref="W92:W113" si="12">IF($J92&lt;0,1,0)</f>
        <v>1</v>
      </c>
    </row>
    <row r="93" spans="1:23" x14ac:dyDescent="0.3">
      <c r="A93" s="184"/>
      <c r="B93" s="194">
        <v>3</v>
      </c>
      <c r="C93" s="195">
        <v>44715</v>
      </c>
      <c r="D93" s="196" t="s">
        <v>23</v>
      </c>
      <c r="E93" s="222" t="s">
        <v>28</v>
      </c>
      <c r="F93" s="222">
        <v>335.6</v>
      </c>
      <c r="G93" s="222">
        <v>336.6</v>
      </c>
      <c r="H93" s="222">
        <v>-1</v>
      </c>
      <c r="I93" s="197">
        <v>5000</v>
      </c>
      <c r="J93" s="268">
        <f t="shared" si="10"/>
        <v>-5000</v>
      </c>
      <c r="K93" s="185"/>
      <c r="V93" s="183">
        <f t="shared" si="11"/>
        <v>0</v>
      </c>
      <c r="W93" s="183">
        <f t="shared" si="12"/>
        <v>1</v>
      </c>
    </row>
    <row r="94" spans="1:23" x14ac:dyDescent="0.3">
      <c r="A94" s="184"/>
      <c r="B94" s="194">
        <v>4</v>
      </c>
      <c r="C94" s="195">
        <v>44718</v>
      </c>
      <c r="D94" s="196" t="s">
        <v>16</v>
      </c>
      <c r="E94" s="222" t="s">
        <v>28</v>
      </c>
      <c r="F94" s="222">
        <v>333</v>
      </c>
      <c r="G94" s="222">
        <v>334</v>
      </c>
      <c r="H94" s="222">
        <v>1</v>
      </c>
      <c r="I94" s="197">
        <v>5000</v>
      </c>
      <c r="J94" s="268">
        <f t="shared" si="10"/>
        <v>5000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44719</v>
      </c>
      <c r="D95" s="196" t="s">
        <v>23</v>
      </c>
      <c r="E95" s="222" t="s">
        <v>28</v>
      </c>
      <c r="F95" s="222">
        <v>326.60000000000002</v>
      </c>
      <c r="G95" s="222">
        <v>324.60000000000002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44720</v>
      </c>
      <c r="D96" s="196" t="s">
        <v>23</v>
      </c>
      <c r="E96" s="222" t="s">
        <v>28</v>
      </c>
      <c r="F96" s="222">
        <v>329</v>
      </c>
      <c r="G96" s="222">
        <v>327</v>
      </c>
      <c r="H96" s="222">
        <v>2</v>
      </c>
      <c r="I96" s="197">
        <v>5000</v>
      </c>
      <c r="J96" s="268">
        <f t="shared" si="10"/>
        <v>10000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44721</v>
      </c>
      <c r="D97" s="196" t="s">
        <v>23</v>
      </c>
      <c r="E97" s="222" t="s">
        <v>28</v>
      </c>
      <c r="F97" s="222">
        <v>326</v>
      </c>
      <c r="G97" s="222">
        <v>327</v>
      </c>
      <c r="H97" s="274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8</v>
      </c>
      <c r="C98" s="195">
        <v>44722</v>
      </c>
      <c r="D98" s="196" t="s">
        <v>23</v>
      </c>
      <c r="E98" s="222" t="s">
        <v>28</v>
      </c>
      <c r="F98" s="222">
        <v>324.2</v>
      </c>
      <c r="G98" s="222">
        <v>323.2</v>
      </c>
      <c r="H98" s="222">
        <v>1</v>
      </c>
      <c r="I98" s="197">
        <v>5000</v>
      </c>
      <c r="J98" s="268">
        <f t="shared" si="10"/>
        <v>5000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44725</v>
      </c>
      <c r="D99" s="196" t="s">
        <v>23</v>
      </c>
      <c r="E99" s="222" t="s">
        <v>28</v>
      </c>
      <c r="F99" s="222">
        <v>311.39999999999998</v>
      </c>
      <c r="G99" s="222">
        <v>310.39999999999998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44726</v>
      </c>
      <c r="D100" s="196" t="s">
        <v>23</v>
      </c>
      <c r="E100" s="222" t="s">
        <v>28</v>
      </c>
      <c r="F100" s="222">
        <v>315.60000000000002</v>
      </c>
      <c r="G100" s="222">
        <v>313.60000000000002</v>
      </c>
      <c r="H100" s="222">
        <v>2</v>
      </c>
      <c r="I100" s="197">
        <v>5000</v>
      </c>
      <c r="J100" s="268">
        <f t="shared" si="10"/>
        <v>10000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44727</v>
      </c>
      <c r="D101" s="196" t="s">
        <v>23</v>
      </c>
      <c r="E101" s="222" t="s">
        <v>28</v>
      </c>
      <c r="F101" s="222">
        <v>315.5</v>
      </c>
      <c r="G101" s="222">
        <v>314.8</v>
      </c>
      <c r="H101" s="274">
        <f>315.5-314.8</f>
        <v>0.69999999999998863</v>
      </c>
      <c r="I101" s="197">
        <v>5000</v>
      </c>
      <c r="J101" s="268">
        <f t="shared" si="10"/>
        <v>3499.9999999999432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12</v>
      </c>
      <c r="C102" s="195">
        <v>44728</v>
      </c>
      <c r="D102" s="196" t="s">
        <v>23</v>
      </c>
      <c r="E102" s="222" t="s">
        <v>28</v>
      </c>
      <c r="F102" s="222">
        <v>312.7</v>
      </c>
      <c r="G102" s="222">
        <v>310.7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44729</v>
      </c>
      <c r="D103" s="196" t="s">
        <v>23</v>
      </c>
      <c r="E103" s="222" t="s">
        <v>28</v>
      </c>
      <c r="F103" s="222">
        <v>314</v>
      </c>
      <c r="G103" s="222">
        <v>312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44732</v>
      </c>
      <c r="D104" s="196" t="s">
        <v>23</v>
      </c>
      <c r="E104" s="222" t="s">
        <v>28</v>
      </c>
      <c r="F104" s="222">
        <v>308</v>
      </c>
      <c r="G104" s="222">
        <v>307.25</v>
      </c>
      <c r="H104" s="274">
        <f>308-307.25</f>
        <v>0.75</v>
      </c>
      <c r="I104" s="197">
        <v>5000</v>
      </c>
      <c r="J104" s="268">
        <f t="shared" si="10"/>
        <v>3750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15</v>
      </c>
      <c r="C105" s="195">
        <v>44733</v>
      </c>
      <c r="D105" s="196" t="s">
        <v>23</v>
      </c>
      <c r="E105" s="196" t="s">
        <v>28</v>
      </c>
      <c r="F105" s="222">
        <v>318</v>
      </c>
      <c r="G105" s="222">
        <v>317</v>
      </c>
      <c r="H105" s="196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44734</v>
      </c>
      <c r="D106" s="196" t="s">
        <v>23</v>
      </c>
      <c r="E106" s="196" t="s">
        <v>28</v>
      </c>
      <c r="F106" s="222">
        <v>312.5</v>
      </c>
      <c r="G106" s="197">
        <v>311</v>
      </c>
      <c r="H106" s="274">
        <f>312.5-311</f>
        <v>1.5</v>
      </c>
      <c r="I106" s="197">
        <v>5000</v>
      </c>
      <c r="J106" s="268">
        <f t="shared" si="10"/>
        <v>7500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44735</v>
      </c>
      <c r="D107" s="196" t="s">
        <v>23</v>
      </c>
      <c r="E107" s="196" t="s">
        <v>28</v>
      </c>
      <c r="F107" s="222">
        <v>315</v>
      </c>
      <c r="G107" s="222">
        <v>313</v>
      </c>
      <c r="H107" s="196">
        <v>2</v>
      </c>
      <c r="I107" s="197">
        <v>5000</v>
      </c>
      <c r="J107" s="268">
        <f t="shared" si="10"/>
        <v>10000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18</v>
      </c>
      <c r="C108" s="195">
        <v>44736</v>
      </c>
      <c r="D108" s="196" t="s">
        <v>23</v>
      </c>
      <c r="E108" s="196" t="s">
        <v>28</v>
      </c>
      <c r="F108" s="222">
        <v>300.60000000000002</v>
      </c>
      <c r="G108" s="222">
        <v>299.60000000000002</v>
      </c>
      <c r="H108" s="196">
        <v>1</v>
      </c>
      <c r="I108" s="197">
        <v>5000</v>
      </c>
      <c r="J108" s="268">
        <f t="shared" si="10"/>
        <v>5000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44739</v>
      </c>
      <c r="D109" s="196" t="s">
        <v>23</v>
      </c>
      <c r="E109" s="196" t="s">
        <v>28</v>
      </c>
      <c r="F109" s="222">
        <v>295</v>
      </c>
      <c r="G109" s="222">
        <v>294.5</v>
      </c>
      <c r="H109" s="274">
        <v>0.5</v>
      </c>
      <c r="I109" s="197">
        <v>5000</v>
      </c>
      <c r="J109" s="268">
        <f t="shared" si="10"/>
        <v>2500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44740</v>
      </c>
      <c r="D110" s="196" t="s">
        <v>23</v>
      </c>
      <c r="E110" s="222" t="s">
        <v>28</v>
      </c>
      <c r="F110" s="222">
        <v>302</v>
      </c>
      <c r="G110" s="222">
        <v>300.5</v>
      </c>
      <c r="H110" s="274">
        <f>302-300.5</f>
        <v>1.5</v>
      </c>
      <c r="I110" s="197">
        <v>5000</v>
      </c>
      <c r="J110" s="268">
        <f t="shared" si="10"/>
        <v>7500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>
        <v>44741</v>
      </c>
      <c r="D111" s="196" t="s">
        <v>23</v>
      </c>
      <c r="E111" s="222" t="s">
        <v>28</v>
      </c>
      <c r="F111" s="222">
        <v>298.8</v>
      </c>
      <c r="G111" s="222">
        <v>297.8</v>
      </c>
      <c r="H111" s="274">
        <v>1</v>
      </c>
      <c r="I111" s="197">
        <v>5000</v>
      </c>
      <c r="J111" s="268">
        <f t="shared" si="10"/>
        <v>5000</v>
      </c>
      <c r="K111" s="185"/>
      <c r="V111" s="183">
        <f t="shared" si="11"/>
        <v>1</v>
      </c>
      <c r="W111" s="183">
        <f t="shared" si="12"/>
        <v>0</v>
      </c>
    </row>
    <row r="112" spans="1:23" x14ac:dyDescent="0.3">
      <c r="A112" s="184"/>
      <c r="B112" s="194">
        <v>22</v>
      </c>
      <c r="C112" s="195">
        <v>44742</v>
      </c>
      <c r="D112" s="196" t="s">
        <v>23</v>
      </c>
      <c r="E112" s="222" t="s">
        <v>28</v>
      </c>
      <c r="F112" s="222">
        <v>294</v>
      </c>
      <c r="G112" s="222">
        <v>292.5</v>
      </c>
      <c r="H112" s="222">
        <f>294-292.5</f>
        <v>1.5</v>
      </c>
      <c r="I112" s="197">
        <v>5000</v>
      </c>
      <c r="J112" s="268">
        <f t="shared" si="10"/>
        <v>7500</v>
      </c>
      <c r="K112" s="185"/>
      <c r="V112" s="183">
        <f t="shared" si="11"/>
        <v>1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117249.99999999994</v>
      </c>
      <c r="K114" s="185"/>
      <c r="V114" s="183">
        <f>SUM(V91:V113)</f>
        <v>19</v>
      </c>
      <c r="W114" s="183">
        <f>SUM(W91:W113)</f>
        <v>3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7200-000000000000}"/>
    <hyperlink ref="B83" r:id="rId2" xr:uid="{00000000-0004-0000-7200-000001000000}"/>
    <hyperlink ref="M4:M5" location="'APRIL 2022'!A1" display="BULLION" xr:uid="{00000000-0004-0000-7200-000002000000}"/>
    <hyperlink ref="B114" r:id="rId3" xr:uid="{00000000-0004-0000-7200-000003000000}"/>
    <hyperlink ref="M8:M9" location="'APRIL 2022'!A86" display="BASE METAL" xr:uid="{00000000-0004-0000-7200-000004000000}"/>
    <hyperlink ref="M1" location="MASTER!A1" display="Back" xr:uid="{00000000-0004-0000-7200-000005000000}"/>
    <hyperlink ref="M6:M7" location="'APRIL 2022'!A54" display="ENERGY" xr:uid="{00000000-0004-0000-7200-000006000000}"/>
  </hyperlinks>
  <pageMargins left="0" right="0" top="0" bottom="0" header="0" footer="0"/>
  <pageSetup paperSize="9" orientation="portrait" r:id="rId4"/>
  <drawing r:id="rId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W11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44743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38</v>
      </c>
      <c r="P4" s="369">
        <f>W52</f>
        <v>4</v>
      </c>
      <c r="Q4" s="349">
        <f>N4-O4-P4</f>
        <v>0</v>
      </c>
      <c r="R4" s="343">
        <f>O4/N4</f>
        <v>0.90476190476190477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44743</v>
      </c>
      <c r="D6" s="192" t="s">
        <v>23</v>
      </c>
      <c r="E6" s="192" t="s">
        <v>24</v>
      </c>
      <c r="F6" s="193">
        <v>51670</v>
      </c>
      <c r="G6" s="193">
        <v>51570</v>
      </c>
      <c r="H6" s="192">
        <v>100</v>
      </c>
      <c r="I6" s="193">
        <v>100</v>
      </c>
      <c r="J6" s="267">
        <f>H6*I6</f>
        <v>10000</v>
      </c>
      <c r="K6" s="185"/>
      <c r="M6" s="364" t="s">
        <v>258</v>
      </c>
      <c r="N6" s="347">
        <f>COUNT(C60:C82)</f>
        <v>21</v>
      </c>
      <c r="O6" s="348">
        <f>V83</f>
        <v>18</v>
      </c>
      <c r="P6" s="348">
        <f>W83</f>
        <v>3</v>
      </c>
      <c r="Q6" s="349">
        <f>N6-O6-P6</f>
        <v>0</v>
      </c>
      <c r="R6" s="345">
        <f t="shared" ref="R6" si="0">O6/N6</f>
        <v>0.8571428571428571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44743</v>
      </c>
      <c r="D7" s="196" t="s">
        <v>23</v>
      </c>
      <c r="E7" s="196" t="s">
        <v>22</v>
      </c>
      <c r="F7" s="197">
        <v>58200</v>
      </c>
      <c r="G7" s="197">
        <v>57800</v>
      </c>
      <c r="H7" s="196">
        <f>58200-57800</f>
        <v>400</v>
      </c>
      <c r="I7" s="197">
        <v>30</v>
      </c>
      <c r="J7" s="268">
        <f t="shared" ref="J7:J51" si="1">H7*I7</f>
        <v>12000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44746</v>
      </c>
      <c r="D8" s="196" t="s">
        <v>23</v>
      </c>
      <c r="E8" s="196" t="s">
        <v>24</v>
      </c>
      <c r="F8" s="197">
        <v>52120</v>
      </c>
      <c r="G8" s="197">
        <v>52020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COUNT(C91:C113)</f>
        <v>21</v>
      </c>
      <c r="O8" s="348">
        <f>V114</f>
        <v>18</v>
      </c>
      <c r="P8" s="348">
        <f>W114</f>
        <v>3</v>
      </c>
      <c r="Q8" s="349">
        <f>N8-O8-P8</f>
        <v>0</v>
      </c>
      <c r="R8" s="345">
        <f t="shared" ref="R8" si="4">O8/N8</f>
        <v>0.8571428571428571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44746</v>
      </c>
      <c r="D9" s="196" t="s">
        <v>23</v>
      </c>
      <c r="E9" s="196" t="s">
        <v>22</v>
      </c>
      <c r="F9" s="197">
        <v>58400</v>
      </c>
      <c r="G9" s="197">
        <v>58190</v>
      </c>
      <c r="H9" s="196">
        <f>58400-58190</f>
        <v>210</v>
      </c>
      <c r="I9" s="197">
        <v>30</v>
      </c>
      <c r="J9" s="268">
        <f t="shared" si="1"/>
        <v>6300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44747</v>
      </c>
      <c r="D10" s="196" t="s">
        <v>23</v>
      </c>
      <c r="E10" s="196" t="s">
        <v>24</v>
      </c>
      <c r="F10" s="197">
        <v>52170</v>
      </c>
      <c r="G10" s="197">
        <v>51970</v>
      </c>
      <c r="H10" s="196">
        <v>200</v>
      </c>
      <c r="I10" s="197">
        <v>100</v>
      </c>
      <c r="J10" s="268">
        <f t="shared" si="1"/>
        <v>20000</v>
      </c>
      <c r="K10" s="185"/>
      <c r="M10" s="319" t="s">
        <v>300</v>
      </c>
      <c r="N10" s="321">
        <f>SUM(N4:N9)</f>
        <v>84</v>
      </c>
      <c r="O10" s="321">
        <f>SUM(O4:O9)</f>
        <v>74</v>
      </c>
      <c r="P10" s="321">
        <f>SUM(P4:P9)</f>
        <v>10</v>
      </c>
      <c r="Q10" s="341">
        <f>SUM(Q4:Q9)</f>
        <v>0</v>
      </c>
      <c r="R10" s="343">
        <f t="shared" ref="R10" si="5">O10/N10</f>
        <v>0.88095238095238093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44747</v>
      </c>
      <c r="D11" s="196" t="s">
        <v>23</v>
      </c>
      <c r="E11" s="196" t="s">
        <v>22</v>
      </c>
      <c r="F11" s="197">
        <v>58700</v>
      </c>
      <c r="G11" s="197">
        <v>58100</v>
      </c>
      <c r="H11" s="196">
        <v>600</v>
      </c>
      <c r="I11" s="197">
        <v>30</v>
      </c>
      <c r="J11" s="268">
        <f t="shared" si="1"/>
        <v>18000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44748</v>
      </c>
      <c r="D12" s="196" t="s">
        <v>23</v>
      </c>
      <c r="E12" s="196" t="s">
        <v>24</v>
      </c>
      <c r="F12" s="197">
        <v>51320</v>
      </c>
      <c r="G12" s="197">
        <v>51175</v>
      </c>
      <c r="H12" s="196">
        <f>51320-51175</f>
        <v>145</v>
      </c>
      <c r="I12" s="197">
        <v>100</v>
      </c>
      <c r="J12" s="268">
        <f t="shared" si="1"/>
        <v>14500</v>
      </c>
      <c r="K12" s="185"/>
      <c r="M12" s="323" t="s">
        <v>878</v>
      </c>
      <c r="N12" s="324"/>
      <c r="O12" s="325"/>
      <c r="P12" s="332">
        <f>R10</f>
        <v>0.88095238095238093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44748</v>
      </c>
      <c r="D13" s="196" t="s">
        <v>23</v>
      </c>
      <c r="E13" s="196" t="s">
        <v>22</v>
      </c>
      <c r="F13" s="197">
        <v>57000</v>
      </c>
      <c r="G13" s="197">
        <v>56700</v>
      </c>
      <c r="H13" s="196">
        <f>57000-56700</f>
        <v>300</v>
      </c>
      <c r="I13" s="197">
        <v>30</v>
      </c>
      <c r="J13" s="268">
        <f t="shared" si="1"/>
        <v>9000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44749</v>
      </c>
      <c r="D14" s="196" t="s">
        <v>23</v>
      </c>
      <c r="E14" s="196" t="s">
        <v>24</v>
      </c>
      <c r="F14" s="197">
        <v>50640</v>
      </c>
      <c r="G14" s="197">
        <v>50565</v>
      </c>
      <c r="H14" s="196">
        <f>50640-50565</f>
        <v>75</v>
      </c>
      <c r="I14" s="197">
        <v>100</v>
      </c>
      <c r="J14" s="268">
        <f t="shared" si="1"/>
        <v>7500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44749</v>
      </c>
      <c r="D15" s="196" t="s">
        <v>23</v>
      </c>
      <c r="E15" s="196" t="s">
        <v>22</v>
      </c>
      <c r="F15" s="197">
        <v>57300</v>
      </c>
      <c r="G15" s="197">
        <v>57120</v>
      </c>
      <c r="H15" s="196">
        <f>57300-57120</f>
        <v>180</v>
      </c>
      <c r="I15" s="197">
        <v>30</v>
      </c>
      <c r="J15" s="268">
        <f t="shared" si="1"/>
        <v>5400</v>
      </c>
      <c r="K15" s="185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44750</v>
      </c>
      <c r="D16" s="196" t="s">
        <v>23</v>
      </c>
      <c r="E16" s="196" t="s">
        <v>24</v>
      </c>
      <c r="F16" s="197">
        <v>50650</v>
      </c>
      <c r="G16" s="197">
        <v>50590</v>
      </c>
      <c r="H16" s="196">
        <f>50650-50590</f>
        <v>60</v>
      </c>
      <c r="I16" s="197">
        <v>100</v>
      </c>
      <c r="J16" s="268">
        <f t="shared" si="1"/>
        <v>6000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44750</v>
      </c>
      <c r="D17" s="196" t="s">
        <v>23</v>
      </c>
      <c r="E17" s="196" t="s">
        <v>22</v>
      </c>
      <c r="F17" s="197">
        <v>56600</v>
      </c>
      <c r="G17" s="197">
        <v>56900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44753</v>
      </c>
      <c r="D18" s="196" t="s">
        <v>23</v>
      </c>
      <c r="E18" s="196" t="s">
        <v>24</v>
      </c>
      <c r="F18" s="197">
        <v>50700</v>
      </c>
      <c r="G18" s="197">
        <v>50625</v>
      </c>
      <c r="H18" s="196">
        <f>50700-50625</f>
        <v>75</v>
      </c>
      <c r="I18" s="197">
        <v>100</v>
      </c>
      <c r="J18" s="268">
        <f t="shared" si="1"/>
        <v>7500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44753</v>
      </c>
      <c r="D19" s="196" t="s">
        <v>23</v>
      </c>
      <c r="E19" s="196" t="s">
        <v>22</v>
      </c>
      <c r="F19" s="197">
        <v>57150</v>
      </c>
      <c r="G19" s="197">
        <v>56881</v>
      </c>
      <c r="H19" s="196">
        <f>57150-56881</f>
        <v>269</v>
      </c>
      <c r="I19" s="197">
        <v>30</v>
      </c>
      <c r="J19" s="268">
        <f t="shared" si="1"/>
        <v>8070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44754</v>
      </c>
      <c r="D20" s="196" t="s">
        <v>23</v>
      </c>
      <c r="E20" s="196" t="s">
        <v>24</v>
      </c>
      <c r="F20" s="197">
        <v>50700</v>
      </c>
      <c r="G20" s="197">
        <v>50500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44754</v>
      </c>
      <c r="D21" s="196" t="s">
        <v>23</v>
      </c>
      <c r="E21" s="196" t="s">
        <v>22</v>
      </c>
      <c r="F21" s="197">
        <v>56450</v>
      </c>
      <c r="G21" s="197">
        <v>56150</v>
      </c>
      <c r="H21" s="196">
        <v>300</v>
      </c>
      <c r="I21" s="197">
        <v>30</v>
      </c>
      <c r="J21" s="268">
        <f t="shared" si="1"/>
        <v>9000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44755</v>
      </c>
      <c r="D22" s="196" t="s">
        <v>23</v>
      </c>
      <c r="E22" s="196" t="s">
        <v>24</v>
      </c>
      <c r="F22" s="197">
        <v>52550</v>
      </c>
      <c r="G22" s="197">
        <v>52350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44755</v>
      </c>
      <c r="D23" s="196" t="s">
        <v>23</v>
      </c>
      <c r="E23" s="196" t="s">
        <v>22</v>
      </c>
      <c r="F23" s="197">
        <v>56500</v>
      </c>
      <c r="G23" s="197">
        <v>56365</v>
      </c>
      <c r="H23" s="196">
        <f>56500-56365</f>
        <v>135</v>
      </c>
      <c r="I23" s="197">
        <v>30</v>
      </c>
      <c r="J23" s="268">
        <f t="shared" si="1"/>
        <v>4050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44756</v>
      </c>
      <c r="D24" s="196" t="s">
        <v>23</v>
      </c>
      <c r="E24" s="196" t="s">
        <v>24</v>
      </c>
      <c r="F24" s="197">
        <v>50420</v>
      </c>
      <c r="G24" s="197">
        <v>56280</v>
      </c>
      <c r="H24" s="196">
        <v>140</v>
      </c>
      <c r="I24" s="197">
        <v>100</v>
      </c>
      <c r="J24" s="268">
        <f t="shared" si="1"/>
        <v>14000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44756</v>
      </c>
      <c r="D25" s="196" t="s">
        <v>23</v>
      </c>
      <c r="E25" s="196" t="s">
        <v>22</v>
      </c>
      <c r="F25" s="197">
        <v>56400</v>
      </c>
      <c r="G25" s="197">
        <v>55800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44757</v>
      </c>
      <c r="D26" s="196" t="s">
        <v>23</v>
      </c>
      <c r="E26" s="196" t="s">
        <v>24</v>
      </c>
      <c r="F26" s="197">
        <v>50100</v>
      </c>
      <c r="G26" s="197">
        <v>50000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44757</v>
      </c>
      <c r="D27" s="196" t="s">
        <v>23</v>
      </c>
      <c r="E27" s="196" t="s">
        <v>22</v>
      </c>
      <c r="F27" s="197">
        <v>54850</v>
      </c>
      <c r="G27" s="197">
        <v>54630</v>
      </c>
      <c r="H27" s="196">
        <f>54850-54630</f>
        <v>220</v>
      </c>
      <c r="I27" s="197">
        <v>30</v>
      </c>
      <c r="J27" s="268">
        <f t="shared" si="1"/>
        <v>6600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44760</v>
      </c>
      <c r="D28" s="196" t="s">
        <v>23</v>
      </c>
      <c r="E28" s="196" t="s">
        <v>24</v>
      </c>
      <c r="F28" s="197">
        <v>50600</v>
      </c>
      <c r="G28" s="197">
        <v>50400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44760</v>
      </c>
      <c r="D29" s="196" t="s">
        <v>23</v>
      </c>
      <c r="E29" s="196" t="s">
        <v>22</v>
      </c>
      <c r="F29" s="197">
        <v>56250</v>
      </c>
      <c r="G29" s="197">
        <v>55950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44761</v>
      </c>
      <c r="D30" s="196" t="s">
        <v>23</v>
      </c>
      <c r="E30" s="196" t="s">
        <v>24</v>
      </c>
      <c r="F30" s="197">
        <v>50350</v>
      </c>
      <c r="G30" s="197">
        <v>50450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44761</v>
      </c>
      <c r="D31" s="196" t="s">
        <v>23</v>
      </c>
      <c r="E31" s="196" t="s">
        <v>22</v>
      </c>
      <c r="F31" s="197">
        <v>55850</v>
      </c>
      <c r="G31" s="197">
        <v>55720</v>
      </c>
      <c r="H31" s="196">
        <f>55850-55720</f>
        <v>130</v>
      </c>
      <c r="I31" s="197">
        <v>30</v>
      </c>
      <c r="J31" s="268">
        <f t="shared" si="1"/>
        <v>3900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44762</v>
      </c>
      <c r="D32" s="196" t="s">
        <v>23</v>
      </c>
      <c r="E32" s="196" t="s">
        <v>24</v>
      </c>
      <c r="F32" s="197">
        <v>50400</v>
      </c>
      <c r="G32" s="197">
        <v>50300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44762</v>
      </c>
      <c r="D33" s="196" t="s">
        <v>23</v>
      </c>
      <c r="E33" s="196" t="s">
        <v>22</v>
      </c>
      <c r="F33" s="197">
        <v>55900</v>
      </c>
      <c r="G33" s="197">
        <v>55725</v>
      </c>
      <c r="H33" s="196">
        <f>55900-55725</f>
        <v>175</v>
      </c>
      <c r="I33" s="197">
        <v>30</v>
      </c>
      <c r="J33" s="268">
        <f t="shared" si="1"/>
        <v>5250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44763</v>
      </c>
      <c r="D34" s="196" t="s">
        <v>23</v>
      </c>
      <c r="E34" s="196" t="s">
        <v>24</v>
      </c>
      <c r="F34" s="197">
        <v>49850</v>
      </c>
      <c r="G34" s="197">
        <v>49705</v>
      </c>
      <c r="H34" s="196">
        <f>49850-49705</f>
        <v>145</v>
      </c>
      <c r="I34" s="197">
        <v>100</v>
      </c>
      <c r="J34" s="268">
        <f t="shared" si="1"/>
        <v>14500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44763</v>
      </c>
      <c r="D35" s="196" t="s">
        <v>23</v>
      </c>
      <c r="E35" s="196" t="s">
        <v>22</v>
      </c>
      <c r="F35" s="197">
        <v>54600</v>
      </c>
      <c r="G35" s="197">
        <v>54205</v>
      </c>
      <c r="H35" s="196">
        <f>54600-54205</f>
        <v>395</v>
      </c>
      <c r="I35" s="197">
        <v>30</v>
      </c>
      <c r="J35" s="268">
        <f t="shared" si="1"/>
        <v>11850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44764</v>
      </c>
      <c r="D36" s="196" t="s">
        <v>23</v>
      </c>
      <c r="E36" s="196" t="s">
        <v>24</v>
      </c>
      <c r="F36" s="197">
        <v>50600</v>
      </c>
      <c r="G36" s="197">
        <v>50550</v>
      </c>
      <c r="H36" s="196">
        <v>50</v>
      </c>
      <c r="I36" s="197">
        <v>100</v>
      </c>
      <c r="J36" s="268">
        <f t="shared" si="1"/>
        <v>5000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44764</v>
      </c>
      <c r="D37" s="196" t="s">
        <v>23</v>
      </c>
      <c r="E37" s="196" t="s">
        <v>22</v>
      </c>
      <c r="F37" s="197">
        <v>55500</v>
      </c>
      <c r="G37" s="197">
        <v>55300</v>
      </c>
      <c r="H37" s="196">
        <v>200</v>
      </c>
      <c r="I37" s="197">
        <v>30</v>
      </c>
      <c r="J37" s="268">
        <f t="shared" si="1"/>
        <v>6000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44767</v>
      </c>
      <c r="D38" s="196" t="s">
        <v>23</v>
      </c>
      <c r="E38" s="196" t="s">
        <v>24</v>
      </c>
      <c r="F38" s="197">
        <v>50680</v>
      </c>
      <c r="G38" s="197">
        <v>50780</v>
      </c>
      <c r="H38" s="196">
        <v>-100</v>
      </c>
      <c r="I38" s="197">
        <v>100</v>
      </c>
      <c r="J38" s="268">
        <f t="shared" si="1"/>
        <v>-10000</v>
      </c>
      <c r="K38" s="185"/>
      <c r="V38" s="183">
        <f t="shared" si="2"/>
        <v>0</v>
      </c>
      <c r="W38" s="183">
        <f t="shared" si="3"/>
        <v>1</v>
      </c>
    </row>
    <row r="39" spans="1:23" x14ac:dyDescent="0.3">
      <c r="A39" s="184"/>
      <c r="B39" s="194">
        <v>34</v>
      </c>
      <c r="C39" s="195">
        <v>44767</v>
      </c>
      <c r="D39" s="196" t="s">
        <v>23</v>
      </c>
      <c r="E39" s="196" t="s">
        <v>22</v>
      </c>
      <c r="F39" s="197">
        <v>55100</v>
      </c>
      <c r="G39" s="197">
        <v>54800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44768</v>
      </c>
      <c r="D40" s="196" t="s">
        <v>23</v>
      </c>
      <c r="E40" s="196" t="s">
        <v>24</v>
      </c>
      <c r="F40" s="197">
        <v>50670</v>
      </c>
      <c r="G40" s="197">
        <v>50535</v>
      </c>
      <c r="H40" s="196">
        <f>50670-50535</f>
        <v>135</v>
      </c>
      <c r="I40" s="197">
        <v>100</v>
      </c>
      <c r="J40" s="268">
        <f t="shared" si="1"/>
        <v>13500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44768</v>
      </c>
      <c r="D41" s="196" t="s">
        <v>23</v>
      </c>
      <c r="E41" s="196" t="s">
        <v>22</v>
      </c>
      <c r="F41" s="197">
        <v>54800</v>
      </c>
      <c r="G41" s="197">
        <v>54500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44769</v>
      </c>
      <c r="D42" s="196" t="s">
        <v>23</v>
      </c>
      <c r="E42" s="196" t="s">
        <v>24</v>
      </c>
      <c r="F42" s="197">
        <v>50700</v>
      </c>
      <c r="G42" s="197">
        <v>50516</v>
      </c>
      <c r="H42" s="196">
        <v>184</v>
      </c>
      <c r="I42" s="197">
        <v>100</v>
      </c>
      <c r="J42" s="268">
        <f t="shared" si="1"/>
        <v>18400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44769</v>
      </c>
      <c r="D43" s="196" t="s">
        <v>23</v>
      </c>
      <c r="E43" s="196" t="s">
        <v>22</v>
      </c>
      <c r="F43" s="197">
        <v>55000</v>
      </c>
      <c r="G43" s="197">
        <v>54845</v>
      </c>
      <c r="H43" s="196">
        <f>55000-54845</f>
        <v>155</v>
      </c>
      <c r="I43" s="197">
        <v>30</v>
      </c>
      <c r="J43" s="268">
        <f t="shared" si="1"/>
        <v>4650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44770</v>
      </c>
      <c r="D44" s="196" t="s">
        <v>23</v>
      </c>
      <c r="E44" s="196" t="s">
        <v>24</v>
      </c>
      <c r="F44" s="197">
        <v>51100</v>
      </c>
      <c r="G44" s="197">
        <v>51040</v>
      </c>
      <c r="H44" s="196">
        <f>51100-51040</f>
        <v>60</v>
      </c>
      <c r="I44" s="197">
        <v>100</v>
      </c>
      <c r="J44" s="268">
        <f t="shared" si="1"/>
        <v>6000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44770</v>
      </c>
      <c r="D45" s="196" t="s">
        <v>23</v>
      </c>
      <c r="E45" s="196" t="s">
        <v>22</v>
      </c>
      <c r="F45" s="197">
        <v>56300</v>
      </c>
      <c r="G45" s="197">
        <v>56080</v>
      </c>
      <c r="H45" s="196">
        <f>56300-56080</f>
        <v>220</v>
      </c>
      <c r="I45" s="197">
        <v>30</v>
      </c>
      <c r="J45" s="268">
        <f t="shared" si="1"/>
        <v>6600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44771</v>
      </c>
      <c r="D46" s="196" t="s">
        <v>23</v>
      </c>
      <c r="E46" s="196" t="s">
        <v>24</v>
      </c>
      <c r="F46" s="197">
        <v>51200</v>
      </c>
      <c r="G46" s="197">
        <v>51300</v>
      </c>
      <c r="H46" s="196">
        <v>-100</v>
      </c>
      <c r="I46" s="197">
        <v>100</v>
      </c>
      <c r="J46" s="268">
        <f t="shared" si="1"/>
        <v>-10000</v>
      </c>
      <c r="K46" s="185"/>
      <c r="V46" s="183">
        <f t="shared" si="2"/>
        <v>0</v>
      </c>
      <c r="W46" s="183">
        <f t="shared" si="3"/>
        <v>1</v>
      </c>
    </row>
    <row r="47" spans="1:23" x14ac:dyDescent="0.3">
      <c r="A47" s="184"/>
      <c r="B47" s="194">
        <v>42</v>
      </c>
      <c r="C47" s="195">
        <v>44771</v>
      </c>
      <c r="D47" s="196" t="s">
        <v>23</v>
      </c>
      <c r="E47" s="196" t="s">
        <v>22</v>
      </c>
      <c r="F47" s="197">
        <v>57700</v>
      </c>
      <c r="G47" s="197">
        <v>57404</v>
      </c>
      <c r="H47" s="196">
        <f>57700-57404</f>
        <v>296</v>
      </c>
      <c r="I47" s="197">
        <v>30</v>
      </c>
      <c r="J47" s="268">
        <f t="shared" si="1"/>
        <v>8880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358450</v>
      </c>
      <c r="K52" s="185"/>
      <c r="V52" s="183">
        <f>SUM(V6:V51)</f>
        <v>38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44743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44743</v>
      </c>
      <c r="D60" s="192" t="s">
        <v>23</v>
      </c>
      <c r="E60" s="192" t="s">
        <v>25</v>
      </c>
      <c r="F60" s="193">
        <v>8490</v>
      </c>
      <c r="G60" s="193">
        <v>8520</v>
      </c>
      <c r="H60" s="192">
        <f>8520-8490</f>
        <v>30</v>
      </c>
      <c r="I60" s="193">
        <v>100</v>
      </c>
      <c r="J60" s="267">
        <f t="shared" ref="J60:J82" si="6">I60*H60</f>
        <v>3000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44746</v>
      </c>
      <c r="D61" s="196" t="s">
        <v>23</v>
      </c>
      <c r="E61" s="196" t="s">
        <v>25</v>
      </c>
      <c r="F61" s="197">
        <v>8505</v>
      </c>
      <c r="G61" s="197">
        <v>8475</v>
      </c>
      <c r="H61" s="196">
        <f>8505-8475</f>
        <v>30</v>
      </c>
      <c r="I61" s="197">
        <v>100</v>
      </c>
      <c r="J61" s="268">
        <f t="shared" si="6"/>
        <v>3000</v>
      </c>
      <c r="K61" s="185"/>
      <c r="V61" s="183">
        <f t="shared" ref="V61:V82" si="7">IF($J61&gt;0,1,0)</f>
        <v>1</v>
      </c>
      <c r="W61" s="183">
        <f t="shared" ref="W61:W82" si="8">IF($J61&lt;0,1,0)</f>
        <v>0</v>
      </c>
    </row>
    <row r="62" spans="1:23" x14ac:dyDescent="0.3">
      <c r="A62" s="184"/>
      <c r="B62" s="194">
        <v>3</v>
      </c>
      <c r="C62" s="195">
        <v>44747</v>
      </c>
      <c r="D62" s="196" t="s">
        <v>23</v>
      </c>
      <c r="E62" s="196" t="s">
        <v>25</v>
      </c>
      <c r="F62" s="197">
        <v>8650</v>
      </c>
      <c r="G62" s="197">
        <v>8590</v>
      </c>
      <c r="H62" s="196">
        <f>8650-8590</f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4</v>
      </c>
      <c r="C63" s="195">
        <v>44748</v>
      </c>
      <c r="D63" s="196" t="s">
        <v>23</v>
      </c>
      <c r="E63" s="196" t="s">
        <v>25</v>
      </c>
      <c r="F63" s="197">
        <v>7930</v>
      </c>
      <c r="G63" s="197">
        <v>7890</v>
      </c>
      <c r="H63" s="196">
        <v>40</v>
      </c>
      <c r="I63" s="197">
        <v>100</v>
      </c>
      <c r="J63" s="268">
        <f t="shared" si="6"/>
        <v>4000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5</v>
      </c>
      <c r="C64" s="195">
        <v>44749</v>
      </c>
      <c r="D64" s="196" t="s">
        <v>23</v>
      </c>
      <c r="E64" s="196" t="s">
        <v>25</v>
      </c>
      <c r="F64" s="197">
        <v>7800</v>
      </c>
      <c r="G64" s="197">
        <v>7830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6</v>
      </c>
      <c r="C65" s="195">
        <v>44750</v>
      </c>
      <c r="D65" s="196" t="s">
        <v>23</v>
      </c>
      <c r="E65" s="196" t="s">
        <v>25</v>
      </c>
      <c r="F65" s="197">
        <v>8080</v>
      </c>
      <c r="G65" s="197">
        <v>8110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7</v>
      </c>
      <c r="C66" s="195">
        <v>44753</v>
      </c>
      <c r="D66" s="196" t="s">
        <v>23</v>
      </c>
      <c r="E66" s="196" t="s">
        <v>25</v>
      </c>
      <c r="F66" s="222">
        <v>8180</v>
      </c>
      <c r="G66" s="222">
        <v>8120</v>
      </c>
      <c r="H66" s="196">
        <f>8180-8120</f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8</v>
      </c>
      <c r="C67" s="195">
        <v>44754</v>
      </c>
      <c r="D67" s="196" t="s">
        <v>23</v>
      </c>
      <c r="E67" s="196" t="s">
        <v>25</v>
      </c>
      <c r="F67" s="197">
        <v>8070</v>
      </c>
      <c r="G67" s="197">
        <v>8055</v>
      </c>
      <c r="H67" s="196">
        <f>8070-8055</f>
        <v>15</v>
      </c>
      <c r="I67" s="197">
        <v>100</v>
      </c>
      <c r="J67" s="268">
        <f t="shared" si="6"/>
        <v>1500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44755</v>
      </c>
      <c r="D68" s="196" t="s">
        <v>23</v>
      </c>
      <c r="E68" s="196" t="s">
        <v>25</v>
      </c>
      <c r="F68" s="197">
        <v>7730</v>
      </c>
      <c r="G68" s="197">
        <v>7670</v>
      </c>
      <c r="H68" s="196">
        <v>60</v>
      </c>
      <c r="I68" s="197">
        <v>100</v>
      </c>
      <c r="J68" s="268">
        <f t="shared" si="6"/>
        <v>6000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44756</v>
      </c>
      <c r="D69" s="196" t="s">
        <v>23</v>
      </c>
      <c r="E69" s="196" t="s">
        <v>25</v>
      </c>
      <c r="F69" s="197">
        <v>7490</v>
      </c>
      <c r="G69" s="197">
        <v>7465</v>
      </c>
      <c r="H69" s="196">
        <f>7490-7465</f>
        <v>25</v>
      </c>
      <c r="I69" s="197">
        <v>100</v>
      </c>
      <c r="J69" s="268">
        <f t="shared" si="6"/>
        <v>2500</v>
      </c>
      <c r="K69" s="185"/>
      <c r="V69" s="183">
        <f t="shared" si="7"/>
        <v>1</v>
      </c>
      <c r="W69" s="183">
        <f t="shared" si="8"/>
        <v>0</v>
      </c>
    </row>
    <row r="70" spans="1:23" x14ac:dyDescent="0.3">
      <c r="A70" s="184"/>
      <c r="B70" s="194">
        <v>11</v>
      </c>
      <c r="C70" s="195">
        <v>44757</v>
      </c>
      <c r="D70" s="196" t="s">
        <v>23</v>
      </c>
      <c r="E70" s="196" t="s">
        <v>25</v>
      </c>
      <c r="F70" s="197">
        <v>7680</v>
      </c>
      <c r="G70" s="197">
        <v>7638</v>
      </c>
      <c r="H70" s="196">
        <f>7680-7638</f>
        <v>42</v>
      </c>
      <c r="I70" s="197">
        <v>100</v>
      </c>
      <c r="J70" s="268">
        <f t="shared" si="6"/>
        <v>4200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44760</v>
      </c>
      <c r="D71" s="196" t="s">
        <v>23</v>
      </c>
      <c r="E71" s="196" t="s">
        <v>25</v>
      </c>
      <c r="F71" s="197">
        <v>7950</v>
      </c>
      <c r="G71" s="197">
        <v>7927</v>
      </c>
      <c r="H71" s="196">
        <f>7950-7927</f>
        <v>23</v>
      </c>
      <c r="I71" s="197">
        <v>100</v>
      </c>
      <c r="J71" s="268">
        <f t="shared" si="6"/>
        <v>2300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44761</v>
      </c>
      <c r="D72" s="196" t="s">
        <v>23</v>
      </c>
      <c r="E72" s="196" t="s">
        <v>25</v>
      </c>
      <c r="F72" s="197">
        <v>8170</v>
      </c>
      <c r="G72" s="197">
        <v>8140</v>
      </c>
      <c r="H72" s="196">
        <v>30</v>
      </c>
      <c r="I72" s="197">
        <v>100</v>
      </c>
      <c r="J72" s="268">
        <f t="shared" si="6"/>
        <v>3000</v>
      </c>
      <c r="K72" s="185"/>
      <c r="V72" s="183">
        <f t="shared" si="7"/>
        <v>1</v>
      </c>
      <c r="W72" s="183">
        <f t="shared" si="8"/>
        <v>0</v>
      </c>
    </row>
    <row r="73" spans="1:23" x14ac:dyDescent="0.3">
      <c r="A73" s="184"/>
      <c r="B73" s="194">
        <v>14</v>
      </c>
      <c r="C73" s="195">
        <v>44762</v>
      </c>
      <c r="D73" s="196" t="s">
        <v>23</v>
      </c>
      <c r="E73" s="196" t="s">
        <v>25</v>
      </c>
      <c r="F73" s="197">
        <v>7965</v>
      </c>
      <c r="G73" s="197">
        <v>7925</v>
      </c>
      <c r="H73" s="196">
        <f>7965-7925</f>
        <v>40</v>
      </c>
      <c r="I73" s="197">
        <v>100</v>
      </c>
      <c r="J73" s="268">
        <f t="shared" si="6"/>
        <v>4000</v>
      </c>
      <c r="K73" s="185"/>
      <c r="V73" s="183">
        <f t="shared" si="7"/>
        <v>1</v>
      </c>
      <c r="W73" s="183">
        <f t="shared" si="8"/>
        <v>0</v>
      </c>
    </row>
    <row r="74" spans="1:23" x14ac:dyDescent="0.3">
      <c r="A74" s="184"/>
      <c r="B74" s="194">
        <v>15</v>
      </c>
      <c r="C74" s="195">
        <v>44763</v>
      </c>
      <c r="D74" s="196" t="s">
        <v>23</v>
      </c>
      <c r="E74" s="196" t="s">
        <v>25</v>
      </c>
      <c r="F74" s="197">
        <v>7740</v>
      </c>
      <c r="G74" s="197">
        <v>7680</v>
      </c>
      <c r="H74" s="196">
        <f>7740-7680</f>
        <v>60</v>
      </c>
      <c r="I74" s="197">
        <v>100</v>
      </c>
      <c r="J74" s="268">
        <f t="shared" si="6"/>
        <v>6000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>
        <v>44764</v>
      </c>
      <c r="D75" s="196" t="s">
        <v>23</v>
      </c>
      <c r="E75" s="196" t="s">
        <v>25</v>
      </c>
      <c r="F75" s="197">
        <v>7690</v>
      </c>
      <c r="G75" s="197">
        <v>7630</v>
      </c>
      <c r="H75" s="196">
        <v>60</v>
      </c>
      <c r="I75" s="197">
        <v>100</v>
      </c>
      <c r="J75" s="268">
        <f t="shared" si="6"/>
        <v>6000</v>
      </c>
      <c r="K75" s="185"/>
      <c r="V75" s="183">
        <f t="shared" si="7"/>
        <v>1</v>
      </c>
      <c r="W75" s="183">
        <f t="shared" si="8"/>
        <v>0</v>
      </c>
    </row>
    <row r="76" spans="1:23" x14ac:dyDescent="0.3">
      <c r="A76" s="184"/>
      <c r="B76" s="194">
        <v>17</v>
      </c>
      <c r="C76" s="195">
        <v>44767</v>
      </c>
      <c r="D76" s="196" t="s">
        <v>23</v>
      </c>
      <c r="E76" s="196" t="s">
        <v>25</v>
      </c>
      <c r="F76" s="197">
        <v>7670</v>
      </c>
      <c r="G76" s="197">
        <v>7640</v>
      </c>
      <c r="H76" s="196">
        <v>30</v>
      </c>
      <c r="I76" s="197">
        <v>100</v>
      </c>
      <c r="J76" s="268">
        <f t="shared" si="6"/>
        <v>3000</v>
      </c>
      <c r="K76" s="185"/>
      <c r="V76" s="183">
        <f t="shared" si="7"/>
        <v>1</v>
      </c>
      <c r="W76" s="183">
        <f t="shared" si="8"/>
        <v>0</v>
      </c>
    </row>
    <row r="77" spans="1:23" x14ac:dyDescent="0.3">
      <c r="A77" s="255"/>
      <c r="B77" s="194">
        <v>18</v>
      </c>
      <c r="C77" s="195">
        <v>44768</v>
      </c>
      <c r="D77" s="196" t="s">
        <v>23</v>
      </c>
      <c r="E77" s="196" t="s">
        <v>25</v>
      </c>
      <c r="F77" s="197">
        <v>7845</v>
      </c>
      <c r="G77" s="197">
        <v>7875</v>
      </c>
      <c r="H77" s="196">
        <v>-30</v>
      </c>
      <c r="I77" s="197">
        <v>100</v>
      </c>
      <c r="J77" s="268">
        <f t="shared" si="6"/>
        <v>-3000</v>
      </c>
      <c r="K77" s="185"/>
      <c r="V77" s="183">
        <f t="shared" si="7"/>
        <v>0</v>
      </c>
      <c r="W77" s="183">
        <f t="shared" si="8"/>
        <v>1</v>
      </c>
    </row>
    <row r="78" spans="1:23" x14ac:dyDescent="0.3">
      <c r="A78" s="184"/>
      <c r="B78" s="194">
        <v>19</v>
      </c>
      <c r="C78" s="195">
        <v>44769</v>
      </c>
      <c r="D78" s="196" t="s">
        <v>23</v>
      </c>
      <c r="E78" s="196" t="s">
        <v>25</v>
      </c>
      <c r="F78" s="197">
        <v>7715</v>
      </c>
      <c r="G78" s="197">
        <v>7675</v>
      </c>
      <c r="H78" s="196">
        <f>7715-7675</f>
        <v>40</v>
      </c>
      <c r="I78" s="197">
        <v>100</v>
      </c>
      <c r="J78" s="268">
        <f t="shared" si="6"/>
        <v>4000</v>
      </c>
      <c r="K78" s="185"/>
      <c r="V78" s="183">
        <f t="shared" si="7"/>
        <v>1</v>
      </c>
      <c r="W78" s="183">
        <f t="shared" si="8"/>
        <v>0</v>
      </c>
    </row>
    <row r="79" spans="1:23" x14ac:dyDescent="0.3">
      <c r="A79" s="184"/>
      <c r="B79" s="194">
        <v>20</v>
      </c>
      <c r="C79" s="195">
        <v>44770</v>
      </c>
      <c r="D79" s="196" t="s">
        <v>23</v>
      </c>
      <c r="E79" s="196" t="s">
        <v>25</v>
      </c>
      <c r="F79" s="197">
        <v>7915</v>
      </c>
      <c r="G79" s="197">
        <v>7885</v>
      </c>
      <c r="H79" s="196">
        <f>7915-7885</f>
        <v>30</v>
      </c>
      <c r="I79" s="197">
        <v>100</v>
      </c>
      <c r="J79" s="268">
        <f t="shared" si="6"/>
        <v>3000</v>
      </c>
      <c r="K79" s="185"/>
      <c r="V79" s="183">
        <f t="shared" si="7"/>
        <v>1</v>
      </c>
      <c r="W79" s="183">
        <f t="shared" si="8"/>
        <v>0</v>
      </c>
    </row>
    <row r="80" spans="1:23" x14ac:dyDescent="0.3">
      <c r="A80" s="184"/>
      <c r="B80" s="194">
        <v>21</v>
      </c>
      <c r="C80" s="195">
        <v>44771</v>
      </c>
      <c r="D80" s="196" t="s">
        <v>23</v>
      </c>
      <c r="E80" s="196" t="s">
        <v>25</v>
      </c>
      <c r="F80" s="197">
        <v>7820</v>
      </c>
      <c r="G80" s="197">
        <v>7775</v>
      </c>
      <c r="H80" s="196">
        <v>45</v>
      </c>
      <c r="I80" s="197">
        <v>100</v>
      </c>
      <c r="J80" s="268">
        <f t="shared" si="6"/>
        <v>4500</v>
      </c>
      <c r="K80" s="185"/>
      <c r="V80" s="183">
        <f t="shared" si="7"/>
        <v>1</v>
      </c>
      <c r="W80" s="183">
        <f t="shared" si="8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6"/>
        <v>0</v>
      </c>
      <c r="K81" s="185"/>
      <c r="V81" s="183">
        <f t="shared" si="7"/>
        <v>0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63000</v>
      </c>
      <c r="K83" s="185"/>
      <c r="V83" s="183">
        <f>SUM(V60:V82)</f>
        <v>18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44743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44743</v>
      </c>
      <c r="D91" s="216" t="s">
        <v>23</v>
      </c>
      <c r="E91" s="256" t="s">
        <v>28</v>
      </c>
      <c r="F91" s="256">
        <v>277.10000000000002</v>
      </c>
      <c r="G91" s="256">
        <v>275.10000000000002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44746</v>
      </c>
      <c r="D92" s="196" t="s">
        <v>23</v>
      </c>
      <c r="E92" s="222" t="s">
        <v>28</v>
      </c>
      <c r="F92" s="222">
        <v>280.2</v>
      </c>
      <c r="G92" s="222">
        <v>281.2</v>
      </c>
      <c r="H92" s="222">
        <v>-1</v>
      </c>
      <c r="I92" s="197">
        <v>5000</v>
      </c>
      <c r="J92" s="268">
        <f t="shared" ref="J92:J113" si="9">I92*H92</f>
        <v>-5000</v>
      </c>
      <c r="K92" s="185"/>
      <c r="V92" s="183">
        <f t="shared" ref="V92:V113" si="10">IF($J92&gt;0,1,0)</f>
        <v>0</v>
      </c>
      <c r="W92" s="183">
        <f t="shared" ref="W92:W113" si="11">IF($J92&lt;0,1,0)</f>
        <v>1</v>
      </c>
    </row>
    <row r="93" spans="1:23" x14ac:dyDescent="0.3">
      <c r="A93" s="184"/>
      <c r="B93" s="194">
        <v>3</v>
      </c>
      <c r="C93" s="195">
        <v>44747</v>
      </c>
      <c r="D93" s="196" t="s">
        <v>23</v>
      </c>
      <c r="E93" s="222" t="s">
        <v>28</v>
      </c>
      <c r="F93" s="222">
        <v>277.10000000000002</v>
      </c>
      <c r="G93" s="222">
        <v>275.7</v>
      </c>
      <c r="H93" s="222">
        <f>277.1-275.7</f>
        <v>1.4000000000000341</v>
      </c>
      <c r="I93" s="197">
        <v>5000</v>
      </c>
      <c r="J93" s="268">
        <f t="shared" si="9"/>
        <v>7000.000000000171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44748</v>
      </c>
      <c r="D94" s="196" t="s">
        <v>23</v>
      </c>
      <c r="E94" s="222" t="s">
        <v>28</v>
      </c>
      <c r="F94" s="222">
        <v>274</v>
      </c>
      <c r="G94" s="222">
        <v>272.5</v>
      </c>
      <c r="H94" s="222">
        <f>274-272.5</f>
        <v>1.5</v>
      </c>
      <c r="I94" s="197">
        <v>5000</v>
      </c>
      <c r="J94" s="268">
        <f t="shared" si="9"/>
        <v>7500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5</v>
      </c>
      <c r="C95" s="195">
        <v>44749</v>
      </c>
      <c r="D95" s="196" t="s">
        <v>23</v>
      </c>
      <c r="E95" s="222" t="s">
        <v>28</v>
      </c>
      <c r="F95" s="222">
        <v>279.5</v>
      </c>
      <c r="G95" s="222">
        <v>277.5</v>
      </c>
      <c r="H95" s="222">
        <v>2</v>
      </c>
      <c r="I95" s="197">
        <v>5000</v>
      </c>
      <c r="J95" s="268">
        <f t="shared" si="9"/>
        <v>10000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6</v>
      </c>
      <c r="C96" s="195">
        <v>44750</v>
      </c>
      <c r="D96" s="196" t="s">
        <v>23</v>
      </c>
      <c r="E96" s="222" t="s">
        <v>28</v>
      </c>
      <c r="F96" s="222">
        <v>275.8</v>
      </c>
      <c r="G96" s="222">
        <v>274.8</v>
      </c>
      <c r="H96" s="222">
        <v>-1</v>
      </c>
      <c r="I96" s="197">
        <v>5000</v>
      </c>
      <c r="J96" s="268">
        <f t="shared" si="9"/>
        <v>-5000</v>
      </c>
      <c r="K96" s="185"/>
      <c r="V96" s="183">
        <f t="shared" si="10"/>
        <v>0</v>
      </c>
      <c r="W96" s="183">
        <f t="shared" si="11"/>
        <v>1</v>
      </c>
    </row>
    <row r="97" spans="1:23" x14ac:dyDescent="0.3">
      <c r="A97" s="184"/>
      <c r="B97" s="194">
        <v>7</v>
      </c>
      <c r="C97" s="195">
        <v>44753</v>
      </c>
      <c r="D97" s="196" t="s">
        <v>23</v>
      </c>
      <c r="E97" s="222" t="s">
        <v>28</v>
      </c>
      <c r="F97" s="222">
        <v>279</v>
      </c>
      <c r="G97" s="222">
        <v>278</v>
      </c>
      <c r="H97" s="274">
        <v>1</v>
      </c>
      <c r="I97" s="197">
        <v>5000</v>
      </c>
      <c r="J97" s="268">
        <f t="shared" si="9"/>
        <v>5000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8</v>
      </c>
      <c r="C98" s="195">
        <v>44754</v>
      </c>
      <c r="D98" s="196" t="s">
        <v>23</v>
      </c>
      <c r="E98" s="222" t="s">
        <v>28</v>
      </c>
      <c r="F98" s="222">
        <v>274</v>
      </c>
      <c r="G98" s="222">
        <v>273.55</v>
      </c>
      <c r="H98" s="222">
        <f>274-273.55</f>
        <v>0.44999999999998863</v>
      </c>
      <c r="I98" s="197">
        <v>5000</v>
      </c>
      <c r="J98" s="268">
        <f t="shared" si="9"/>
        <v>2249.9999999999432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44755</v>
      </c>
      <c r="D99" s="196" t="s">
        <v>23</v>
      </c>
      <c r="E99" s="222" t="s">
        <v>28</v>
      </c>
      <c r="F99" s="222">
        <v>274</v>
      </c>
      <c r="G99" s="222">
        <v>272.60000000000002</v>
      </c>
      <c r="H99" s="222">
        <v>1.4</v>
      </c>
      <c r="I99" s="197">
        <v>5000</v>
      </c>
      <c r="J99" s="268">
        <f t="shared" si="9"/>
        <v>7000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44756</v>
      </c>
      <c r="D100" s="196" t="s">
        <v>23</v>
      </c>
      <c r="E100" s="222" t="s">
        <v>28</v>
      </c>
      <c r="F100" s="222">
        <v>267.8</v>
      </c>
      <c r="G100" s="222">
        <v>266.8</v>
      </c>
      <c r="H100" s="222">
        <v>1</v>
      </c>
      <c r="I100" s="197">
        <v>5000</v>
      </c>
      <c r="J100" s="268">
        <f t="shared" si="9"/>
        <v>5000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44757</v>
      </c>
      <c r="D101" s="196" t="s">
        <v>23</v>
      </c>
      <c r="E101" s="222" t="s">
        <v>28</v>
      </c>
      <c r="F101" s="222">
        <v>262.8</v>
      </c>
      <c r="G101" s="222">
        <v>262.3</v>
      </c>
      <c r="H101" s="274">
        <f>262.8-262.3</f>
        <v>0.5</v>
      </c>
      <c r="I101" s="197">
        <v>5000</v>
      </c>
      <c r="J101" s="268">
        <f t="shared" si="9"/>
        <v>2500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44760</v>
      </c>
      <c r="D102" s="196" t="s">
        <v>23</v>
      </c>
      <c r="E102" s="222" t="s">
        <v>28</v>
      </c>
      <c r="F102" s="222">
        <v>275</v>
      </c>
      <c r="G102" s="222">
        <v>274</v>
      </c>
      <c r="H102" s="274">
        <v>1</v>
      </c>
      <c r="I102" s="197">
        <v>5000</v>
      </c>
      <c r="J102" s="268">
        <f t="shared" si="9"/>
        <v>5000</v>
      </c>
      <c r="K102" s="185"/>
      <c r="V102" s="183">
        <f t="shared" si="10"/>
        <v>1</v>
      </c>
      <c r="W102" s="183">
        <f t="shared" si="11"/>
        <v>0</v>
      </c>
    </row>
    <row r="103" spans="1:23" x14ac:dyDescent="0.3">
      <c r="A103" s="184"/>
      <c r="B103" s="194">
        <v>13</v>
      </c>
      <c r="C103" s="195">
        <v>44761</v>
      </c>
      <c r="D103" s="196" t="s">
        <v>23</v>
      </c>
      <c r="E103" s="222" t="s">
        <v>28</v>
      </c>
      <c r="F103" s="222">
        <v>271.7</v>
      </c>
      <c r="G103" s="222">
        <v>271</v>
      </c>
      <c r="H103" s="274">
        <v>0.7</v>
      </c>
      <c r="I103" s="197">
        <v>5000</v>
      </c>
      <c r="J103" s="268">
        <f t="shared" si="9"/>
        <v>3500</v>
      </c>
      <c r="K103" s="185"/>
      <c r="V103" s="183">
        <f t="shared" si="10"/>
        <v>1</v>
      </c>
      <c r="W103" s="183">
        <f t="shared" si="11"/>
        <v>0</v>
      </c>
    </row>
    <row r="104" spans="1:23" x14ac:dyDescent="0.3">
      <c r="A104" s="184"/>
      <c r="B104" s="194">
        <v>14</v>
      </c>
      <c r="C104" s="195">
        <v>44762</v>
      </c>
      <c r="D104" s="196" t="s">
        <v>23</v>
      </c>
      <c r="E104" s="222" t="s">
        <v>28</v>
      </c>
      <c r="F104" s="222">
        <v>278.3</v>
      </c>
      <c r="G104" s="222">
        <v>277.3</v>
      </c>
      <c r="H104" s="274">
        <v>-1</v>
      </c>
      <c r="I104" s="197">
        <v>5000</v>
      </c>
      <c r="J104" s="268">
        <f t="shared" si="9"/>
        <v>-5000</v>
      </c>
      <c r="K104" s="185"/>
      <c r="V104" s="183">
        <f t="shared" si="10"/>
        <v>0</v>
      </c>
      <c r="W104" s="183">
        <f t="shared" si="11"/>
        <v>1</v>
      </c>
    </row>
    <row r="105" spans="1:23" x14ac:dyDescent="0.3">
      <c r="A105" s="184"/>
      <c r="B105" s="194">
        <v>15</v>
      </c>
      <c r="C105" s="195">
        <v>44763</v>
      </c>
      <c r="D105" s="196" t="s">
        <v>23</v>
      </c>
      <c r="E105" s="196" t="s">
        <v>28</v>
      </c>
      <c r="F105" s="222">
        <v>272.2</v>
      </c>
      <c r="G105" s="222">
        <v>272.8</v>
      </c>
      <c r="H105" s="222">
        <f>272.8-272.2</f>
        <v>0.60000000000002274</v>
      </c>
      <c r="I105" s="197">
        <v>5000</v>
      </c>
      <c r="J105" s="268">
        <f t="shared" si="9"/>
        <v>3000.0000000001137</v>
      </c>
      <c r="K105" s="185"/>
      <c r="V105" s="183">
        <f t="shared" si="10"/>
        <v>1</v>
      </c>
      <c r="W105" s="183">
        <f t="shared" si="11"/>
        <v>0</v>
      </c>
    </row>
    <row r="106" spans="1:23" x14ac:dyDescent="0.3">
      <c r="A106" s="184"/>
      <c r="B106" s="194">
        <v>16</v>
      </c>
      <c r="C106" s="195">
        <v>44764</v>
      </c>
      <c r="D106" s="196" t="s">
        <v>23</v>
      </c>
      <c r="E106" s="196" t="s">
        <v>28</v>
      </c>
      <c r="F106" s="222">
        <v>275.5</v>
      </c>
      <c r="G106" s="197">
        <v>274</v>
      </c>
      <c r="H106" s="274">
        <v>1.5</v>
      </c>
      <c r="I106" s="197">
        <v>5000</v>
      </c>
      <c r="J106" s="268">
        <f t="shared" si="9"/>
        <v>7500</v>
      </c>
      <c r="K106" s="185"/>
      <c r="V106" s="183">
        <f t="shared" si="10"/>
        <v>1</v>
      </c>
      <c r="W106" s="183">
        <f t="shared" si="11"/>
        <v>0</v>
      </c>
    </row>
    <row r="107" spans="1:23" x14ac:dyDescent="0.3">
      <c r="A107" s="184"/>
      <c r="B107" s="194">
        <v>17</v>
      </c>
      <c r="C107" s="195">
        <v>44767</v>
      </c>
      <c r="D107" s="196" t="s">
        <v>23</v>
      </c>
      <c r="E107" s="196" t="s">
        <v>28</v>
      </c>
      <c r="F107" s="222">
        <v>271.8</v>
      </c>
      <c r="G107" s="222">
        <v>271.3</v>
      </c>
      <c r="H107" s="274">
        <f>271.8-271.3</f>
        <v>0.5</v>
      </c>
      <c r="I107" s="197">
        <v>5000</v>
      </c>
      <c r="J107" s="268">
        <f t="shared" si="9"/>
        <v>2500</v>
      </c>
      <c r="K107" s="185"/>
      <c r="V107" s="183">
        <f t="shared" si="10"/>
        <v>1</v>
      </c>
      <c r="W107" s="183">
        <f t="shared" si="11"/>
        <v>0</v>
      </c>
    </row>
    <row r="108" spans="1:23" x14ac:dyDescent="0.3">
      <c r="A108" s="184"/>
      <c r="B108" s="194">
        <v>18</v>
      </c>
      <c r="C108" s="195">
        <v>44768</v>
      </c>
      <c r="D108" s="196" t="s">
        <v>23</v>
      </c>
      <c r="E108" s="196" t="s">
        <v>28</v>
      </c>
      <c r="F108" s="222">
        <v>275</v>
      </c>
      <c r="G108" s="222">
        <v>274.60000000000002</v>
      </c>
      <c r="H108" s="274">
        <v>0.4</v>
      </c>
      <c r="I108" s="197">
        <v>5000</v>
      </c>
      <c r="J108" s="268">
        <f t="shared" si="9"/>
        <v>2000</v>
      </c>
      <c r="K108" s="185"/>
      <c r="V108" s="183">
        <f t="shared" si="10"/>
        <v>1</v>
      </c>
      <c r="W108" s="183">
        <f t="shared" si="11"/>
        <v>0</v>
      </c>
    </row>
    <row r="109" spans="1:23" x14ac:dyDescent="0.3">
      <c r="A109" s="184"/>
      <c r="B109" s="194">
        <v>19</v>
      </c>
      <c r="C109" s="195">
        <v>44769</v>
      </c>
      <c r="D109" s="196" t="s">
        <v>23</v>
      </c>
      <c r="E109" s="196" t="s">
        <v>28</v>
      </c>
      <c r="F109" s="222">
        <v>277.5</v>
      </c>
      <c r="G109" s="222">
        <v>275.5</v>
      </c>
      <c r="H109" s="274">
        <v>2</v>
      </c>
      <c r="I109" s="197">
        <v>5000</v>
      </c>
      <c r="J109" s="268">
        <f t="shared" si="9"/>
        <v>10000</v>
      </c>
      <c r="K109" s="185"/>
      <c r="V109" s="183">
        <f t="shared" si="10"/>
        <v>1</v>
      </c>
      <c r="W109" s="183">
        <f t="shared" si="11"/>
        <v>0</v>
      </c>
    </row>
    <row r="110" spans="1:23" x14ac:dyDescent="0.3">
      <c r="A110" s="184"/>
      <c r="B110" s="194">
        <v>20</v>
      </c>
      <c r="C110" s="195">
        <v>44770</v>
      </c>
      <c r="D110" s="196" t="s">
        <v>23</v>
      </c>
      <c r="E110" s="222" t="s">
        <v>28</v>
      </c>
      <c r="F110" s="222">
        <v>283</v>
      </c>
      <c r="G110" s="222">
        <v>282.3</v>
      </c>
      <c r="H110" s="274">
        <f>283-282.3</f>
        <v>0.69999999999998863</v>
      </c>
      <c r="I110" s="197">
        <v>5000</v>
      </c>
      <c r="J110" s="268">
        <f t="shared" si="9"/>
        <v>3499.9999999999432</v>
      </c>
      <c r="K110" s="185"/>
      <c r="V110" s="183">
        <f t="shared" si="10"/>
        <v>1</v>
      </c>
      <c r="W110" s="183">
        <f t="shared" si="11"/>
        <v>0</v>
      </c>
    </row>
    <row r="111" spans="1:23" x14ac:dyDescent="0.3">
      <c r="A111" s="184"/>
      <c r="B111" s="194">
        <v>21</v>
      </c>
      <c r="C111" s="195">
        <v>44771</v>
      </c>
      <c r="D111" s="196" t="s">
        <v>23</v>
      </c>
      <c r="E111" s="222" t="s">
        <v>28</v>
      </c>
      <c r="F111" s="222">
        <v>291.2</v>
      </c>
      <c r="G111" s="222">
        <v>290.75</v>
      </c>
      <c r="H111" s="274">
        <f>291.2-290.75</f>
        <v>0.44999999999998863</v>
      </c>
      <c r="I111" s="197">
        <v>5000</v>
      </c>
      <c r="J111" s="268">
        <f t="shared" si="9"/>
        <v>2249.9999999999432</v>
      </c>
      <c r="K111" s="185"/>
      <c r="V111" s="183">
        <f t="shared" si="10"/>
        <v>1</v>
      </c>
      <c r="W111" s="183">
        <f t="shared" si="11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9"/>
        <v>0</v>
      </c>
      <c r="K112" s="185"/>
      <c r="V112" s="183">
        <f t="shared" si="10"/>
        <v>0</v>
      </c>
      <c r="W112" s="183">
        <f t="shared" si="11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9"/>
        <v>0</v>
      </c>
      <c r="K113" s="185"/>
      <c r="V113" s="183">
        <f t="shared" si="10"/>
        <v>0</v>
      </c>
      <c r="W113" s="183">
        <f t="shared" si="11"/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80500.000000000116</v>
      </c>
      <c r="K114" s="185"/>
      <c r="V114" s="183">
        <f>SUM(V91:V113)</f>
        <v>18</v>
      </c>
      <c r="W114" s="183">
        <f>SUM(W91:W113)</f>
        <v>3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7300-000000000000}"/>
    <hyperlink ref="B83" r:id="rId2" xr:uid="{00000000-0004-0000-7300-000001000000}"/>
    <hyperlink ref="M4:M5" location="'JULY 2022'!A1" display="BULLION" xr:uid="{00000000-0004-0000-7300-000002000000}"/>
    <hyperlink ref="B114" r:id="rId3" xr:uid="{00000000-0004-0000-7300-000003000000}"/>
    <hyperlink ref="M8:M9" location="'JULY 2022'!A86" display="BASE METAL" xr:uid="{00000000-0004-0000-7300-000004000000}"/>
    <hyperlink ref="M1" location="MASTER!A1" display="Back" xr:uid="{00000000-0004-0000-7300-000005000000}"/>
    <hyperlink ref="M6:M7" location="'JULY 2022'!A54" display="ENERGY" xr:uid="{00000000-0004-0000-7300-000006000000}"/>
  </hyperlinks>
  <pageMargins left="0" right="0" top="0" bottom="0" header="0" footer="0"/>
  <pageSetup paperSize="9" orientation="portrait" r:id="rId4"/>
  <drawing r:id="rId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W115"/>
  <sheetViews>
    <sheetView topLeftCell="A100" zoomScaleNormal="100" workbookViewId="0">
      <selection activeCell="M108" sqref="M10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44774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35</v>
      </c>
      <c r="O4" s="369">
        <f>V52</f>
        <v>29</v>
      </c>
      <c r="P4" s="369">
        <f>W52</f>
        <v>6</v>
      </c>
      <c r="Q4" s="349">
        <f>N4-O4-P4</f>
        <v>0</v>
      </c>
      <c r="R4" s="343">
        <f>O4/N4</f>
        <v>0.82857142857142863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44774</v>
      </c>
      <c r="D6" s="192" t="s">
        <v>23</v>
      </c>
      <c r="E6" s="192" t="s">
        <v>24</v>
      </c>
      <c r="F6" s="193">
        <v>51640</v>
      </c>
      <c r="G6" s="193">
        <v>51490</v>
      </c>
      <c r="H6" s="192">
        <f>51640-51490</f>
        <v>150</v>
      </c>
      <c r="I6" s="193">
        <v>100</v>
      </c>
      <c r="J6" s="267">
        <f>H6*I6</f>
        <v>15000</v>
      </c>
      <c r="K6" s="185"/>
      <c r="M6" s="364" t="s">
        <v>258</v>
      </c>
      <c r="N6" s="347">
        <f>COUNT(C60:C82)</f>
        <v>19</v>
      </c>
      <c r="O6" s="348">
        <f>V83</f>
        <v>12</v>
      </c>
      <c r="P6" s="348">
        <f>W83</f>
        <v>7</v>
      </c>
      <c r="Q6" s="349">
        <f>N6-O6-P6</f>
        <v>0</v>
      </c>
      <c r="R6" s="345">
        <f t="shared" ref="R6" si="0">O6/N6</f>
        <v>0.63157894736842102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44774</v>
      </c>
      <c r="D7" s="196" t="s">
        <v>23</v>
      </c>
      <c r="E7" s="196" t="s">
        <v>22</v>
      </c>
      <c r="F7" s="197">
        <v>58550</v>
      </c>
      <c r="G7" s="197">
        <v>58250</v>
      </c>
      <c r="H7" s="196">
        <v>200</v>
      </c>
      <c r="I7" s="197">
        <v>30</v>
      </c>
      <c r="J7" s="268">
        <f t="shared" ref="J7:J51" si="1">H7*I7</f>
        <v>6000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44775</v>
      </c>
      <c r="D8" s="196" t="s">
        <v>23</v>
      </c>
      <c r="E8" s="196" t="s">
        <v>24</v>
      </c>
      <c r="F8" s="197">
        <v>51460</v>
      </c>
      <c r="G8" s="197">
        <v>51400</v>
      </c>
      <c r="H8" s="196">
        <v>60</v>
      </c>
      <c r="I8" s="197">
        <v>100</v>
      </c>
      <c r="J8" s="268">
        <f t="shared" si="1"/>
        <v>6000</v>
      </c>
      <c r="K8" s="185"/>
      <c r="M8" s="362" t="s">
        <v>877</v>
      </c>
      <c r="N8" s="347">
        <f>COUNT(C91:C113)</f>
        <v>19</v>
      </c>
      <c r="O8" s="348">
        <f>V114</f>
        <v>16</v>
      </c>
      <c r="P8" s="348">
        <f>W114</f>
        <v>3</v>
      </c>
      <c r="Q8" s="349">
        <f>N8-O8-P8</f>
        <v>0</v>
      </c>
      <c r="R8" s="345">
        <f t="shared" ref="R8" si="4">O8/N8</f>
        <v>0.84210526315789469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44775</v>
      </c>
      <c r="D9" s="196" t="s">
        <v>23</v>
      </c>
      <c r="E9" s="196" t="s">
        <v>22</v>
      </c>
      <c r="F9" s="197">
        <v>58000</v>
      </c>
      <c r="G9" s="197">
        <v>57860</v>
      </c>
      <c r="H9" s="196">
        <f>58000-57860</f>
        <v>140</v>
      </c>
      <c r="I9" s="197">
        <v>30</v>
      </c>
      <c r="J9" s="268">
        <f t="shared" si="1"/>
        <v>4200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44776</v>
      </c>
      <c r="D10" s="196" t="s">
        <v>23</v>
      </c>
      <c r="E10" s="196" t="s">
        <v>24</v>
      </c>
      <c r="F10" s="197">
        <v>51450</v>
      </c>
      <c r="G10" s="197">
        <v>51380</v>
      </c>
      <c r="H10" s="196">
        <f>51450-51380</f>
        <v>70</v>
      </c>
      <c r="I10" s="197">
        <v>100</v>
      </c>
      <c r="J10" s="268">
        <f t="shared" si="1"/>
        <v>7000</v>
      </c>
      <c r="K10" s="185"/>
      <c r="M10" s="319" t="s">
        <v>300</v>
      </c>
      <c r="N10" s="321">
        <f>SUM(N4:N9)</f>
        <v>73</v>
      </c>
      <c r="O10" s="321">
        <f>SUM(O4:O9)</f>
        <v>57</v>
      </c>
      <c r="P10" s="321">
        <f>SUM(P4:P9)</f>
        <v>16</v>
      </c>
      <c r="Q10" s="341">
        <f>SUM(Q4:Q9)</f>
        <v>0</v>
      </c>
      <c r="R10" s="343">
        <f t="shared" ref="R10" si="5">O10/N10</f>
        <v>0.78082191780821919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44776</v>
      </c>
      <c r="D11" s="196" t="s">
        <v>23</v>
      </c>
      <c r="E11" s="196" t="s">
        <v>22</v>
      </c>
      <c r="F11" s="197">
        <v>57300</v>
      </c>
      <c r="G11" s="197">
        <v>57600</v>
      </c>
      <c r="H11" s="196">
        <v>-300</v>
      </c>
      <c r="I11" s="197">
        <v>30</v>
      </c>
      <c r="J11" s="268">
        <f t="shared" si="1"/>
        <v>-9000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44777</v>
      </c>
      <c r="D12" s="196" t="s">
        <v>23</v>
      </c>
      <c r="E12" s="196" t="s">
        <v>24</v>
      </c>
      <c r="F12" s="197">
        <v>52050</v>
      </c>
      <c r="G12" s="197">
        <v>51900</v>
      </c>
      <c r="H12" s="196">
        <f>52050-51900</f>
        <v>150</v>
      </c>
      <c r="I12" s="197">
        <v>100</v>
      </c>
      <c r="J12" s="268">
        <f t="shared" si="1"/>
        <v>15000</v>
      </c>
      <c r="K12" s="185"/>
      <c r="M12" s="323" t="s">
        <v>878</v>
      </c>
      <c r="N12" s="324"/>
      <c r="O12" s="325"/>
      <c r="P12" s="332">
        <f>R10</f>
        <v>0.78082191780821919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44777</v>
      </c>
      <c r="D13" s="196" t="s">
        <v>23</v>
      </c>
      <c r="E13" s="196" t="s">
        <v>22</v>
      </c>
      <c r="F13" s="197">
        <v>58250</v>
      </c>
      <c r="G13" s="197">
        <v>58070</v>
      </c>
      <c r="H13" s="196">
        <v>180</v>
      </c>
      <c r="I13" s="197">
        <v>30</v>
      </c>
      <c r="J13" s="268">
        <f t="shared" si="1"/>
        <v>5400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44781</v>
      </c>
      <c r="D14" s="196" t="s">
        <v>23</v>
      </c>
      <c r="E14" s="196" t="s">
        <v>22</v>
      </c>
      <c r="F14" s="197">
        <v>57950</v>
      </c>
      <c r="G14" s="197">
        <v>58250</v>
      </c>
      <c r="H14" s="196">
        <f>58250-57950</f>
        <v>300</v>
      </c>
      <c r="I14" s="197">
        <v>30</v>
      </c>
      <c r="J14" s="268">
        <f t="shared" si="1"/>
        <v>9000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44783</v>
      </c>
      <c r="D15" s="196" t="s">
        <v>23</v>
      </c>
      <c r="E15" s="196" t="s">
        <v>24</v>
      </c>
      <c r="F15" s="197">
        <v>52400</v>
      </c>
      <c r="G15" s="197">
        <v>52300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44783</v>
      </c>
      <c r="D16" s="196" t="s">
        <v>23</v>
      </c>
      <c r="E16" s="196" t="s">
        <v>22</v>
      </c>
      <c r="F16" s="197">
        <v>58750</v>
      </c>
      <c r="G16" s="197">
        <v>58500</v>
      </c>
      <c r="H16" s="196">
        <v>250</v>
      </c>
      <c r="I16" s="197">
        <v>30</v>
      </c>
      <c r="J16" s="268">
        <f t="shared" si="1"/>
        <v>7500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44785</v>
      </c>
      <c r="D17" s="196" t="s">
        <v>23</v>
      </c>
      <c r="E17" s="196" t="s">
        <v>24</v>
      </c>
      <c r="F17" s="197">
        <v>52380</v>
      </c>
      <c r="G17" s="197">
        <v>52281</v>
      </c>
      <c r="H17" s="196">
        <f>52380-52281</f>
        <v>99</v>
      </c>
      <c r="I17" s="197">
        <v>100</v>
      </c>
      <c r="J17" s="268">
        <f t="shared" si="1"/>
        <v>9900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44785</v>
      </c>
      <c r="D18" s="196" t="s">
        <v>23</v>
      </c>
      <c r="E18" s="196" t="s">
        <v>22</v>
      </c>
      <c r="F18" s="197">
        <v>58600</v>
      </c>
      <c r="G18" s="197">
        <v>58300</v>
      </c>
      <c r="H18" s="196">
        <v>300</v>
      </c>
      <c r="I18" s="197">
        <v>30</v>
      </c>
      <c r="J18" s="268">
        <f t="shared" si="1"/>
        <v>9000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44789</v>
      </c>
      <c r="D19" s="196" t="s">
        <v>23</v>
      </c>
      <c r="E19" s="196" t="s">
        <v>24</v>
      </c>
      <c r="F19" s="197">
        <v>51880</v>
      </c>
      <c r="G19" s="197">
        <v>51780</v>
      </c>
      <c r="H19" s="196">
        <v>100</v>
      </c>
      <c r="I19" s="197">
        <v>100</v>
      </c>
      <c r="J19" s="268">
        <f t="shared" si="1"/>
        <v>10000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44789</v>
      </c>
      <c r="D20" s="196" t="s">
        <v>23</v>
      </c>
      <c r="E20" s="196" t="s">
        <v>22</v>
      </c>
      <c r="F20" s="197">
        <v>57700</v>
      </c>
      <c r="G20" s="197">
        <v>57333</v>
      </c>
      <c r="H20" s="196">
        <f>57700-57333</f>
        <v>367</v>
      </c>
      <c r="I20" s="197">
        <v>30</v>
      </c>
      <c r="J20" s="268">
        <f t="shared" si="1"/>
        <v>11010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44790</v>
      </c>
      <c r="D21" s="196" t="s">
        <v>23</v>
      </c>
      <c r="E21" s="196" t="s">
        <v>24</v>
      </c>
      <c r="F21" s="197">
        <v>51840</v>
      </c>
      <c r="G21" s="197">
        <v>51695</v>
      </c>
      <c r="H21" s="196">
        <f>51840-51695</f>
        <v>145</v>
      </c>
      <c r="I21" s="197">
        <v>100</v>
      </c>
      <c r="J21" s="268">
        <f t="shared" si="1"/>
        <v>14500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44790</v>
      </c>
      <c r="D22" s="196" t="s">
        <v>23</v>
      </c>
      <c r="E22" s="196" t="s">
        <v>22</v>
      </c>
      <c r="F22" s="197">
        <v>57400</v>
      </c>
      <c r="G22" s="197">
        <v>57000</v>
      </c>
      <c r="H22" s="196">
        <v>400</v>
      </c>
      <c r="I22" s="197">
        <v>30</v>
      </c>
      <c r="J22" s="268">
        <f t="shared" si="1"/>
        <v>12000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44791</v>
      </c>
      <c r="D23" s="196" t="s">
        <v>23</v>
      </c>
      <c r="E23" s="196" t="s">
        <v>24</v>
      </c>
      <c r="F23" s="197">
        <v>51700</v>
      </c>
      <c r="G23" s="197">
        <v>51800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44791</v>
      </c>
      <c r="D24" s="196" t="s">
        <v>23</v>
      </c>
      <c r="E24" s="196" t="s">
        <v>22</v>
      </c>
      <c r="F24" s="197">
        <v>56750</v>
      </c>
      <c r="G24" s="197">
        <v>57050</v>
      </c>
      <c r="H24" s="196">
        <f>56750-57050</f>
        <v>-300</v>
      </c>
      <c r="I24" s="197">
        <v>30</v>
      </c>
      <c r="J24" s="268">
        <f t="shared" si="1"/>
        <v>-9000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44792</v>
      </c>
      <c r="D25" s="196" t="s">
        <v>23</v>
      </c>
      <c r="E25" s="196" t="s">
        <v>24</v>
      </c>
      <c r="F25" s="197">
        <v>51500</v>
      </c>
      <c r="G25" s="197">
        <v>51451</v>
      </c>
      <c r="H25" s="196">
        <f>51500-51451</f>
        <v>49</v>
      </c>
      <c r="I25" s="197">
        <v>100</v>
      </c>
      <c r="J25" s="268">
        <f t="shared" si="1"/>
        <v>4900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44792</v>
      </c>
      <c r="D26" s="196" t="s">
        <v>23</v>
      </c>
      <c r="E26" s="196" t="s">
        <v>22</v>
      </c>
      <c r="F26" s="197">
        <v>55750</v>
      </c>
      <c r="G26" s="197">
        <v>55620</v>
      </c>
      <c r="H26" s="196">
        <f>55750-55620</f>
        <v>130</v>
      </c>
      <c r="I26" s="197">
        <v>30</v>
      </c>
      <c r="J26" s="268">
        <f t="shared" si="1"/>
        <v>3900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44795</v>
      </c>
      <c r="D27" s="196" t="s">
        <v>23</v>
      </c>
      <c r="E27" s="196" t="s">
        <v>24</v>
      </c>
      <c r="F27" s="197">
        <v>51100</v>
      </c>
      <c r="G27" s="197">
        <v>51200</v>
      </c>
      <c r="H27" s="196">
        <v>-100</v>
      </c>
      <c r="I27" s="197">
        <v>100</v>
      </c>
      <c r="J27" s="268">
        <f t="shared" si="1"/>
        <v>-10000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44795</v>
      </c>
      <c r="D28" s="196" t="s">
        <v>23</v>
      </c>
      <c r="E28" s="196" t="s">
        <v>22</v>
      </c>
      <c r="F28" s="197">
        <v>54900</v>
      </c>
      <c r="G28" s="197">
        <v>54603</v>
      </c>
      <c r="H28" s="196">
        <f>54900-54306</f>
        <v>594</v>
      </c>
      <c r="I28" s="197">
        <v>30</v>
      </c>
      <c r="J28" s="268">
        <f t="shared" si="1"/>
        <v>17820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44796</v>
      </c>
      <c r="D29" s="196" t="s">
        <v>23</v>
      </c>
      <c r="E29" s="196" t="s">
        <v>24</v>
      </c>
      <c r="F29" s="197">
        <v>51280</v>
      </c>
      <c r="G29" s="197">
        <v>51180</v>
      </c>
      <c r="H29" s="196">
        <v>100</v>
      </c>
      <c r="I29" s="197">
        <v>100</v>
      </c>
      <c r="J29" s="268">
        <f t="shared" si="1"/>
        <v>10000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44796</v>
      </c>
      <c r="D30" s="196" t="s">
        <v>23</v>
      </c>
      <c r="E30" s="196" t="s">
        <v>22</v>
      </c>
      <c r="F30" s="197">
        <v>55100</v>
      </c>
      <c r="G30" s="197">
        <v>54881</v>
      </c>
      <c r="H30" s="196">
        <v>219</v>
      </c>
      <c r="I30" s="197">
        <v>30</v>
      </c>
      <c r="J30" s="268">
        <f t="shared" si="1"/>
        <v>6570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44797</v>
      </c>
      <c r="D31" s="196" t="s">
        <v>23</v>
      </c>
      <c r="E31" s="196" t="s">
        <v>24</v>
      </c>
      <c r="F31" s="197">
        <v>51500</v>
      </c>
      <c r="G31" s="197">
        <v>51350</v>
      </c>
      <c r="H31" s="196">
        <f>51500-51350</f>
        <v>150</v>
      </c>
      <c r="I31" s="197">
        <v>100</v>
      </c>
      <c r="J31" s="268">
        <f t="shared" si="1"/>
        <v>15000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44797</v>
      </c>
      <c r="D32" s="196" t="s">
        <v>23</v>
      </c>
      <c r="E32" s="196" t="s">
        <v>22</v>
      </c>
      <c r="F32" s="197">
        <v>55200</v>
      </c>
      <c r="G32" s="197">
        <v>55000</v>
      </c>
      <c r="H32" s="196">
        <v>200</v>
      </c>
      <c r="I32" s="197">
        <v>30</v>
      </c>
      <c r="J32" s="268">
        <f t="shared" si="1"/>
        <v>6000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44798</v>
      </c>
      <c r="D33" s="196" t="s">
        <v>23</v>
      </c>
      <c r="E33" s="196" t="s">
        <v>24</v>
      </c>
      <c r="F33" s="197">
        <v>51820</v>
      </c>
      <c r="G33" s="197">
        <v>51720</v>
      </c>
      <c r="H33" s="196">
        <v>100</v>
      </c>
      <c r="I33" s="197">
        <v>100</v>
      </c>
      <c r="J33" s="268">
        <f t="shared" si="1"/>
        <v>10000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44798</v>
      </c>
      <c r="D34" s="196" t="s">
        <v>23</v>
      </c>
      <c r="E34" s="196" t="s">
        <v>22</v>
      </c>
      <c r="F34" s="197">
        <v>55650</v>
      </c>
      <c r="G34" s="197">
        <v>55350</v>
      </c>
      <c r="H34" s="196">
        <v>300</v>
      </c>
      <c r="I34" s="197">
        <v>30</v>
      </c>
      <c r="J34" s="268">
        <f t="shared" si="1"/>
        <v>9000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44799</v>
      </c>
      <c r="D35" s="196" t="s">
        <v>23</v>
      </c>
      <c r="E35" s="196" t="s">
        <v>24</v>
      </c>
      <c r="F35" s="197">
        <v>51500</v>
      </c>
      <c r="G35" s="197">
        <v>51340</v>
      </c>
      <c r="H35" s="196">
        <f>51500-51340</f>
        <v>160</v>
      </c>
      <c r="I35" s="197">
        <v>100</v>
      </c>
      <c r="J35" s="268">
        <f t="shared" si="1"/>
        <v>16000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44799</v>
      </c>
      <c r="D36" s="196" t="s">
        <v>23</v>
      </c>
      <c r="E36" s="196" t="s">
        <v>22</v>
      </c>
      <c r="F36" s="197">
        <v>55450</v>
      </c>
      <c r="G36" s="197">
        <v>55360</v>
      </c>
      <c r="H36" s="196">
        <f>55450-55360</f>
        <v>90</v>
      </c>
      <c r="I36" s="197">
        <v>30</v>
      </c>
      <c r="J36" s="268">
        <f t="shared" si="1"/>
        <v>2700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44802</v>
      </c>
      <c r="D37" s="196" t="s">
        <v>23</v>
      </c>
      <c r="E37" s="196" t="s">
        <v>24</v>
      </c>
      <c r="F37" s="197">
        <v>50850</v>
      </c>
      <c r="G37" s="197">
        <v>50950</v>
      </c>
      <c r="H37" s="196">
        <v>-100</v>
      </c>
      <c r="I37" s="197">
        <v>100</v>
      </c>
      <c r="J37" s="268">
        <f t="shared" si="1"/>
        <v>-10000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44802</v>
      </c>
      <c r="D38" s="196" t="s">
        <v>23</v>
      </c>
      <c r="E38" s="196" t="s">
        <v>22</v>
      </c>
      <c r="F38" s="197">
        <v>53950</v>
      </c>
      <c r="G38" s="197">
        <v>54250</v>
      </c>
      <c r="H38" s="196">
        <v>-300</v>
      </c>
      <c r="I38" s="197">
        <v>30</v>
      </c>
      <c r="J38" s="268">
        <f t="shared" si="1"/>
        <v>-9000</v>
      </c>
      <c r="K38" s="185"/>
      <c r="V38" s="183">
        <f t="shared" si="2"/>
        <v>0</v>
      </c>
      <c r="W38" s="183">
        <f t="shared" si="3"/>
        <v>1</v>
      </c>
    </row>
    <row r="39" spans="1:23" x14ac:dyDescent="0.3">
      <c r="A39" s="184"/>
      <c r="B39" s="194">
        <v>34</v>
      </c>
      <c r="C39" s="195">
        <v>44803</v>
      </c>
      <c r="D39" s="196" t="s">
        <v>23</v>
      </c>
      <c r="E39" s="196" t="s">
        <v>24</v>
      </c>
      <c r="F39" s="197">
        <v>50900</v>
      </c>
      <c r="G39" s="197">
        <v>50795</v>
      </c>
      <c r="H39" s="196">
        <f>50900-50795</f>
        <v>105</v>
      </c>
      <c r="I39" s="197">
        <v>100</v>
      </c>
      <c r="J39" s="268">
        <f t="shared" si="1"/>
        <v>10500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44803</v>
      </c>
      <c r="D40" s="196" t="s">
        <v>23</v>
      </c>
      <c r="E40" s="196" t="s">
        <v>22</v>
      </c>
      <c r="F40" s="197">
        <v>54000</v>
      </c>
      <c r="G40" s="197">
        <v>53700</v>
      </c>
      <c r="H40" s="196">
        <v>300</v>
      </c>
      <c r="I40" s="197">
        <v>30</v>
      </c>
      <c r="J40" s="268">
        <f t="shared" si="1"/>
        <v>9000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215900</v>
      </c>
      <c r="K52" s="185"/>
      <c r="V52" s="183">
        <f>SUM(V6:V51)</f>
        <v>29</v>
      </c>
      <c r="W52" s="183">
        <f>SUM(W6:W51)</f>
        <v>6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44774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44774</v>
      </c>
      <c r="D60" s="192" t="s">
        <v>23</v>
      </c>
      <c r="E60" s="192" t="s">
        <v>25</v>
      </c>
      <c r="F60" s="193">
        <v>7670</v>
      </c>
      <c r="G60" s="193">
        <v>7700</v>
      </c>
      <c r="H60" s="192">
        <v>-30</v>
      </c>
      <c r="I60" s="193">
        <v>100</v>
      </c>
      <c r="J60" s="267">
        <f t="shared" ref="J60:J82" si="6">I60*H60</f>
        <v>-3000</v>
      </c>
      <c r="K60" s="185"/>
      <c r="V60" s="183">
        <f>IF($J60&gt;0,1,0)</f>
        <v>0</v>
      </c>
      <c r="W60" s="183">
        <f>IF($J60&lt;0,1,0)</f>
        <v>1</v>
      </c>
    </row>
    <row r="61" spans="1:23" x14ac:dyDescent="0.3">
      <c r="A61" s="184"/>
      <c r="B61" s="194">
        <v>2</v>
      </c>
      <c r="C61" s="195">
        <v>44775</v>
      </c>
      <c r="D61" s="196" t="s">
        <v>23</v>
      </c>
      <c r="E61" s="196" t="s">
        <v>25</v>
      </c>
      <c r="F61" s="197">
        <v>7360</v>
      </c>
      <c r="G61" s="197">
        <v>7320</v>
      </c>
      <c r="H61" s="196">
        <f>7360-7320</f>
        <v>40</v>
      </c>
      <c r="I61" s="197">
        <v>100</v>
      </c>
      <c r="J61" s="268">
        <f t="shared" si="6"/>
        <v>4000</v>
      </c>
      <c r="K61" s="185"/>
      <c r="V61" s="183">
        <f t="shared" ref="V61:V82" si="7">IF($J61&gt;0,1,0)</f>
        <v>1</v>
      </c>
      <c r="W61" s="183">
        <f t="shared" ref="W61:W82" si="8">IF($J61&lt;0,1,0)</f>
        <v>0</v>
      </c>
    </row>
    <row r="62" spans="1:23" x14ac:dyDescent="0.3">
      <c r="A62" s="184"/>
      <c r="B62" s="194">
        <v>3</v>
      </c>
      <c r="C62" s="195">
        <v>44776</v>
      </c>
      <c r="D62" s="196" t="s">
        <v>23</v>
      </c>
      <c r="E62" s="196" t="s">
        <v>25</v>
      </c>
      <c r="F62" s="197">
        <v>7380</v>
      </c>
      <c r="G62" s="197">
        <v>7410</v>
      </c>
      <c r="H62" s="196">
        <v>-30</v>
      </c>
      <c r="I62" s="197">
        <v>100</v>
      </c>
      <c r="J62" s="268">
        <f t="shared" si="6"/>
        <v>-3000</v>
      </c>
      <c r="K62" s="185"/>
      <c r="V62" s="183">
        <f t="shared" si="7"/>
        <v>0</v>
      </c>
      <c r="W62" s="183">
        <f t="shared" si="8"/>
        <v>1</v>
      </c>
    </row>
    <row r="63" spans="1:23" x14ac:dyDescent="0.3">
      <c r="A63" s="184"/>
      <c r="B63" s="194">
        <v>4</v>
      </c>
      <c r="C63" s="195">
        <v>44777</v>
      </c>
      <c r="D63" s="196" t="s">
        <v>16</v>
      </c>
      <c r="E63" s="196" t="s">
        <v>25</v>
      </c>
      <c r="F63" s="197">
        <v>7280</v>
      </c>
      <c r="G63" s="197">
        <v>7303</v>
      </c>
      <c r="H63" s="196">
        <f>7303-7280</f>
        <v>23</v>
      </c>
      <c r="I63" s="197">
        <v>100</v>
      </c>
      <c r="J63" s="268">
        <f t="shared" si="6"/>
        <v>2300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5</v>
      </c>
      <c r="C64" s="195">
        <v>44778</v>
      </c>
      <c r="D64" s="196" t="s">
        <v>23</v>
      </c>
      <c r="E64" s="196" t="s">
        <v>25</v>
      </c>
      <c r="F64" s="197">
        <v>7050</v>
      </c>
      <c r="G64" s="197">
        <v>6690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6</v>
      </c>
      <c r="C65" s="195">
        <v>44781</v>
      </c>
      <c r="D65" s="196" t="s">
        <v>23</v>
      </c>
      <c r="E65" s="196" t="s">
        <v>25</v>
      </c>
      <c r="F65" s="197">
        <v>7060</v>
      </c>
      <c r="G65" s="197">
        <v>7000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7</v>
      </c>
      <c r="C66" s="195">
        <v>44783</v>
      </c>
      <c r="D66" s="196" t="s">
        <v>23</v>
      </c>
      <c r="E66" s="196" t="s">
        <v>25</v>
      </c>
      <c r="F66" s="222">
        <v>7180</v>
      </c>
      <c r="G66" s="222">
        <v>7120</v>
      </c>
      <c r="H66" s="196"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8</v>
      </c>
      <c r="C67" s="195">
        <v>44785</v>
      </c>
      <c r="D67" s="196" t="s">
        <v>23</v>
      </c>
      <c r="E67" s="196" t="s">
        <v>25</v>
      </c>
      <c r="F67" s="197">
        <v>7525</v>
      </c>
      <c r="G67" s="197">
        <v>7465</v>
      </c>
      <c r="H67" s="196">
        <f>7525-7465</f>
        <v>60</v>
      </c>
      <c r="I67" s="197">
        <v>100</v>
      </c>
      <c r="J67" s="268">
        <f t="shared" si="6"/>
        <v>6000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44789</v>
      </c>
      <c r="D68" s="196" t="s">
        <v>23</v>
      </c>
      <c r="E68" s="196" t="s">
        <v>25</v>
      </c>
      <c r="F68" s="197">
        <v>7070</v>
      </c>
      <c r="G68" s="197">
        <v>7028</v>
      </c>
      <c r="H68" s="196">
        <f>7070-7028</f>
        <v>42</v>
      </c>
      <c r="I68" s="197">
        <v>100</v>
      </c>
      <c r="J68" s="268">
        <f t="shared" si="6"/>
        <v>4200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44790</v>
      </c>
      <c r="D69" s="196" t="s">
        <v>23</v>
      </c>
      <c r="E69" s="196" t="s">
        <v>25</v>
      </c>
      <c r="F69" s="197">
        <v>6890</v>
      </c>
      <c r="G69" s="197">
        <v>6920</v>
      </c>
      <c r="H69" s="196">
        <v>-30</v>
      </c>
      <c r="I69" s="197">
        <v>100</v>
      </c>
      <c r="J69" s="268">
        <f t="shared" si="6"/>
        <v>-3000</v>
      </c>
      <c r="K69" s="185"/>
      <c r="V69" s="183">
        <f t="shared" si="7"/>
        <v>0</v>
      </c>
      <c r="W69" s="183">
        <f t="shared" si="8"/>
        <v>1</v>
      </c>
    </row>
    <row r="70" spans="1:23" x14ac:dyDescent="0.3">
      <c r="A70" s="184"/>
      <c r="B70" s="194">
        <v>11</v>
      </c>
      <c r="C70" s="195">
        <v>44791</v>
      </c>
      <c r="D70" s="196" t="s">
        <v>23</v>
      </c>
      <c r="E70" s="196" t="s">
        <v>25</v>
      </c>
      <c r="F70" s="197">
        <v>7090</v>
      </c>
      <c r="G70" s="197">
        <v>7067</v>
      </c>
      <c r="H70" s="196">
        <f>7090-7067</f>
        <v>23</v>
      </c>
      <c r="I70" s="197">
        <v>100</v>
      </c>
      <c r="J70" s="268">
        <f t="shared" si="6"/>
        <v>2300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44792</v>
      </c>
      <c r="D71" s="196" t="s">
        <v>23</v>
      </c>
      <c r="E71" s="196" t="s">
        <v>25</v>
      </c>
      <c r="F71" s="197">
        <v>7135</v>
      </c>
      <c r="G71" s="197">
        <v>7075</v>
      </c>
      <c r="H71" s="196">
        <f>7135-7075</f>
        <v>60</v>
      </c>
      <c r="I71" s="197">
        <v>100</v>
      </c>
      <c r="J71" s="268">
        <f t="shared" si="6"/>
        <v>6000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44795</v>
      </c>
      <c r="D72" s="196" t="s">
        <v>23</v>
      </c>
      <c r="E72" s="196" t="s">
        <v>25</v>
      </c>
      <c r="F72" s="197">
        <v>7200</v>
      </c>
      <c r="G72" s="197">
        <v>7230</v>
      </c>
      <c r="H72" s="196">
        <v>-30</v>
      </c>
      <c r="I72" s="197">
        <v>100</v>
      </c>
      <c r="J72" s="268">
        <f t="shared" si="6"/>
        <v>-3000</v>
      </c>
      <c r="K72" s="185"/>
      <c r="V72" s="183">
        <f t="shared" si="7"/>
        <v>0</v>
      </c>
      <c r="W72" s="183">
        <f t="shared" si="8"/>
        <v>1</v>
      </c>
    </row>
    <row r="73" spans="1:23" x14ac:dyDescent="0.3">
      <c r="A73" s="184"/>
      <c r="B73" s="194">
        <v>14</v>
      </c>
      <c r="C73" s="195">
        <v>44796</v>
      </c>
      <c r="D73" s="196" t="s">
        <v>23</v>
      </c>
      <c r="E73" s="196" t="s">
        <v>25</v>
      </c>
      <c r="F73" s="197">
        <v>7340</v>
      </c>
      <c r="G73" s="197">
        <v>7375</v>
      </c>
      <c r="H73" s="196">
        <v>-30</v>
      </c>
      <c r="I73" s="197">
        <v>100</v>
      </c>
      <c r="J73" s="268">
        <f t="shared" si="6"/>
        <v>-3000</v>
      </c>
      <c r="K73" s="185"/>
      <c r="V73" s="183">
        <f t="shared" si="7"/>
        <v>0</v>
      </c>
      <c r="W73" s="183">
        <f t="shared" si="8"/>
        <v>1</v>
      </c>
    </row>
    <row r="74" spans="1:23" x14ac:dyDescent="0.3">
      <c r="A74" s="184"/>
      <c r="B74" s="194">
        <v>15</v>
      </c>
      <c r="C74" s="195">
        <v>44797</v>
      </c>
      <c r="D74" s="196" t="s">
        <v>23</v>
      </c>
      <c r="E74" s="196" t="s">
        <v>25</v>
      </c>
      <c r="F74" s="197">
        <v>7565</v>
      </c>
      <c r="G74" s="197">
        <v>7540</v>
      </c>
      <c r="H74" s="196">
        <f>7565-7540</f>
        <v>25</v>
      </c>
      <c r="I74" s="197">
        <v>100</v>
      </c>
      <c r="J74" s="268">
        <f t="shared" si="6"/>
        <v>2500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>
        <v>44798</v>
      </c>
      <c r="D75" s="196" t="s">
        <v>23</v>
      </c>
      <c r="E75" s="196" t="s">
        <v>25</v>
      </c>
      <c r="F75" s="197">
        <v>7590</v>
      </c>
      <c r="G75" s="197">
        <v>7560</v>
      </c>
      <c r="H75" s="196">
        <v>30</v>
      </c>
      <c r="I75" s="197">
        <v>100</v>
      </c>
      <c r="J75" s="268">
        <f t="shared" si="6"/>
        <v>3000</v>
      </c>
      <c r="K75" s="185"/>
      <c r="V75" s="183">
        <f t="shared" si="7"/>
        <v>1</v>
      </c>
      <c r="W75" s="183">
        <f t="shared" si="8"/>
        <v>0</v>
      </c>
    </row>
    <row r="76" spans="1:23" x14ac:dyDescent="0.3">
      <c r="A76" s="184"/>
      <c r="B76" s="194">
        <v>17</v>
      </c>
      <c r="C76" s="195">
        <v>44799</v>
      </c>
      <c r="D76" s="196" t="s">
        <v>23</v>
      </c>
      <c r="E76" s="196" t="s">
        <v>25</v>
      </c>
      <c r="F76" s="197">
        <v>7450</v>
      </c>
      <c r="G76" s="197">
        <v>7480</v>
      </c>
      <c r="H76" s="196">
        <v>-30</v>
      </c>
      <c r="I76" s="197">
        <v>100</v>
      </c>
      <c r="J76" s="268">
        <f t="shared" si="6"/>
        <v>-3000</v>
      </c>
      <c r="K76" s="185"/>
      <c r="V76" s="183">
        <f t="shared" si="7"/>
        <v>0</v>
      </c>
      <c r="W76" s="183">
        <f t="shared" si="8"/>
        <v>1</v>
      </c>
    </row>
    <row r="77" spans="1:23" x14ac:dyDescent="0.3">
      <c r="A77" s="255"/>
      <c r="B77" s="194">
        <v>18</v>
      </c>
      <c r="C77" s="195">
        <v>44802</v>
      </c>
      <c r="D77" s="196" t="s">
        <v>23</v>
      </c>
      <c r="E77" s="196" t="s">
        <v>25</v>
      </c>
      <c r="F77" s="197">
        <v>7470</v>
      </c>
      <c r="G77" s="197">
        <v>7500</v>
      </c>
      <c r="H77" s="196">
        <v>-30</v>
      </c>
      <c r="I77" s="197">
        <v>100</v>
      </c>
      <c r="J77" s="268">
        <f t="shared" si="6"/>
        <v>-3000</v>
      </c>
      <c r="K77" s="185"/>
      <c r="V77" s="183">
        <f t="shared" si="7"/>
        <v>0</v>
      </c>
      <c r="W77" s="183">
        <f t="shared" si="8"/>
        <v>1</v>
      </c>
    </row>
    <row r="78" spans="1:23" x14ac:dyDescent="0.3">
      <c r="A78" s="184"/>
      <c r="B78" s="194">
        <v>19</v>
      </c>
      <c r="C78" s="195">
        <v>44803</v>
      </c>
      <c r="D78" s="196" t="s">
        <v>23</v>
      </c>
      <c r="E78" s="196" t="s">
        <v>25</v>
      </c>
      <c r="F78" s="197">
        <v>7600</v>
      </c>
      <c r="G78" s="197">
        <v>7540</v>
      </c>
      <c r="H78" s="196">
        <v>60</v>
      </c>
      <c r="I78" s="197">
        <v>100</v>
      </c>
      <c r="J78" s="268">
        <f t="shared" si="6"/>
        <v>6000</v>
      </c>
      <c r="K78" s="185"/>
      <c r="V78" s="183">
        <f t="shared" si="7"/>
        <v>1</v>
      </c>
      <c r="W78" s="183">
        <f t="shared" si="8"/>
        <v>0</v>
      </c>
    </row>
    <row r="79" spans="1:23" x14ac:dyDescent="0.3">
      <c r="A79" s="184"/>
      <c r="B79" s="194">
        <v>20</v>
      </c>
      <c r="C79" s="195"/>
      <c r="D79" s="196"/>
      <c r="E79" s="196"/>
      <c r="F79" s="197"/>
      <c r="G79" s="197"/>
      <c r="H79" s="196"/>
      <c r="I79" s="197"/>
      <c r="J79" s="268">
        <f t="shared" si="6"/>
        <v>0</v>
      </c>
      <c r="K79" s="185"/>
      <c r="V79" s="183">
        <f t="shared" si="7"/>
        <v>0</v>
      </c>
      <c r="W79" s="183">
        <f t="shared" si="8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6"/>
        <v>0</v>
      </c>
      <c r="K80" s="185"/>
      <c r="V80" s="183">
        <f t="shared" si="7"/>
        <v>0</v>
      </c>
      <c r="W80" s="183">
        <f t="shared" si="8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6"/>
        <v>0</v>
      </c>
      <c r="K81" s="185"/>
      <c r="V81" s="183">
        <f t="shared" si="7"/>
        <v>0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33300</v>
      </c>
      <c r="K83" s="185"/>
      <c r="V83" s="183">
        <f>SUM(V60:V82)</f>
        <v>12</v>
      </c>
      <c r="W83" s="183">
        <f>SUM(W60:W82)</f>
        <v>7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44774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44774</v>
      </c>
      <c r="D91" s="216" t="s">
        <v>16</v>
      </c>
      <c r="E91" s="256" t="s">
        <v>28</v>
      </c>
      <c r="F91" s="256">
        <v>293.5</v>
      </c>
      <c r="G91" s="256">
        <v>294.5</v>
      </c>
      <c r="H91" s="256">
        <v>1</v>
      </c>
      <c r="I91" s="218">
        <v>5000</v>
      </c>
      <c r="J91" s="273">
        <f>I91*H91</f>
        <v>5000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44775</v>
      </c>
      <c r="D92" s="196" t="s">
        <v>23</v>
      </c>
      <c r="E92" s="222" t="s">
        <v>28</v>
      </c>
      <c r="F92" s="222">
        <v>296.7</v>
      </c>
      <c r="G92" s="222">
        <v>296.10000000000002</v>
      </c>
      <c r="H92" s="222">
        <f>296.7-296.1</f>
        <v>0.59999999999996589</v>
      </c>
      <c r="I92" s="197">
        <v>5000</v>
      </c>
      <c r="J92" s="268">
        <f t="shared" ref="J92:J113" si="9">I92*H92</f>
        <v>2999.9999999998295</v>
      </c>
      <c r="K92" s="185"/>
      <c r="V92" s="183">
        <f t="shared" ref="V92:V113" si="10">IF($J92&gt;0,1,0)</f>
        <v>1</v>
      </c>
      <c r="W92" s="183">
        <f t="shared" ref="W92:W113" si="11">IF($J92&lt;0,1,0)</f>
        <v>0</v>
      </c>
    </row>
    <row r="93" spans="1:23" x14ac:dyDescent="0.3">
      <c r="A93" s="184"/>
      <c r="B93" s="194">
        <v>3</v>
      </c>
      <c r="C93" s="195">
        <v>44776</v>
      </c>
      <c r="D93" s="196" t="s">
        <v>23</v>
      </c>
      <c r="E93" s="222" t="s">
        <v>28</v>
      </c>
      <c r="F93" s="222">
        <v>293</v>
      </c>
      <c r="G93" s="222">
        <v>291</v>
      </c>
      <c r="H93" s="222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44777</v>
      </c>
      <c r="D94" s="196" t="s">
        <v>23</v>
      </c>
      <c r="E94" s="222" t="s">
        <v>28</v>
      </c>
      <c r="F94" s="222">
        <v>299</v>
      </c>
      <c r="G94" s="222">
        <v>298</v>
      </c>
      <c r="H94" s="222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5</v>
      </c>
      <c r="C95" s="195">
        <v>44778</v>
      </c>
      <c r="D95" s="196" t="s">
        <v>23</v>
      </c>
      <c r="E95" s="222" t="s">
        <v>28</v>
      </c>
      <c r="F95" s="222">
        <v>307.60000000000002</v>
      </c>
      <c r="G95" s="222">
        <v>306.10000000000002</v>
      </c>
      <c r="H95" s="222">
        <f>307.6-306.1</f>
        <v>1.5</v>
      </c>
      <c r="I95" s="197">
        <v>5000</v>
      </c>
      <c r="J95" s="268">
        <f t="shared" si="9"/>
        <v>7500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6</v>
      </c>
      <c r="C96" s="195">
        <v>44781</v>
      </c>
      <c r="D96" s="196" t="s">
        <v>23</v>
      </c>
      <c r="E96" s="222" t="s">
        <v>28</v>
      </c>
      <c r="F96" s="222">
        <v>305.7</v>
      </c>
      <c r="G96" s="222">
        <v>306.7</v>
      </c>
      <c r="H96" s="222">
        <v>-1</v>
      </c>
      <c r="I96" s="197">
        <v>5000</v>
      </c>
      <c r="J96" s="268">
        <f t="shared" si="9"/>
        <v>-5000</v>
      </c>
      <c r="K96" s="185"/>
      <c r="V96" s="183">
        <f t="shared" si="10"/>
        <v>0</v>
      </c>
      <c r="W96" s="183">
        <f t="shared" si="11"/>
        <v>1</v>
      </c>
    </row>
    <row r="97" spans="1:23" x14ac:dyDescent="0.3">
      <c r="A97" s="184"/>
      <c r="B97" s="194">
        <v>7</v>
      </c>
      <c r="C97" s="195">
        <v>44783</v>
      </c>
      <c r="D97" s="196" t="s">
        <v>23</v>
      </c>
      <c r="E97" s="222" t="s">
        <v>28</v>
      </c>
      <c r="F97" s="222">
        <v>318</v>
      </c>
      <c r="G97" s="222">
        <v>316</v>
      </c>
      <c r="H97" s="274">
        <v>2</v>
      </c>
      <c r="I97" s="197">
        <v>5000</v>
      </c>
      <c r="J97" s="268">
        <f t="shared" si="9"/>
        <v>10000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8</v>
      </c>
      <c r="C98" s="195">
        <v>44785</v>
      </c>
      <c r="D98" s="196" t="s">
        <v>23</v>
      </c>
      <c r="E98" s="222" t="s">
        <v>28</v>
      </c>
      <c r="F98" s="222">
        <v>326.3</v>
      </c>
      <c r="G98" s="222">
        <v>324.3</v>
      </c>
      <c r="H98" s="222">
        <v>2</v>
      </c>
      <c r="I98" s="197">
        <v>5000</v>
      </c>
      <c r="J98" s="268">
        <f t="shared" si="9"/>
        <v>10000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44789</v>
      </c>
      <c r="D99" s="196" t="s">
        <v>23</v>
      </c>
      <c r="E99" s="222" t="s">
        <v>28</v>
      </c>
      <c r="F99" s="222">
        <v>320.3</v>
      </c>
      <c r="G99" s="222">
        <v>319.7</v>
      </c>
      <c r="H99" s="222">
        <f>320.3-319.7</f>
        <v>0.60000000000002274</v>
      </c>
      <c r="I99" s="197">
        <v>5000</v>
      </c>
      <c r="J99" s="268">
        <f t="shared" si="9"/>
        <v>3000.0000000001137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44790</v>
      </c>
      <c r="D100" s="196" t="s">
        <v>23</v>
      </c>
      <c r="E100" s="222" t="s">
        <v>28</v>
      </c>
      <c r="F100" s="222">
        <v>322.8</v>
      </c>
      <c r="G100" s="222">
        <v>321.89999999999998</v>
      </c>
      <c r="H100" s="222">
        <f>322.8-321.9</f>
        <v>0.90000000000003411</v>
      </c>
      <c r="I100" s="197">
        <v>5000</v>
      </c>
      <c r="J100" s="268">
        <f t="shared" si="9"/>
        <v>4500.000000000171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44791</v>
      </c>
      <c r="D101" s="196" t="s">
        <v>23</v>
      </c>
      <c r="E101" s="222" t="s">
        <v>28</v>
      </c>
      <c r="F101" s="222">
        <v>316.60000000000002</v>
      </c>
      <c r="G101" s="222">
        <v>315.10000000000002</v>
      </c>
      <c r="H101" s="274">
        <f>316.6-315.1</f>
        <v>1.5</v>
      </c>
      <c r="I101" s="197">
        <v>5000</v>
      </c>
      <c r="J101" s="268">
        <f t="shared" si="9"/>
        <v>7500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44792</v>
      </c>
      <c r="D102" s="196" t="s">
        <v>23</v>
      </c>
      <c r="E102" s="222" t="s">
        <v>28</v>
      </c>
      <c r="F102" s="222">
        <v>315.8</v>
      </c>
      <c r="G102" s="222">
        <v>316.8</v>
      </c>
      <c r="H102" s="274">
        <v>-1</v>
      </c>
      <c r="I102" s="197">
        <v>5000</v>
      </c>
      <c r="J102" s="268">
        <f t="shared" si="9"/>
        <v>-5000</v>
      </c>
      <c r="K102" s="185"/>
      <c r="V102" s="183">
        <f t="shared" si="10"/>
        <v>0</v>
      </c>
      <c r="W102" s="183">
        <f t="shared" si="11"/>
        <v>1</v>
      </c>
    </row>
    <row r="103" spans="1:23" x14ac:dyDescent="0.3">
      <c r="A103" s="184"/>
      <c r="B103" s="194">
        <v>13</v>
      </c>
      <c r="C103" s="195">
        <v>44795</v>
      </c>
      <c r="D103" s="196" t="s">
        <v>23</v>
      </c>
      <c r="E103" s="222" t="s">
        <v>28</v>
      </c>
      <c r="F103" s="222">
        <v>314</v>
      </c>
      <c r="G103" s="222">
        <v>313</v>
      </c>
      <c r="H103" s="274">
        <v>1</v>
      </c>
      <c r="I103" s="197">
        <v>5000</v>
      </c>
      <c r="J103" s="268">
        <f t="shared" si="9"/>
        <v>5000</v>
      </c>
      <c r="K103" s="185"/>
      <c r="V103" s="183">
        <f t="shared" si="10"/>
        <v>1</v>
      </c>
      <c r="W103" s="183">
        <f t="shared" si="11"/>
        <v>0</v>
      </c>
    </row>
    <row r="104" spans="1:23" x14ac:dyDescent="0.3">
      <c r="A104" s="184"/>
      <c r="B104" s="194">
        <v>14</v>
      </c>
      <c r="C104" s="195">
        <v>44796</v>
      </c>
      <c r="D104" s="196" t="s">
        <v>23</v>
      </c>
      <c r="E104" s="222" t="s">
        <v>28</v>
      </c>
      <c r="F104" s="222">
        <v>315</v>
      </c>
      <c r="G104" s="222">
        <v>313</v>
      </c>
      <c r="H104" s="274">
        <v>2</v>
      </c>
      <c r="I104" s="197">
        <v>5000</v>
      </c>
      <c r="J104" s="268">
        <f t="shared" si="9"/>
        <v>10000</v>
      </c>
      <c r="K104" s="185"/>
      <c r="V104" s="183">
        <f t="shared" si="10"/>
        <v>1</v>
      </c>
      <c r="W104" s="183">
        <f t="shared" si="11"/>
        <v>0</v>
      </c>
    </row>
    <row r="105" spans="1:23" x14ac:dyDescent="0.3">
      <c r="A105" s="184"/>
      <c r="B105" s="194">
        <v>15</v>
      </c>
      <c r="C105" s="195">
        <v>44797</v>
      </c>
      <c r="D105" s="196" t="s">
        <v>23</v>
      </c>
      <c r="E105" s="196" t="s">
        <v>28</v>
      </c>
      <c r="F105" s="222">
        <v>314</v>
      </c>
      <c r="G105" s="222">
        <v>313</v>
      </c>
      <c r="H105" s="222">
        <v>1</v>
      </c>
      <c r="I105" s="197">
        <v>5000</v>
      </c>
      <c r="J105" s="268">
        <f t="shared" si="9"/>
        <v>5000</v>
      </c>
      <c r="K105" s="185"/>
      <c r="V105" s="183">
        <f t="shared" si="10"/>
        <v>1</v>
      </c>
      <c r="W105" s="183">
        <f t="shared" si="11"/>
        <v>0</v>
      </c>
    </row>
    <row r="106" spans="1:23" x14ac:dyDescent="0.3">
      <c r="A106" s="184"/>
      <c r="B106" s="194">
        <v>16</v>
      </c>
      <c r="C106" s="195">
        <v>44798</v>
      </c>
      <c r="D106" s="196" t="s">
        <v>23</v>
      </c>
      <c r="E106" s="196" t="s">
        <v>28</v>
      </c>
      <c r="F106" s="222">
        <v>318</v>
      </c>
      <c r="G106" s="197">
        <v>317</v>
      </c>
      <c r="H106" s="274">
        <v>1</v>
      </c>
      <c r="I106" s="197">
        <v>5000</v>
      </c>
      <c r="J106" s="268">
        <f t="shared" si="9"/>
        <v>5000</v>
      </c>
      <c r="K106" s="185"/>
      <c r="V106" s="183">
        <f t="shared" si="10"/>
        <v>1</v>
      </c>
      <c r="W106" s="183">
        <f t="shared" si="11"/>
        <v>0</v>
      </c>
    </row>
    <row r="107" spans="1:23" x14ac:dyDescent="0.3">
      <c r="A107" s="184"/>
      <c r="B107" s="194">
        <v>17</v>
      </c>
      <c r="C107" s="195">
        <v>44799</v>
      </c>
      <c r="D107" s="196" t="s">
        <v>23</v>
      </c>
      <c r="E107" s="196" t="s">
        <v>28</v>
      </c>
      <c r="F107" s="222">
        <v>320</v>
      </c>
      <c r="G107" s="222">
        <v>321</v>
      </c>
      <c r="H107" s="274">
        <v>-1</v>
      </c>
      <c r="I107" s="197">
        <v>5000</v>
      </c>
      <c r="J107" s="268">
        <f t="shared" si="9"/>
        <v>-5000</v>
      </c>
      <c r="K107" s="185"/>
      <c r="V107" s="183">
        <f t="shared" si="10"/>
        <v>0</v>
      </c>
      <c r="W107" s="183">
        <f t="shared" si="11"/>
        <v>1</v>
      </c>
    </row>
    <row r="108" spans="1:23" x14ac:dyDescent="0.3">
      <c r="A108" s="184"/>
      <c r="B108" s="194">
        <v>18</v>
      </c>
      <c r="C108" s="195">
        <v>44802</v>
      </c>
      <c r="D108" s="196" t="s">
        <v>23</v>
      </c>
      <c r="E108" s="196" t="s">
        <v>28</v>
      </c>
      <c r="F108" s="222">
        <v>316.3</v>
      </c>
      <c r="G108" s="222">
        <v>315.85000000000002</v>
      </c>
      <c r="H108" s="274">
        <f>316.3-315.85</f>
        <v>0.44999999999998863</v>
      </c>
      <c r="I108" s="197">
        <v>5000</v>
      </c>
      <c r="J108" s="268">
        <f t="shared" si="9"/>
        <v>2249.9999999999432</v>
      </c>
      <c r="K108" s="185"/>
      <c r="V108" s="183">
        <f t="shared" si="10"/>
        <v>1</v>
      </c>
      <c r="W108" s="183">
        <f t="shared" si="11"/>
        <v>0</v>
      </c>
    </row>
    <row r="109" spans="1:23" x14ac:dyDescent="0.3">
      <c r="A109" s="184"/>
      <c r="B109" s="194">
        <v>19</v>
      </c>
      <c r="C109" s="195">
        <v>44803</v>
      </c>
      <c r="D109" s="196" t="s">
        <v>23</v>
      </c>
      <c r="E109" s="196" t="s">
        <v>28</v>
      </c>
      <c r="F109" s="222">
        <v>314.7</v>
      </c>
      <c r="G109" s="222">
        <v>313.7</v>
      </c>
      <c r="H109" s="274">
        <v>1</v>
      </c>
      <c r="I109" s="197">
        <v>5000</v>
      </c>
      <c r="J109" s="268">
        <f t="shared" si="9"/>
        <v>5000</v>
      </c>
      <c r="K109" s="185"/>
      <c r="V109" s="183">
        <f t="shared" si="10"/>
        <v>1</v>
      </c>
      <c r="W109" s="183">
        <f t="shared" si="11"/>
        <v>0</v>
      </c>
    </row>
    <row r="110" spans="1:23" x14ac:dyDescent="0.3">
      <c r="A110" s="184"/>
      <c r="B110" s="194">
        <v>20</v>
      </c>
      <c r="C110" s="195"/>
      <c r="D110" s="196"/>
      <c r="E110" s="222"/>
      <c r="F110" s="222"/>
      <c r="G110" s="222"/>
      <c r="H110" s="274"/>
      <c r="I110" s="197"/>
      <c r="J110" s="268">
        <f t="shared" si="9"/>
        <v>0</v>
      </c>
      <c r="K110" s="185"/>
      <c r="V110" s="183">
        <f t="shared" si="10"/>
        <v>0</v>
      </c>
      <c r="W110" s="183">
        <f t="shared" si="11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9"/>
        <v>0</v>
      </c>
      <c r="K111" s="185"/>
      <c r="V111" s="183">
        <f t="shared" si="10"/>
        <v>0</v>
      </c>
      <c r="W111" s="183">
        <f t="shared" si="11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9"/>
        <v>0</v>
      </c>
      <c r="K112" s="185"/>
      <c r="V112" s="183">
        <f t="shared" si="10"/>
        <v>0</v>
      </c>
      <c r="W112" s="183">
        <f t="shared" si="11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9"/>
        <v>0</v>
      </c>
      <c r="K113" s="185"/>
      <c r="V113" s="183">
        <f t="shared" si="10"/>
        <v>0</v>
      </c>
      <c r="W113" s="183">
        <f t="shared" si="11"/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82750.000000000058</v>
      </c>
      <c r="K114" s="185"/>
      <c r="V114" s="183">
        <f>SUM(V91:V113)</f>
        <v>16</v>
      </c>
      <c r="W114" s="183">
        <f>SUM(W91:W113)</f>
        <v>3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7400-000000000000}"/>
    <hyperlink ref="B83" r:id="rId2" xr:uid="{00000000-0004-0000-7400-000001000000}"/>
    <hyperlink ref="M4:M5" location="'JULY 2022'!A1" display="BULLION" xr:uid="{00000000-0004-0000-7400-000002000000}"/>
    <hyperlink ref="B114" r:id="rId3" xr:uid="{00000000-0004-0000-7400-000003000000}"/>
    <hyperlink ref="M8:M9" location="'JULY 2022'!A86" display="BASE METAL" xr:uid="{00000000-0004-0000-7400-000004000000}"/>
    <hyperlink ref="M1" location="MASTER!A1" display="Back" xr:uid="{00000000-0004-0000-7400-000005000000}"/>
    <hyperlink ref="M6:M7" location="'JULY 2022'!A54" display="ENERGY" xr:uid="{00000000-0004-0000-7400-000006000000}"/>
  </hyperlinks>
  <pageMargins left="0" right="0" top="0" bottom="0" header="0" footer="0"/>
  <pageSetup paperSize="9" orientation="portrait" r:id="rId4"/>
  <drawing r:id="rId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W115"/>
  <sheetViews>
    <sheetView topLeftCell="A16" zoomScaleNormal="100" workbookViewId="0">
      <selection activeCell="L18" sqref="L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44805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44</v>
      </c>
      <c r="O4" s="369">
        <f>V52</f>
        <v>38</v>
      </c>
      <c r="P4" s="369">
        <f>W52</f>
        <v>6</v>
      </c>
      <c r="Q4" s="349">
        <f>N4-O4-P4</f>
        <v>0</v>
      </c>
      <c r="R4" s="343">
        <f>O4/N4</f>
        <v>0.86363636363636365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44805</v>
      </c>
      <c r="D6" s="192" t="s">
        <v>23</v>
      </c>
      <c r="E6" s="192" t="s">
        <v>24</v>
      </c>
      <c r="F6" s="193">
        <v>50260</v>
      </c>
      <c r="G6" s="193">
        <v>50120</v>
      </c>
      <c r="H6" s="192">
        <f>50260-50120</f>
        <v>140</v>
      </c>
      <c r="I6" s="193">
        <v>100</v>
      </c>
      <c r="J6" s="267">
        <f>H6*I6</f>
        <v>14000</v>
      </c>
      <c r="K6" s="185"/>
      <c r="M6" s="364" t="s">
        <v>258</v>
      </c>
      <c r="N6" s="347">
        <f>COUNT(C60:C82)</f>
        <v>22</v>
      </c>
      <c r="O6" s="348">
        <f>V83</f>
        <v>20</v>
      </c>
      <c r="P6" s="348">
        <f>W83</f>
        <v>2</v>
      </c>
      <c r="Q6" s="349">
        <f>N6-O6-P6</f>
        <v>0</v>
      </c>
      <c r="R6" s="345">
        <f t="shared" ref="R6" si="0">O6/N6</f>
        <v>0.90909090909090906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44805</v>
      </c>
      <c r="D7" s="196" t="s">
        <v>23</v>
      </c>
      <c r="E7" s="196" t="s">
        <v>22</v>
      </c>
      <c r="F7" s="197">
        <v>52500</v>
      </c>
      <c r="G7" s="197">
        <v>52234</v>
      </c>
      <c r="H7" s="196">
        <f>52500-52234</f>
        <v>266</v>
      </c>
      <c r="I7" s="197">
        <v>30</v>
      </c>
      <c r="J7" s="268">
        <f t="shared" ref="J7:J51" si="1">H7*I7</f>
        <v>7980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44806</v>
      </c>
      <c r="D8" s="196" t="s">
        <v>23</v>
      </c>
      <c r="E8" s="196" t="s">
        <v>24</v>
      </c>
      <c r="F8" s="197">
        <v>50280</v>
      </c>
      <c r="G8" s="197">
        <v>50380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COUNT(C91:C113)</f>
        <v>22</v>
      </c>
      <c r="O8" s="348">
        <f>V114</f>
        <v>19</v>
      </c>
      <c r="P8" s="348">
        <f>W114</f>
        <v>3</v>
      </c>
      <c r="Q8" s="349">
        <f>N8-O8-P8</f>
        <v>0</v>
      </c>
      <c r="R8" s="345">
        <f t="shared" ref="R8" si="4">O8/N8</f>
        <v>0.86363636363636365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44806</v>
      </c>
      <c r="D9" s="196" t="s">
        <v>23</v>
      </c>
      <c r="E9" s="196" t="s">
        <v>22</v>
      </c>
      <c r="F9" s="197">
        <v>7130</v>
      </c>
      <c r="G9" s="197">
        <v>7070</v>
      </c>
      <c r="H9" s="196">
        <f>7130-7070</f>
        <v>60</v>
      </c>
      <c r="I9" s="197">
        <v>30</v>
      </c>
      <c r="J9" s="268">
        <f t="shared" si="1"/>
        <v>1800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44809</v>
      </c>
      <c r="D10" s="196" t="s">
        <v>23</v>
      </c>
      <c r="E10" s="196" t="s">
        <v>24</v>
      </c>
      <c r="F10" s="197">
        <v>50520</v>
      </c>
      <c r="G10" s="197">
        <v>50420</v>
      </c>
      <c r="H10" s="196">
        <v>100</v>
      </c>
      <c r="I10" s="197">
        <v>100</v>
      </c>
      <c r="J10" s="268">
        <f t="shared" si="1"/>
        <v>10000</v>
      </c>
      <c r="K10" s="185"/>
      <c r="M10" s="319" t="s">
        <v>300</v>
      </c>
      <c r="N10" s="321">
        <f>SUM(N4:N9)</f>
        <v>88</v>
      </c>
      <c r="O10" s="321">
        <f>SUM(O4:O9)</f>
        <v>77</v>
      </c>
      <c r="P10" s="321">
        <f>SUM(P4:P9)</f>
        <v>11</v>
      </c>
      <c r="Q10" s="341">
        <f>SUM(Q4:Q9)</f>
        <v>0</v>
      </c>
      <c r="R10" s="343">
        <f t="shared" ref="R10" si="5">O10/N10</f>
        <v>0.875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44809</v>
      </c>
      <c r="D11" s="196" t="s">
        <v>23</v>
      </c>
      <c r="E11" s="196" t="s">
        <v>22</v>
      </c>
      <c r="F11" s="197">
        <v>53550</v>
      </c>
      <c r="G11" s="197">
        <v>53269</v>
      </c>
      <c r="H11" s="196">
        <f>53550-53269</f>
        <v>281</v>
      </c>
      <c r="I11" s="197">
        <v>30</v>
      </c>
      <c r="J11" s="268">
        <f t="shared" si="1"/>
        <v>8430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44810</v>
      </c>
      <c r="D12" s="196" t="s">
        <v>23</v>
      </c>
      <c r="E12" s="196" t="s">
        <v>24</v>
      </c>
      <c r="F12" s="197">
        <v>50540</v>
      </c>
      <c r="G12" s="197">
        <v>50440</v>
      </c>
      <c r="H12" s="196">
        <v>100</v>
      </c>
      <c r="I12" s="197">
        <v>100</v>
      </c>
      <c r="J12" s="268">
        <f t="shared" si="1"/>
        <v>10000</v>
      </c>
      <c r="K12" s="185"/>
      <c r="M12" s="323" t="s">
        <v>878</v>
      </c>
      <c r="N12" s="324"/>
      <c r="O12" s="325"/>
      <c r="P12" s="332">
        <f>R10</f>
        <v>0.875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44810</v>
      </c>
      <c r="D13" s="196" t="s">
        <v>23</v>
      </c>
      <c r="E13" s="196" t="s">
        <v>22</v>
      </c>
      <c r="F13" s="197">
        <v>54000</v>
      </c>
      <c r="G13" s="197">
        <v>53700</v>
      </c>
      <c r="H13" s="196">
        <f>54000-53700</f>
        <v>300</v>
      </c>
      <c r="I13" s="197">
        <v>30</v>
      </c>
      <c r="J13" s="268">
        <f t="shared" si="1"/>
        <v>9000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44811</v>
      </c>
      <c r="D14" s="196" t="s">
        <v>23</v>
      </c>
      <c r="E14" s="196" t="s">
        <v>24</v>
      </c>
      <c r="F14" s="197">
        <v>50360</v>
      </c>
      <c r="G14" s="197">
        <v>50235</v>
      </c>
      <c r="H14" s="196">
        <f>50360-50235</f>
        <v>125</v>
      </c>
      <c r="I14" s="197">
        <v>100</v>
      </c>
      <c r="J14" s="268">
        <f t="shared" si="1"/>
        <v>12500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44811</v>
      </c>
      <c r="D15" s="196" t="s">
        <v>23</v>
      </c>
      <c r="E15" s="196" t="s">
        <v>22</v>
      </c>
      <c r="F15" s="197">
        <v>53600</v>
      </c>
      <c r="G15" s="197">
        <v>53333</v>
      </c>
      <c r="H15" s="196">
        <f>53600-53333</f>
        <v>267</v>
      </c>
      <c r="I15" s="197">
        <v>30</v>
      </c>
      <c r="J15" s="268">
        <f t="shared" si="1"/>
        <v>8010</v>
      </c>
      <c r="K15" s="185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44812</v>
      </c>
      <c r="D16" s="196" t="s">
        <v>23</v>
      </c>
      <c r="E16" s="196" t="s">
        <v>24</v>
      </c>
      <c r="F16" s="197">
        <v>50580</v>
      </c>
      <c r="G16" s="197">
        <v>50490</v>
      </c>
      <c r="H16" s="196">
        <v>90</v>
      </c>
      <c r="I16" s="197">
        <v>100</v>
      </c>
      <c r="J16" s="268">
        <f t="shared" si="1"/>
        <v>9000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44812</v>
      </c>
      <c r="D17" s="196" t="s">
        <v>23</v>
      </c>
      <c r="E17" s="196" t="s">
        <v>22</v>
      </c>
      <c r="F17" s="197">
        <v>54400</v>
      </c>
      <c r="G17" s="197">
        <v>54250</v>
      </c>
      <c r="H17" s="196">
        <v>150</v>
      </c>
      <c r="I17" s="197">
        <v>30</v>
      </c>
      <c r="J17" s="268">
        <f t="shared" si="1"/>
        <v>4500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44813</v>
      </c>
      <c r="D18" s="196" t="s">
        <v>23</v>
      </c>
      <c r="E18" s="196" t="s">
        <v>24</v>
      </c>
      <c r="F18" s="197">
        <v>505650</v>
      </c>
      <c r="G18" s="197">
        <v>50750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44813</v>
      </c>
      <c r="D19" s="196" t="s">
        <v>23</v>
      </c>
      <c r="E19" s="196" t="s">
        <v>22</v>
      </c>
      <c r="F19" s="197">
        <v>55000</v>
      </c>
      <c r="G19" s="197">
        <v>54800</v>
      </c>
      <c r="H19" s="196">
        <f>55000-54800</f>
        <v>200</v>
      </c>
      <c r="I19" s="197">
        <v>30</v>
      </c>
      <c r="J19" s="268">
        <f t="shared" si="1"/>
        <v>6000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44816</v>
      </c>
      <c r="D20" s="196" t="s">
        <v>23</v>
      </c>
      <c r="E20" s="196" t="s">
        <v>24</v>
      </c>
      <c r="F20" s="197">
        <v>50650</v>
      </c>
      <c r="G20" s="197">
        <v>50560</v>
      </c>
      <c r="H20" s="196">
        <f>50650-50560</f>
        <v>90</v>
      </c>
      <c r="I20" s="197">
        <v>100</v>
      </c>
      <c r="J20" s="268">
        <f t="shared" si="1"/>
        <v>9000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44816</v>
      </c>
      <c r="D21" s="196" t="s">
        <v>23</v>
      </c>
      <c r="E21" s="196" t="s">
        <v>22</v>
      </c>
      <c r="F21" s="197">
        <v>55800</v>
      </c>
      <c r="G21" s="197">
        <v>55650</v>
      </c>
      <c r="H21" s="196">
        <f>55800-55650</f>
        <v>150</v>
      </c>
      <c r="I21" s="197">
        <v>30</v>
      </c>
      <c r="J21" s="268">
        <f t="shared" si="1"/>
        <v>4500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44817</v>
      </c>
      <c r="D22" s="196" t="s">
        <v>23</v>
      </c>
      <c r="E22" s="196" t="s">
        <v>24</v>
      </c>
      <c r="F22" s="197">
        <v>50500</v>
      </c>
      <c r="G22" s="197">
        <v>50300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44817</v>
      </c>
      <c r="D23" s="196" t="s">
        <v>23</v>
      </c>
      <c r="E23" s="196" t="s">
        <v>22</v>
      </c>
      <c r="F23" s="197">
        <v>57450</v>
      </c>
      <c r="G23" s="197">
        <v>57150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44818</v>
      </c>
      <c r="D24" s="196" t="s">
        <v>23</v>
      </c>
      <c r="E24" s="196" t="s">
        <v>24</v>
      </c>
      <c r="F24" s="197">
        <v>50100</v>
      </c>
      <c r="G24" s="197">
        <v>50013</v>
      </c>
      <c r="H24" s="196">
        <f>50100-50013</f>
        <v>87</v>
      </c>
      <c r="I24" s="197">
        <v>100</v>
      </c>
      <c r="J24" s="268">
        <f t="shared" si="1"/>
        <v>8700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44818</v>
      </c>
      <c r="D25" s="196" t="s">
        <v>23</v>
      </c>
      <c r="E25" s="196" t="s">
        <v>22</v>
      </c>
      <c r="F25" s="197">
        <v>56700</v>
      </c>
      <c r="G25" s="197">
        <v>57000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44819</v>
      </c>
      <c r="D26" s="196" t="s">
        <v>23</v>
      </c>
      <c r="E26" s="196" t="s">
        <v>24</v>
      </c>
      <c r="F26" s="197">
        <v>49820</v>
      </c>
      <c r="G26" s="197">
        <v>49720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44819</v>
      </c>
      <c r="D27" s="196" t="s">
        <v>23</v>
      </c>
      <c r="E27" s="196" t="s">
        <v>22</v>
      </c>
      <c r="F27" s="197">
        <v>56900</v>
      </c>
      <c r="G27" s="197">
        <v>56663</v>
      </c>
      <c r="H27" s="196">
        <f>56900-56663</f>
        <v>237</v>
      </c>
      <c r="I27" s="197">
        <v>30</v>
      </c>
      <c r="J27" s="268">
        <f t="shared" si="1"/>
        <v>7110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44820</v>
      </c>
      <c r="D28" s="196" t="s">
        <v>23</v>
      </c>
      <c r="E28" s="196" t="s">
        <v>24</v>
      </c>
      <c r="F28" s="197">
        <v>49150</v>
      </c>
      <c r="G28" s="197">
        <v>49005</v>
      </c>
      <c r="H28" s="196">
        <f>49150-49005</f>
        <v>145</v>
      </c>
      <c r="I28" s="197">
        <v>100</v>
      </c>
      <c r="J28" s="268">
        <f t="shared" si="1"/>
        <v>14500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44820</v>
      </c>
      <c r="D29" s="196" t="s">
        <v>23</v>
      </c>
      <c r="E29" s="196" t="s">
        <v>22</v>
      </c>
      <c r="F29" s="197">
        <v>55600</v>
      </c>
      <c r="G29" s="197">
        <v>55460</v>
      </c>
      <c r="H29" s="196">
        <f>55600-55460</f>
        <v>140</v>
      </c>
      <c r="I29" s="197">
        <v>30</v>
      </c>
      <c r="J29" s="268">
        <f t="shared" si="1"/>
        <v>4200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44823</v>
      </c>
      <c r="D30" s="196" t="s">
        <v>23</v>
      </c>
      <c r="E30" s="196" t="s">
        <v>24</v>
      </c>
      <c r="F30" s="197">
        <v>49130</v>
      </c>
      <c r="G30" s="197">
        <v>49050</v>
      </c>
      <c r="H30" s="196">
        <f>49130-49050</f>
        <v>80</v>
      </c>
      <c r="I30" s="197">
        <v>100</v>
      </c>
      <c r="J30" s="268">
        <f t="shared" si="1"/>
        <v>8000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44823</v>
      </c>
      <c r="D31" s="196" t="s">
        <v>23</v>
      </c>
      <c r="E31" s="196" t="s">
        <v>22</v>
      </c>
      <c r="F31" s="197">
        <v>56700</v>
      </c>
      <c r="G31" s="197">
        <v>56530</v>
      </c>
      <c r="H31" s="196">
        <f>56700-56530</f>
        <v>170</v>
      </c>
      <c r="I31" s="197">
        <v>30</v>
      </c>
      <c r="J31" s="268">
        <f t="shared" si="1"/>
        <v>5100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44824</v>
      </c>
      <c r="D32" s="196" t="s">
        <v>23</v>
      </c>
      <c r="E32" s="196" t="s">
        <v>24</v>
      </c>
      <c r="F32" s="197">
        <v>49300</v>
      </c>
      <c r="G32" s="197">
        <v>49100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44824</v>
      </c>
      <c r="D33" s="196" t="s">
        <v>23</v>
      </c>
      <c r="E33" s="196" t="s">
        <v>22</v>
      </c>
      <c r="F33" s="197">
        <v>56700</v>
      </c>
      <c r="G33" s="197">
        <v>56100</v>
      </c>
      <c r="H33" s="196"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44825</v>
      </c>
      <c r="D34" s="196" t="s">
        <v>23</v>
      </c>
      <c r="E34" s="196" t="s">
        <v>24</v>
      </c>
      <c r="F34" s="197">
        <v>49450</v>
      </c>
      <c r="G34" s="197">
        <v>49380</v>
      </c>
      <c r="H34" s="196">
        <f>49450-49380</f>
        <v>70</v>
      </c>
      <c r="I34" s="197">
        <v>100</v>
      </c>
      <c r="J34" s="268">
        <f t="shared" si="1"/>
        <v>7000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44825</v>
      </c>
      <c r="D35" s="196" t="s">
        <v>23</v>
      </c>
      <c r="E35" s="196" t="s">
        <v>22</v>
      </c>
      <c r="F35" s="197">
        <v>57000</v>
      </c>
      <c r="G35" s="197">
        <v>56800</v>
      </c>
      <c r="H35" s="196">
        <f>57000-56800</f>
        <v>200</v>
      </c>
      <c r="I35" s="197">
        <v>30</v>
      </c>
      <c r="J35" s="268">
        <f t="shared" si="1"/>
        <v>6000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44826</v>
      </c>
      <c r="D36" s="196" t="s">
        <v>23</v>
      </c>
      <c r="E36" s="196" t="s">
        <v>24</v>
      </c>
      <c r="F36" s="197">
        <v>49800</v>
      </c>
      <c r="G36" s="197">
        <v>49900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3"/>
        <v>1</v>
      </c>
    </row>
    <row r="37" spans="1:23" x14ac:dyDescent="0.3">
      <c r="A37" s="184"/>
      <c r="B37" s="194">
        <v>32</v>
      </c>
      <c r="C37" s="195">
        <v>44826</v>
      </c>
      <c r="D37" s="196" t="s">
        <v>23</v>
      </c>
      <c r="E37" s="196" t="s">
        <v>22</v>
      </c>
      <c r="F37" s="197">
        <v>57900</v>
      </c>
      <c r="G37" s="197">
        <v>57750</v>
      </c>
      <c r="H37" s="196">
        <f>57900-57750</f>
        <v>150</v>
      </c>
      <c r="I37" s="197">
        <v>30</v>
      </c>
      <c r="J37" s="268">
        <f t="shared" si="1"/>
        <v>4500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44827</v>
      </c>
      <c r="D38" s="196" t="s">
        <v>23</v>
      </c>
      <c r="E38" s="196" t="s">
        <v>24</v>
      </c>
      <c r="F38" s="197">
        <v>49820</v>
      </c>
      <c r="G38" s="197">
        <v>49620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44827</v>
      </c>
      <c r="D39" s="196" t="s">
        <v>23</v>
      </c>
      <c r="E39" s="196" t="s">
        <v>22</v>
      </c>
      <c r="F39" s="197">
        <v>57800</v>
      </c>
      <c r="G39" s="197">
        <v>57200</v>
      </c>
      <c r="H39" s="196">
        <v>600</v>
      </c>
      <c r="I39" s="197">
        <v>30</v>
      </c>
      <c r="J39" s="268">
        <f t="shared" si="1"/>
        <v>18000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44830</v>
      </c>
      <c r="D40" s="196" t="s">
        <v>23</v>
      </c>
      <c r="E40" s="196" t="s">
        <v>24</v>
      </c>
      <c r="F40" s="197">
        <v>49620</v>
      </c>
      <c r="G40" s="197">
        <v>49520</v>
      </c>
      <c r="H40" s="196">
        <v>100</v>
      </c>
      <c r="I40" s="197">
        <v>100</v>
      </c>
      <c r="J40" s="268">
        <f t="shared" si="1"/>
        <v>10000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44830</v>
      </c>
      <c r="D41" s="196" t="s">
        <v>23</v>
      </c>
      <c r="E41" s="196" t="s">
        <v>22</v>
      </c>
      <c r="F41" s="197">
        <v>56100</v>
      </c>
      <c r="G41" s="197">
        <v>55800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44831</v>
      </c>
      <c r="D42" s="196" t="s">
        <v>23</v>
      </c>
      <c r="E42" s="196" t="s">
        <v>24</v>
      </c>
      <c r="F42" s="197">
        <v>49300</v>
      </c>
      <c r="G42" s="197">
        <v>49250</v>
      </c>
      <c r="H42" s="196">
        <v>50</v>
      </c>
      <c r="I42" s="197">
        <v>100</v>
      </c>
      <c r="J42" s="268">
        <f t="shared" si="1"/>
        <v>5000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44831</v>
      </c>
      <c r="D43" s="196" t="s">
        <v>23</v>
      </c>
      <c r="E43" s="196" t="s">
        <v>22</v>
      </c>
      <c r="F43" s="197">
        <v>55800</v>
      </c>
      <c r="G43" s="197">
        <v>55629</v>
      </c>
      <c r="H43" s="196">
        <f>55800-55629</f>
        <v>171</v>
      </c>
      <c r="I43" s="197">
        <v>30</v>
      </c>
      <c r="J43" s="268">
        <f t="shared" si="1"/>
        <v>5130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44832</v>
      </c>
      <c r="D44" s="196" t="s">
        <v>23</v>
      </c>
      <c r="E44" s="196" t="s">
        <v>24</v>
      </c>
      <c r="F44" s="197">
        <v>49100</v>
      </c>
      <c r="G44" s="197">
        <v>49000</v>
      </c>
      <c r="H44" s="196"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44832</v>
      </c>
      <c r="D45" s="196" t="s">
        <v>23</v>
      </c>
      <c r="E45" s="196" t="s">
        <v>22</v>
      </c>
      <c r="F45" s="197">
        <v>54600</v>
      </c>
      <c r="G45" s="197">
        <v>54363</v>
      </c>
      <c r="H45" s="196">
        <f>54600-54363</f>
        <v>237</v>
      </c>
      <c r="I45" s="197">
        <v>30</v>
      </c>
      <c r="J45" s="268">
        <f t="shared" si="1"/>
        <v>7110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44833</v>
      </c>
      <c r="D46" s="196" t="s">
        <v>23</v>
      </c>
      <c r="E46" s="196" t="s">
        <v>24</v>
      </c>
      <c r="F46" s="197">
        <v>50030</v>
      </c>
      <c r="G46" s="197">
        <v>50130</v>
      </c>
      <c r="H46" s="196">
        <v>-100</v>
      </c>
      <c r="I46" s="197">
        <v>100</v>
      </c>
      <c r="J46" s="268">
        <f t="shared" si="1"/>
        <v>-10000</v>
      </c>
      <c r="K46" s="185"/>
      <c r="V46" s="183">
        <f t="shared" si="2"/>
        <v>0</v>
      </c>
      <c r="W46" s="183">
        <f t="shared" si="3"/>
        <v>1</v>
      </c>
    </row>
    <row r="47" spans="1:23" x14ac:dyDescent="0.3">
      <c r="A47" s="184"/>
      <c r="B47" s="194">
        <v>42</v>
      </c>
      <c r="C47" s="195">
        <v>44833</v>
      </c>
      <c r="D47" s="196" t="s">
        <v>23</v>
      </c>
      <c r="E47" s="196" t="s">
        <v>22</v>
      </c>
      <c r="F47" s="197">
        <v>56000</v>
      </c>
      <c r="G47" s="197">
        <v>56300</v>
      </c>
      <c r="H47" s="196">
        <v>-300</v>
      </c>
      <c r="I47" s="197">
        <v>30</v>
      </c>
      <c r="J47" s="268">
        <f t="shared" si="1"/>
        <v>-9000</v>
      </c>
      <c r="K47" s="185"/>
      <c r="V47" s="183">
        <f t="shared" si="2"/>
        <v>0</v>
      </c>
      <c r="W47" s="183">
        <f t="shared" si="3"/>
        <v>1</v>
      </c>
    </row>
    <row r="48" spans="1:23" x14ac:dyDescent="0.3">
      <c r="A48" s="184"/>
      <c r="B48" s="194">
        <v>43</v>
      </c>
      <c r="C48" s="195">
        <v>44834</v>
      </c>
      <c r="D48" s="196" t="s">
        <v>23</v>
      </c>
      <c r="E48" s="196" t="s">
        <v>24</v>
      </c>
      <c r="F48" s="197">
        <v>50400</v>
      </c>
      <c r="G48" s="197">
        <v>50260</v>
      </c>
      <c r="H48" s="196">
        <f>50400-50260</f>
        <v>140</v>
      </c>
      <c r="I48" s="197">
        <v>100</v>
      </c>
      <c r="J48" s="268">
        <f t="shared" si="1"/>
        <v>14000</v>
      </c>
      <c r="K48" s="185"/>
      <c r="V48" s="183">
        <f t="shared" si="2"/>
        <v>1</v>
      </c>
      <c r="W48" s="183">
        <f t="shared" si="3"/>
        <v>0</v>
      </c>
    </row>
    <row r="49" spans="1:23" x14ac:dyDescent="0.3">
      <c r="A49" s="184"/>
      <c r="B49" s="194">
        <v>44</v>
      </c>
      <c r="C49" s="195">
        <v>44834</v>
      </c>
      <c r="D49" s="196" t="s">
        <v>23</v>
      </c>
      <c r="E49" s="196" t="s">
        <v>22</v>
      </c>
      <c r="F49" s="197">
        <v>57000</v>
      </c>
      <c r="G49" s="197">
        <v>56760</v>
      </c>
      <c r="H49" s="196">
        <f>57000-56760</f>
        <v>240</v>
      </c>
      <c r="I49" s="197">
        <v>30</v>
      </c>
      <c r="J49" s="268">
        <f t="shared" si="1"/>
        <v>7200</v>
      </c>
      <c r="K49" s="185"/>
      <c r="V49" s="183">
        <f t="shared" si="2"/>
        <v>1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304270</v>
      </c>
      <c r="K52" s="185"/>
      <c r="V52" s="183">
        <f>SUM(V6:V51)</f>
        <v>38</v>
      </c>
      <c r="W52" s="183">
        <f>SUM(W6:W51)</f>
        <v>6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44805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44805</v>
      </c>
      <c r="D60" s="192" t="s">
        <v>23</v>
      </c>
      <c r="E60" s="192" t="s">
        <v>25</v>
      </c>
      <c r="F60" s="193">
        <v>7020</v>
      </c>
      <c r="G60" s="193">
        <v>6980</v>
      </c>
      <c r="H60" s="192">
        <f>7020-6980</f>
        <v>40</v>
      </c>
      <c r="I60" s="193">
        <v>100</v>
      </c>
      <c r="J60" s="267">
        <f t="shared" ref="J60:J82" si="6">I60*H60</f>
        <v>4000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44806</v>
      </c>
      <c r="D61" s="196" t="s">
        <v>23</v>
      </c>
      <c r="E61" s="196" t="s">
        <v>25</v>
      </c>
      <c r="F61" s="197">
        <v>7130</v>
      </c>
      <c r="G61" s="197">
        <v>7070</v>
      </c>
      <c r="H61" s="196">
        <f>7130-7070</f>
        <v>60</v>
      </c>
      <c r="I61" s="197">
        <v>100</v>
      </c>
      <c r="J61" s="268">
        <f t="shared" si="6"/>
        <v>6000</v>
      </c>
      <c r="K61" s="185"/>
      <c r="V61" s="183">
        <f t="shared" ref="V61:V82" si="7">IF($J61&gt;0,1,0)</f>
        <v>1</v>
      </c>
      <c r="W61" s="183">
        <f t="shared" ref="W61:W82" si="8">IF($J61&lt;0,1,0)</f>
        <v>0</v>
      </c>
    </row>
    <row r="62" spans="1:23" x14ac:dyDescent="0.3">
      <c r="A62" s="184"/>
      <c r="B62" s="194">
        <v>3</v>
      </c>
      <c r="C62" s="195">
        <v>44809</v>
      </c>
      <c r="D62" s="196" t="s">
        <v>23</v>
      </c>
      <c r="E62" s="196" t="s">
        <v>25</v>
      </c>
      <c r="F62" s="197">
        <v>7140</v>
      </c>
      <c r="G62" s="197">
        <v>7125</v>
      </c>
      <c r="H62" s="196">
        <f>7140-7125</f>
        <v>15</v>
      </c>
      <c r="I62" s="197">
        <v>100</v>
      </c>
      <c r="J62" s="268">
        <f t="shared" si="6"/>
        <v>1500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4</v>
      </c>
      <c r="C63" s="195">
        <v>44810</v>
      </c>
      <c r="D63" s="196" t="s">
        <v>23</v>
      </c>
      <c r="E63" s="196" t="s">
        <v>25</v>
      </c>
      <c r="F63" s="197">
        <v>7050</v>
      </c>
      <c r="G63" s="197">
        <v>6990</v>
      </c>
      <c r="H63" s="196">
        <v>60</v>
      </c>
      <c r="I63" s="197">
        <v>100</v>
      </c>
      <c r="J63" s="268">
        <f t="shared" si="6"/>
        <v>6000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5</v>
      </c>
      <c r="C64" s="195">
        <v>44811</v>
      </c>
      <c r="D64" s="196" t="s">
        <v>23</v>
      </c>
      <c r="E64" s="196" t="s">
        <v>25</v>
      </c>
      <c r="F64" s="197">
        <v>7010</v>
      </c>
      <c r="G64" s="197">
        <v>6950</v>
      </c>
      <c r="H64" s="196">
        <f>7010-6950</f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6</v>
      </c>
      <c r="C65" s="195">
        <v>44812</v>
      </c>
      <c r="D65" s="196" t="s">
        <v>23</v>
      </c>
      <c r="E65" s="196" t="s">
        <v>25</v>
      </c>
      <c r="F65" s="197">
        <v>6605</v>
      </c>
      <c r="G65" s="197">
        <v>6545</v>
      </c>
      <c r="H65" s="196">
        <f>6605-6545</f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7</v>
      </c>
      <c r="C66" s="195">
        <v>44813</v>
      </c>
      <c r="D66" s="196" t="s">
        <v>23</v>
      </c>
      <c r="E66" s="196" t="s">
        <v>25</v>
      </c>
      <c r="F66" s="222">
        <v>6760</v>
      </c>
      <c r="G66" s="222">
        <v>6720</v>
      </c>
      <c r="H66" s="196">
        <f>6760-6720</f>
        <v>40</v>
      </c>
      <c r="I66" s="197">
        <v>100</v>
      </c>
      <c r="J66" s="268">
        <f t="shared" si="6"/>
        <v>4000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8</v>
      </c>
      <c r="C67" s="195">
        <v>44816</v>
      </c>
      <c r="D67" s="196" t="s">
        <v>23</v>
      </c>
      <c r="E67" s="196" t="s">
        <v>25</v>
      </c>
      <c r="F67" s="197">
        <v>6855</v>
      </c>
      <c r="G67" s="197">
        <v>6915</v>
      </c>
      <c r="H67" s="196">
        <v>60</v>
      </c>
      <c r="I67" s="197">
        <v>100</v>
      </c>
      <c r="J67" s="268">
        <f t="shared" si="6"/>
        <v>6000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44817</v>
      </c>
      <c r="D68" s="196" t="s">
        <v>23</v>
      </c>
      <c r="E68" s="196" t="s">
        <v>25</v>
      </c>
      <c r="F68" s="197">
        <v>7020</v>
      </c>
      <c r="G68" s="197">
        <v>6980</v>
      </c>
      <c r="H68" s="196">
        <f>7020-6980</f>
        <v>40</v>
      </c>
      <c r="I68" s="197">
        <v>100</v>
      </c>
      <c r="J68" s="268">
        <f t="shared" si="6"/>
        <v>4000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44818</v>
      </c>
      <c r="D69" s="196" t="s">
        <v>23</v>
      </c>
      <c r="E69" s="196" t="s">
        <v>25</v>
      </c>
      <c r="F69" s="197">
        <v>6965</v>
      </c>
      <c r="G69" s="197">
        <v>6917</v>
      </c>
      <c r="H69" s="196">
        <f>6965-6917</f>
        <v>48</v>
      </c>
      <c r="I69" s="197">
        <v>100</v>
      </c>
      <c r="J69" s="268">
        <f t="shared" si="6"/>
        <v>4800</v>
      </c>
      <c r="K69" s="185"/>
      <c r="V69" s="183">
        <f t="shared" si="7"/>
        <v>1</v>
      </c>
      <c r="W69" s="183">
        <f t="shared" si="8"/>
        <v>0</v>
      </c>
    </row>
    <row r="70" spans="1:23" x14ac:dyDescent="0.3">
      <c r="A70" s="184"/>
      <c r="B70" s="194">
        <v>11</v>
      </c>
      <c r="C70" s="195">
        <v>44819</v>
      </c>
      <c r="D70" s="196" t="s">
        <v>23</v>
      </c>
      <c r="E70" s="196" t="s">
        <v>25</v>
      </c>
      <c r="F70" s="197">
        <v>7050</v>
      </c>
      <c r="G70" s="197">
        <v>6990</v>
      </c>
      <c r="H70" s="196">
        <v>60</v>
      </c>
      <c r="I70" s="197">
        <v>100</v>
      </c>
      <c r="J70" s="268">
        <f t="shared" si="6"/>
        <v>6000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44820</v>
      </c>
      <c r="D71" s="196" t="s">
        <v>23</v>
      </c>
      <c r="E71" s="196" t="s">
        <v>25</v>
      </c>
      <c r="F71" s="197">
        <v>6800</v>
      </c>
      <c r="G71" s="197">
        <v>6760</v>
      </c>
      <c r="H71" s="196">
        <f>6800-6760</f>
        <v>40</v>
      </c>
      <c r="I71" s="197">
        <v>100</v>
      </c>
      <c r="J71" s="268">
        <f t="shared" si="6"/>
        <v>4000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44823</v>
      </c>
      <c r="D72" s="196" t="s">
        <v>23</v>
      </c>
      <c r="E72" s="196" t="s">
        <v>25</v>
      </c>
      <c r="F72" s="197">
        <v>6690</v>
      </c>
      <c r="G72" s="197">
        <v>6630</v>
      </c>
      <c r="H72" s="196">
        <v>60</v>
      </c>
      <c r="I72" s="197">
        <v>100</v>
      </c>
      <c r="J72" s="268">
        <f t="shared" si="6"/>
        <v>6000</v>
      </c>
      <c r="K72" s="185"/>
      <c r="V72" s="183">
        <f t="shared" si="7"/>
        <v>1</v>
      </c>
      <c r="W72" s="183">
        <f t="shared" si="8"/>
        <v>0</v>
      </c>
    </row>
    <row r="73" spans="1:23" x14ac:dyDescent="0.3">
      <c r="A73" s="184"/>
      <c r="B73" s="194">
        <v>14</v>
      </c>
      <c r="C73" s="195">
        <v>44824</v>
      </c>
      <c r="D73" s="196" t="s">
        <v>23</v>
      </c>
      <c r="E73" s="196" t="s">
        <v>25</v>
      </c>
      <c r="F73" s="197">
        <v>6870</v>
      </c>
      <c r="G73" s="197">
        <v>6810</v>
      </c>
      <c r="H73" s="196">
        <f>6870-6810</f>
        <v>60</v>
      </c>
      <c r="I73" s="197">
        <v>100</v>
      </c>
      <c r="J73" s="268">
        <f t="shared" si="6"/>
        <v>6000</v>
      </c>
      <c r="K73" s="185"/>
      <c r="V73" s="183">
        <f t="shared" si="7"/>
        <v>1</v>
      </c>
      <c r="W73" s="183">
        <f t="shared" si="8"/>
        <v>0</v>
      </c>
    </row>
    <row r="74" spans="1:23" x14ac:dyDescent="0.3">
      <c r="A74" s="184"/>
      <c r="B74" s="194">
        <v>15</v>
      </c>
      <c r="C74" s="195">
        <v>44825</v>
      </c>
      <c r="D74" s="196" t="s">
        <v>23</v>
      </c>
      <c r="E74" s="196" t="s">
        <v>25</v>
      </c>
      <c r="F74" s="197">
        <v>6910</v>
      </c>
      <c r="G74" s="197">
        <v>6850</v>
      </c>
      <c r="H74" s="196">
        <v>60</v>
      </c>
      <c r="I74" s="197">
        <v>100</v>
      </c>
      <c r="J74" s="268">
        <f t="shared" si="6"/>
        <v>6000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>
        <v>44826</v>
      </c>
      <c r="D75" s="196" t="s">
        <v>23</v>
      </c>
      <c r="E75" s="196" t="s">
        <v>25</v>
      </c>
      <c r="F75" s="197">
        <v>6810</v>
      </c>
      <c r="G75" s="197">
        <v>6750</v>
      </c>
      <c r="H75" s="196">
        <v>60</v>
      </c>
      <c r="I75" s="197">
        <v>100</v>
      </c>
      <c r="J75" s="268">
        <f t="shared" si="6"/>
        <v>6000</v>
      </c>
      <c r="K75" s="185"/>
      <c r="V75" s="183">
        <f t="shared" si="7"/>
        <v>1</v>
      </c>
      <c r="W75" s="183">
        <f t="shared" si="8"/>
        <v>0</v>
      </c>
    </row>
    <row r="76" spans="1:23" x14ac:dyDescent="0.3">
      <c r="A76" s="184"/>
      <c r="B76" s="194">
        <v>17</v>
      </c>
      <c r="C76" s="195">
        <v>44827</v>
      </c>
      <c r="D76" s="196" t="s">
        <v>23</v>
      </c>
      <c r="E76" s="196" t="s">
        <v>25</v>
      </c>
      <c r="F76" s="197">
        <v>6660</v>
      </c>
      <c r="G76" s="197">
        <v>6600</v>
      </c>
      <c r="H76" s="196">
        <v>60</v>
      </c>
      <c r="I76" s="197">
        <v>100</v>
      </c>
      <c r="J76" s="268">
        <f t="shared" si="6"/>
        <v>6000</v>
      </c>
      <c r="K76" s="185"/>
      <c r="V76" s="183">
        <f t="shared" si="7"/>
        <v>1</v>
      </c>
      <c r="W76" s="183">
        <f t="shared" si="8"/>
        <v>0</v>
      </c>
    </row>
    <row r="77" spans="1:23" x14ac:dyDescent="0.3">
      <c r="A77" s="255"/>
      <c r="B77" s="194">
        <v>18</v>
      </c>
      <c r="C77" s="195">
        <v>44830</v>
      </c>
      <c r="D77" s="196" t="s">
        <v>23</v>
      </c>
      <c r="E77" s="196" t="s">
        <v>25</v>
      </c>
      <c r="F77" s="197">
        <v>6450</v>
      </c>
      <c r="G77" s="197">
        <v>6390</v>
      </c>
      <c r="H77" s="196">
        <f>6450-6390</f>
        <v>60</v>
      </c>
      <c r="I77" s="197">
        <v>100</v>
      </c>
      <c r="J77" s="268">
        <f t="shared" si="6"/>
        <v>6000</v>
      </c>
      <c r="K77" s="185"/>
      <c r="V77" s="183">
        <f t="shared" si="7"/>
        <v>1</v>
      </c>
      <c r="W77" s="183">
        <f t="shared" si="8"/>
        <v>0</v>
      </c>
    </row>
    <row r="78" spans="1:23" x14ac:dyDescent="0.3">
      <c r="A78" s="184"/>
      <c r="B78" s="194">
        <v>19</v>
      </c>
      <c r="C78" s="195">
        <v>44831</v>
      </c>
      <c r="D78" s="196" t="s">
        <v>23</v>
      </c>
      <c r="E78" s="196" t="s">
        <v>25</v>
      </c>
      <c r="F78" s="197">
        <v>6375</v>
      </c>
      <c r="G78" s="197">
        <v>6345</v>
      </c>
      <c r="H78" s="196">
        <f>6375-6345</f>
        <v>30</v>
      </c>
      <c r="I78" s="197">
        <v>100</v>
      </c>
      <c r="J78" s="268">
        <f t="shared" si="6"/>
        <v>3000</v>
      </c>
      <c r="K78" s="185"/>
      <c r="V78" s="183">
        <f t="shared" si="7"/>
        <v>1</v>
      </c>
      <c r="W78" s="183">
        <f t="shared" si="8"/>
        <v>0</v>
      </c>
    </row>
    <row r="79" spans="1:23" x14ac:dyDescent="0.3">
      <c r="A79" s="184"/>
      <c r="B79" s="194">
        <v>20</v>
      </c>
      <c r="C79" s="195">
        <v>44832</v>
      </c>
      <c r="D79" s="196" t="s">
        <v>23</v>
      </c>
      <c r="E79" s="196" t="s">
        <v>25</v>
      </c>
      <c r="F79" s="197">
        <v>6440</v>
      </c>
      <c r="G79" s="197">
        <v>6480</v>
      </c>
      <c r="H79" s="196">
        <v>-40</v>
      </c>
      <c r="I79" s="197">
        <v>100</v>
      </c>
      <c r="J79" s="268">
        <f t="shared" si="6"/>
        <v>-4000</v>
      </c>
      <c r="K79" s="185"/>
      <c r="V79" s="183">
        <f t="shared" si="7"/>
        <v>0</v>
      </c>
      <c r="W79" s="183">
        <f t="shared" si="8"/>
        <v>1</v>
      </c>
    </row>
    <row r="80" spans="1:23" x14ac:dyDescent="0.3">
      <c r="A80" s="184"/>
      <c r="B80" s="194">
        <v>21</v>
      </c>
      <c r="C80" s="195">
        <v>44833</v>
      </c>
      <c r="D80" s="196" t="s">
        <v>23</v>
      </c>
      <c r="E80" s="196" t="s">
        <v>25</v>
      </c>
      <c r="F80" s="197">
        <v>6660</v>
      </c>
      <c r="G80" s="197">
        <v>6700</v>
      </c>
      <c r="H80" s="196">
        <v>-30</v>
      </c>
      <c r="I80" s="197">
        <v>100</v>
      </c>
      <c r="J80" s="268">
        <f t="shared" si="6"/>
        <v>-3000</v>
      </c>
      <c r="K80" s="185"/>
      <c r="V80" s="183">
        <f t="shared" si="7"/>
        <v>0</v>
      </c>
      <c r="W80" s="183">
        <f t="shared" si="8"/>
        <v>1</v>
      </c>
    </row>
    <row r="81" spans="1:23" x14ac:dyDescent="0.3">
      <c r="A81" s="184"/>
      <c r="B81" s="194">
        <v>22</v>
      </c>
      <c r="C81" s="195">
        <v>44834</v>
      </c>
      <c r="D81" s="196" t="s">
        <v>23</v>
      </c>
      <c r="E81" s="196" t="s">
        <v>25</v>
      </c>
      <c r="F81" s="197">
        <v>6720</v>
      </c>
      <c r="G81" s="197">
        <v>6650</v>
      </c>
      <c r="H81" s="196">
        <v>60</v>
      </c>
      <c r="I81" s="197">
        <v>100</v>
      </c>
      <c r="J81" s="268">
        <f t="shared" si="6"/>
        <v>6000</v>
      </c>
      <c r="K81" s="185"/>
      <c r="V81" s="183">
        <f t="shared" si="7"/>
        <v>1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96300</v>
      </c>
      <c r="K83" s="185"/>
      <c r="V83" s="183">
        <f>SUM(V60:V82)</f>
        <v>20</v>
      </c>
      <c r="W83" s="183">
        <f>SUM(W60:W82)</f>
        <v>2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44805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44805</v>
      </c>
      <c r="D91" s="216" t="s">
        <v>23</v>
      </c>
      <c r="E91" s="256" t="s">
        <v>28</v>
      </c>
      <c r="F91" s="256">
        <v>296</v>
      </c>
      <c r="G91" s="256">
        <v>294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44806</v>
      </c>
      <c r="D92" s="196" t="s">
        <v>23</v>
      </c>
      <c r="E92" s="222" t="s">
        <v>28</v>
      </c>
      <c r="F92" s="222">
        <v>287.5</v>
      </c>
      <c r="G92" s="222">
        <v>285.5</v>
      </c>
      <c r="H92" s="222">
        <v>2</v>
      </c>
      <c r="I92" s="197">
        <v>5000</v>
      </c>
      <c r="J92" s="268">
        <f t="shared" ref="J92:J113" si="9">I92*H92</f>
        <v>10000</v>
      </c>
      <c r="K92" s="185"/>
      <c r="V92" s="183">
        <f t="shared" ref="V92:V113" si="10">IF($J92&gt;0,1,0)</f>
        <v>1</v>
      </c>
      <c r="W92" s="183">
        <f t="shared" ref="W92:W113" si="11">IF($J92&lt;0,1,0)</f>
        <v>0</v>
      </c>
    </row>
    <row r="93" spans="1:23" x14ac:dyDescent="0.3">
      <c r="A93" s="184"/>
      <c r="B93" s="194">
        <v>3</v>
      </c>
      <c r="C93" s="195">
        <v>44809</v>
      </c>
      <c r="D93" s="196" t="s">
        <v>23</v>
      </c>
      <c r="E93" s="222" t="s">
        <v>28</v>
      </c>
      <c r="F93" s="222">
        <v>288</v>
      </c>
      <c r="G93" s="222">
        <v>287.60000000000002</v>
      </c>
      <c r="H93" s="222">
        <f>288-287.6</f>
        <v>0.39999999999997726</v>
      </c>
      <c r="I93" s="197">
        <v>5000</v>
      </c>
      <c r="J93" s="268">
        <f t="shared" si="9"/>
        <v>1999.9999999998863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44810</v>
      </c>
      <c r="D94" s="196" t="s">
        <v>23</v>
      </c>
      <c r="E94" s="222" t="s">
        <v>28</v>
      </c>
      <c r="F94" s="222">
        <v>290</v>
      </c>
      <c r="G94" s="222">
        <v>288</v>
      </c>
      <c r="H94" s="222">
        <v>2</v>
      </c>
      <c r="I94" s="197">
        <v>5000</v>
      </c>
      <c r="J94" s="268">
        <f t="shared" si="9"/>
        <v>10000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5</v>
      </c>
      <c r="C95" s="195">
        <v>44811</v>
      </c>
      <c r="D95" s="196" t="s">
        <v>23</v>
      </c>
      <c r="E95" s="222" t="s">
        <v>28</v>
      </c>
      <c r="F95" s="222">
        <v>283</v>
      </c>
      <c r="G95" s="222">
        <v>281.5</v>
      </c>
      <c r="H95" s="222">
        <f>283-281.5</f>
        <v>1.5</v>
      </c>
      <c r="I95" s="197">
        <v>5000</v>
      </c>
      <c r="J95" s="268">
        <f t="shared" si="9"/>
        <v>7500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6</v>
      </c>
      <c r="C96" s="195">
        <v>44812</v>
      </c>
      <c r="D96" s="196" t="s">
        <v>23</v>
      </c>
      <c r="E96" s="222" t="s">
        <v>28</v>
      </c>
      <c r="F96" s="222">
        <v>283.8</v>
      </c>
      <c r="G96" s="222">
        <v>281.8</v>
      </c>
      <c r="H96" s="222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7</v>
      </c>
      <c r="C97" s="195">
        <v>44813</v>
      </c>
      <c r="D97" s="196" t="s">
        <v>23</v>
      </c>
      <c r="E97" s="222" t="s">
        <v>28</v>
      </c>
      <c r="F97" s="222">
        <v>286.5</v>
      </c>
      <c r="G97" s="222">
        <v>287.5</v>
      </c>
      <c r="H97" s="274">
        <v>-1</v>
      </c>
      <c r="I97" s="197">
        <v>5000</v>
      </c>
      <c r="J97" s="268">
        <f t="shared" si="9"/>
        <v>-5000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8</v>
      </c>
      <c r="C98" s="195">
        <v>44816</v>
      </c>
      <c r="D98" s="196" t="s">
        <v>23</v>
      </c>
      <c r="E98" s="222" t="s">
        <v>28</v>
      </c>
      <c r="F98" s="222">
        <v>287.5</v>
      </c>
      <c r="G98" s="222">
        <v>287.10000000000002</v>
      </c>
      <c r="H98" s="222">
        <f>287.5-287.1</f>
        <v>0.39999999999997726</v>
      </c>
      <c r="I98" s="197">
        <v>5000</v>
      </c>
      <c r="J98" s="268">
        <f t="shared" si="9"/>
        <v>1999.9999999998863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44817</v>
      </c>
      <c r="D99" s="196" t="s">
        <v>23</v>
      </c>
      <c r="E99" s="222" t="s">
        <v>28</v>
      </c>
      <c r="F99" s="222">
        <v>288.2</v>
      </c>
      <c r="G99" s="222">
        <v>287.2</v>
      </c>
      <c r="H99" s="222">
        <v>1</v>
      </c>
      <c r="I99" s="197">
        <v>5000</v>
      </c>
      <c r="J99" s="268">
        <f t="shared" si="9"/>
        <v>5000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44818</v>
      </c>
      <c r="D100" s="196" t="s">
        <v>23</v>
      </c>
      <c r="E100" s="222" t="s">
        <v>28</v>
      </c>
      <c r="F100" s="222">
        <v>285.5</v>
      </c>
      <c r="G100" s="222">
        <v>284</v>
      </c>
      <c r="H100" s="222">
        <f>285.5-284</f>
        <v>1.5</v>
      </c>
      <c r="I100" s="197">
        <v>5000</v>
      </c>
      <c r="J100" s="268">
        <f t="shared" si="9"/>
        <v>7500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44819</v>
      </c>
      <c r="D101" s="196" t="s">
        <v>23</v>
      </c>
      <c r="E101" s="222" t="s">
        <v>28</v>
      </c>
      <c r="F101" s="222">
        <v>288</v>
      </c>
      <c r="G101" s="222">
        <v>286</v>
      </c>
      <c r="H101" s="274">
        <v>2</v>
      </c>
      <c r="I101" s="197">
        <v>5000</v>
      </c>
      <c r="J101" s="268">
        <f t="shared" si="9"/>
        <v>10000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44820</v>
      </c>
      <c r="D102" s="196" t="s">
        <v>23</v>
      </c>
      <c r="E102" s="222" t="s">
        <v>28</v>
      </c>
      <c r="F102" s="222">
        <v>277</v>
      </c>
      <c r="G102" s="222">
        <v>275</v>
      </c>
      <c r="H102" s="274">
        <v>2</v>
      </c>
      <c r="I102" s="197">
        <v>5000</v>
      </c>
      <c r="J102" s="268">
        <f t="shared" si="9"/>
        <v>10000</v>
      </c>
      <c r="K102" s="185"/>
      <c r="V102" s="183">
        <f t="shared" si="10"/>
        <v>1</v>
      </c>
      <c r="W102" s="183">
        <f t="shared" si="11"/>
        <v>0</v>
      </c>
    </row>
    <row r="103" spans="1:23" x14ac:dyDescent="0.3">
      <c r="A103" s="184"/>
      <c r="B103" s="194">
        <v>13</v>
      </c>
      <c r="C103" s="195">
        <v>44823</v>
      </c>
      <c r="D103" s="196" t="s">
        <v>23</v>
      </c>
      <c r="E103" s="222" t="s">
        <v>28</v>
      </c>
      <c r="F103" s="222">
        <v>279</v>
      </c>
      <c r="G103" s="222">
        <v>278</v>
      </c>
      <c r="H103" s="274">
        <v>1</v>
      </c>
      <c r="I103" s="197">
        <v>5000</v>
      </c>
      <c r="J103" s="268">
        <f t="shared" si="9"/>
        <v>5000</v>
      </c>
      <c r="K103" s="185"/>
      <c r="V103" s="183">
        <f t="shared" si="10"/>
        <v>1</v>
      </c>
      <c r="W103" s="183">
        <f t="shared" si="11"/>
        <v>0</v>
      </c>
    </row>
    <row r="104" spans="1:23" x14ac:dyDescent="0.3">
      <c r="A104" s="184"/>
      <c r="B104" s="194">
        <v>14</v>
      </c>
      <c r="C104" s="195">
        <v>44824</v>
      </c>
      <c r="D104" s="196" t="s">
        <v>23</v>
      </c>
      <c r="E104" s="222" t="s">
        <v>28</v>
      </c>
      <c r="F104" s="222">
        <v>279.3</v>
      </c>
      <c r="G104" s="222">
        <v>280.3</v>
      </c>
      <c r="H104" s="274">
        <v>-1</v>
      </c>
      <c r="I104" s="197">
        <v>5000</v>
      </c>
      <c r="J104" s="268">
        <f t="shared" si="9"/>
        <v>-5000</v>
      </c>
      <c r="K104" s="185"/>
      <c r="V104" s="183">
        <f t="shared" si="10"/>
        <v>0</v>
      </c>
      <c r="W104" s="183">
        <f t="shared" si="11"/>
        <v>1</v>
      </c>
    </row>
    <row r="105" spans="1:23" x14ac:dyDescent="0.3">
      <c r="A105" s="184"/>
      <c r="B105" s="194">
        <v>15</v>
      </c>
      <c r="C105" s="195">
        <v>44825</v>
      </c>
      <c r="D105" s="196" t="s">
        <v>23</v>
      </c>
      <c r="E105" s="196" t="s">
        <v>28</v>
      </c>
      <c r="F105" s="222">
        <v>279.3</v>
      </c>
      <c r="G105" s="222">
        <v>280.3</v>
      </c>
      <c r="H105" s="222">
        <v>-1</v>
      </c>
      <c r="I105" s="197">
        <v>5000</v>
      </c>
      <c r="J105" s="268">
        <f t="shared" si="9"/>
        <v>-5000</v>
      </c>
      <c r="K105" s="185"/>
      <c r="V105" s="183">
        <f t="shared" si="10"/>
        <v>0</v>
      </c>
      <c r="W105" s="183">
        <f t="shared" si="11"/>
        <v>1</v>
      </c>
    </row>
    <row r="106" spans="1:23" x14ac:dyDescent="0.3">
      <c r="A106" s="184"/>
      <c r="B106" s="194">
        <v>16</v>
      </c>
      <c r="C106" s="195">
        <v>44826</v>
      </c>
      <c r="D106" s="196" t="s">
        <v>23</v>
      </c>
      <c r="E106" s="196" t="s">
        <v>28</v>
      </c>
      <c r="F106" s="222">
        <v>282.2</v>
      </c>
      <c r="G106" s="197">
        <v>281.2</v>
      </c>
      <c r="H106" s="274">
        <v>1</v>
      </c>
      <c r="I106" s="197">
        <v>5000</v>
      </c>
      <c r="J106" s="268">
        <f t="shared" si="9"/>
        <v>5000</v>
      </c>
      <c r="K106" s="185"/>
      <c r="V106" s="183">
        <f t="shared" si="10"/>
        <v>1</v>
      </c>
      <c r="W106" s="183">
        <f t="shared" si="11"/>
        <v>0</v>
      </c>
    </row>
    <row r="107" spans="1:23" x14ac:dyDescent="0.3">
      <c r="A107" s="184"/>
      <c r="B107" s="194">
        <v>17</v>
      </c>
      <c r="C107" s="195">
        <v>44827</v>
      </c>
      <c r="D107" s="196" t="s">
        <v>23</v>
      </c>
      <c r="E107" s="196" t="s">
        <v>28</v>
      </c>
      <c r="F107" s="222">
        <v>277.39999999999998</v>
      </c>
      <c r="G107" s="222">
        <v>275.39999999999998</v>
      </c>
      <c r="H107" s="274">
        <v>2</v>
      </c>
      <c r="I107" s="197">
        <v>5000</v>
      </c>
      <c r="J107" s="268">
        <f t="shared" si="9"/>
        <v>10000</v>
      </c>
      <c r="K107" s="185"/>
      <c r="V107" s="183">
        <f t="shared" si="10"/>
        <v>1</v>
      </c>
      <c r="W107" s="183">
        <f t="shared" si="11"/>
        <v>0</v>
      </c>
    </row>
    <row r="108" spans="1:23" x14ac:dyDescent="0.3">
      <c r="A108" s="184"/>
      <c r="B108" s="194">
        <v>18</v>
      </c>
      <c r="C108" s="195">
        <v>44830</v>
      </c>
      <c r="D108" s="196" t="s">
        <v>23</v>
      </c>
      <c r="E108" s="196" t="s">
        <v>28</v>
      </c>
      <c r="F108" s="222">
        <v>271.8</v>
      </c>
      <c r="G108" s="222">
        <v>269.8</v>
      </c>
      <c r="H108" s="274">
        <v>2</v>
      </c>
      <c r="I108" s="197">
        <v>5000</v>
      </c>
      <c r="J108" s="268">
        <f t="shared" si="9"/>
        <v>10000</v>
      </c>
      <c r="K108" s="185"/>
      <c r="V108" s="183">
        <f t="shared" si="10"/>
        <v>1</v>
      </c>
      <c r="W108" s="183">
        <f t="shared" si="11"/>
        <v>0</v>
      </c>
    </row>
    <row r="109" spans="1:23" x14ac:dyDescent="0.3">
      <c r="A109" s="184"/>
      <c r="B109" s="194">
        <v>19</v>
      </c>
      <c r="C109" s="195">
        <v>44831</v>
      </c>
      <c r="D109" s="196" t="s">
        <v>23</v>
      </c>
      <c r="E109" s="196" t="s">
        <v>28</v>
      </c>
      <c r="F109" s="222">
        <v>269</v>
      </c>
      <c r="G109" s="222">
        <v>267</v>
      </c>
      <c r="H109" s="274">
        <v>2</v>
      </c>
      <c r="I109" s="197">
        <v>5000</v>
      </c>
      <c r="J109" s="268">
        <f t="shared" si="9"/>
        <v>10000</v>
      </c>
      <c r="K109" s="185"/>
      <c r="V109" s="183">
        <f t="shared" si="10"/>
        <v>1</v>
      </c>
      <c r="W109" s="183">
        <f t="shared" si="11"/>
        <v>0</v>
      </c>
    </row>
    <row r="110" spans="1:23" x14ac:dyDescent="0.3">
      <c r="A110" s="184"/>
      <c r="B110" s="194">
        <v>20</v>
      </c>
      <c r="C110" s="195">
        <v>44832</v>
      </c>
      <c r="D110" s="196" t="s">
        <v>23</v>
      </c>
      <c r="E110" s="222" t="s">
        <v>28</v>
      </c>
      <c r="F110" s="222">
        <v>261.3</v>
      </c>
      <c r="G110" s="222">
        <v>260.3</v>
      </c>
      <c r="H110" s="274">
        <v>1</v>
      </c>
      <c r="I110" s="197">
        <v>5000</v>
      </c>
      <c r="J110" s="268">
        <f t="shared" si="9"/>
        <v>5000</v>
      </c>
      <c r="K110" s="185"/>
      <c r="V110" s="183">
        <f t="shared" si="10"/>
        <v>1</v>
      </c>
      <c r="W110" s="183">
        <f t="shared" si="11"/>
        <v>0</v>
      </c>
    </row>
    <row r="111" spans="1:23" x14ac:dyDescent="0.3">
      <c r="A111" s="184"/>
      <c r="B111" s="194">
        <v>21</v>
      </c>
      <c r="C111" s="195">
        <v>44833</v>
      </c>
      <c r="D111" s="196" t="s">
        <v>23</v>
      </c>
      <c r="E111" s="222" t="s">
        <v>28</v>
      </c>
      <c r="F111" s="222">
        <v>268</v>
      </c>
      <c r="G111" s="222">
        <v>266.5</v>
      </c>
      <c r="H111" s="274">
        <f>268-266.5</f>
        <v>1.5</v>
      </c>
      <c r="I111" s="197">
        <v>5000</v>
      </c>
      <c r="J111" s="268">
        <f t="shared" si="9"/>
        <v>7500</v>
      </c>
      <c r="K111" s="185"/>
      <c r="V111" s="183">
        <f t="shared" si="10"/>
        <v>1</v>
      </c>
      <c r="W111" s="183">
        <f t="shared" si="11"/>
        <v>0</v>
      </c>
    </row>
    <row r="112" spans="1:23" x14ac:dyDescent="0.3">
      <c r="A112" s="184"/>
      <c r="B112" s="194">
        <v>22</v>
      </c>
      <c r="C112" s="195">
        <v>44834</v>
      </c>
      <c r="D112" s="196" t="s">
        <v>23</v>
      </c>
      <c r="E112" s="222" t="s">
        <v>28</v>
      </c>
      <c r="F112" s="222">
        <v>275</v>
      </c>
      <c r="G112" s="222">
        <v>273</v>
      </c>
      <c r="H112" s="222">
        <v>2</v>
      </c>
      <c r="I112" s="197">
        <v>5000</v>
      </c>
      <c r="J112" s="268">
        <f t="shared" si="9"/>
        <v>10000</v>
      </c>
      <c r="K112" s="185"/>
      <c r="V112" s="183">
        <f t="shared" si="10"/>
        <v>1</v>
      </c>
      <c r="W112" s="183">
        <f t="shared" si="11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9"/>
        <v>0</v>
      </c>
      <c r="K113" s="185"/>
      <c r="V113" s="183">
        <f t="shared" si="10"/>
        <v>0</v>
      </c>
      <c r="W113" s="183">
        <f t="shared" si="11"/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131499.99999999977</v>
      </c>
      <c r="K114" s="185"/>
      <c r="V114" s="183">
        <f>SUM(V91:V113)</f>
        <v>19</v>
      </c>
      <c r="W114" s="183">
        <f>SUM(W91:W113)</f>
        <v>3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7500-000000000000}"/>
    <hyperlink ref="B83" r:id="rId2" xr:uid="{00000000-0004-0000-7500-000001000000}"/>
    <hyperlink ref="M4:M5" location="'SEP 2022'!A1" display="BULLION" xr:uid="{00000000-0004-0000-7500-000002000000}"/>
    <hyperlink ref="B114" r:id="rId3" xr:uid="{00000000-0004-0000-7500-000003000000}"/>
    <hyperlink ref="M8:M9" location="'SEP 2022'!A86" display="BASE METAL" xr:uid="{00000000-0004-0000-7500-000004000000}"/>
    <hyperlink ref="M1" location="MASTER!A1" display="Back" xr:uid="{00000000-0004-0000-7500-000005000000}"/>
    <hyperlink ref="M6:M7" location="'SEP 2022'!A54" display="ENERGY" xr:uid="{00000000-0004-0000-7500-000006000000}"/>
  </hyperlinks>
  <pageMargins left="0" right="0" top="0" bottom="0" header="0" footer="0"/>
  <pageSetup paperSize="9" orientation="portrait" r:id="rId4"/>
  <drawing r:id="rId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W115"/>
  <sheetViews>
    <sheetView zoomScaleNormal="100" workbookViewId="0">
      <selection activeCell="M17" sqref="M1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44835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30</v>
      </c>
      <c r="O4" s="369">
        <f>V52</f>
        <v>23</v>
      </c>
      <c r="P4" s="369">
        <f>W52</f>
        <v>7</v>
      </c>
      <c r="Q4" s="349">
        <f>N4-O4-P4</f>
        <v>0</v>
      </c>
      <c r="R4" s="343">
        <f>O4/N4</f>
        <v>0.76666666666666672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44837</v>
      </c>
      <c r="D6" s="192" t="s">
        <v>23</v>
      </c>
      <c r="E6" s="192" t="s">
        <v>24</v>
      </c>
      <c r="F6" s="193">
        <v>50400</v>
      </c>
      <c r="G6" s="193">
        <v>50350</v>
      </c>
      <c r="H6" s="192">
        <v>50</v>
      </c>
      <c r="I6" s="193">
        <v>100</v>
      </c>
      <c r="J6" s="267">
        <f>H6*I6</f>
        <v>5000</v>
      </c>
      <c r="K6" s="185"/>
      <c r="M6" s="364" t="s">
        <v>258</v>
      </c>
      <c r="N6" s="347">
        <f>COUNT(C60:C82)</f>
        <v>15</v>
      </c>
      <c r="O6" s="348">
        <f>V83</f>
        <v>12</v>
      </c>
      <c r="P6" s="348">
        <f>W83</f>
        <v>3</v>
      </c>
      <c r="Q6" s="349">
        <f>N6-O6-P6</f>
        <v>0</v>
      </c>
      <c r="R6" s="345">
        <f t="shared" ref="R6" si="0">O6/N6</f>
        <v>0.8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44837</v>
      </c>
      <c r="D7" s="196" t="s">
        <v>23</v>
      </c>
      <c r="E7" s="196" t="s">
        <v>22</v>
      </c>
      <c r="F7" s="197">
        <v>57800</v>
      </c>
      <c r="G7" s="197">
        <v>58100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44838</v>
      </c>
      <c r="D8" s="196" t="s">
        <v>23</v>
      </c>
      <c r="E8" s="196" t="s">
        <v>24</v>
      </c>
      <c r="F8" s="197">
        <v>51480</v>
      </c>
      <c r="G8" s="197">
        <v>51340</v>
      </c>
      <c r="H8" s="196">
        <f>51480-51340</f>
        <v>140</v>
      </c>
      <c r="I8" s="197">
        <v>100</v>
      </c>
      <c r="J8" s="268">
        <f t="shared" si="1"/>
        <v>14000</v>
      </c>
      <c r="K8" s="185"/>
      <c r="M8" s="362" t="s">
        <v>877</v>
      </c>
      <c r="N8" s="347">
        <f>COUNT(C91:C113)</f>
        <v>15</v>
      </c>
      <c r="O8" s="348">
        <f>V114</f>
        <v>13</v>
      </c>
      <c r="P8" s="348">
        <f>W114</f>
        <v>2</v>
      </c>
      <c r="Q8" s="349">
        <f>N8-O8-P8</f>
        <v>0</v>
      </c>
      <c r="R8" s="345">
        <f t="shared" ref="R8" si="4">O8/N8</f>
        <v>0.8666666666666667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44838</v>
      </c>
      <c r="D9" s="196" t="s">
        <v>23</v>
      </c>
      <c r="E9" s="196" t="s">
        <v>22</v>
      </c>
      <c r="F9" s="197">
        <v>61500</v>
      </c>
      <c r="G9" s="197">
        <v>61800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44840</v>
      </c>
      <c r="D10" s="196" t="s">
        <v>23</v>
      </c>
      <c r="E10" s="196" t="s">
        <v>24</v>
      </c>
      <c r="F10" s="197">
        <v>51850</v>
      </c>
      <c r="G10" s="197">
        <v>51790</v>
      </c>
      <c r="H10" s="196">
        <f>51850-51790</f>
        <v>60</v>
      </c>
      <c r="I10" s="197">
        <v>100</v>
      </c>
      <c r="J10" s="268">
        <f t="shared" si="1"/>
        <v>6000</v>
      </c>
      <c r="K10" s="185"/>
      <c r="M10" s="319" t="s">
        <v>300</v>
      </c>
      <c r="N10" s="321">
        <f>SUM(N4:N9)</f>
        <v>60</v>
      </c>
      <c r="O10" s="321">
        <f>SUM(O4:O9)</f>
        <v>48</v>
      </c>
      <c r="P10" s="321">
        <f>SUM(P4:P9)</f>
        <v>12</v>
      </c>
      <c r="Q10" s="341">
        <f>SUM(Q4:Q9)</f>
        <v>0</v>
      </c>
      <c r="R10" s="343">
        <f t="shared" ref="R10" si="5">O10/N10</f>
        <v>0.8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44840</v>
      </c>
      <c r="D11" s="196" t="s">
        <v>23</v>
      </c>
      <c r="E11" s="196" t="s">
        <v>22</v>
      </c>
      <c r="F11" s="197">
        <v>61050</v>
      </c>
      <c r="G11" s="197">
        <v>60900</v>
      </c>
      <c r="H11" s="196">
        <f>61050-60900</f>
        <v>150</v>
      </c>
      <c r="I11" s="197">
        <v>30</v>
      </c>
      <c r="J11" s="268">
        <f t="shared" si="1"/>
        <v>4500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44841</v>
      </c>
      <c r="D12" s="196" t="s">
        <v>16</v>
      </c>
      <c r="E12" s="196" t="s">
        <v>24</v>
      </c>
      <c r="F12" s="197">
        <v>52020</v>
      </c>
      <c r="G12" s="197">
        <v>52120</v>
      </c>
      <c r="H12" s="196">
        <v>100</v>
      </c>
      <c r="I12" s="197">
        <v>100</v>
      </c>
      <c r="J12" s="268">
        <f t="shared" si="1"/>
        <v>10000</v>
      </c>
      <c r="K12" s="185"/>
      <c r="M12" s="323" t="s">
        <v>878</v>
      </c>
      <c r="N12" s="324"/>
      <c r="O12" s="325"/>
      <c r="P12" s="332">
        <f>R10</f>
        <v>0.8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44841</v>
      </c>
      <c r="D13" s="196" t="s">
        <v>16</v>
      </c>
      <c r="E13" s="196" t="s">
        <v>22</v>
      </c>
      <c r="F13" s="197">
        <v>61650</v>
      </c>
      <c r="G13" s="197">
        <v>61940</v>
      </c>
      <c r="H13" s="196">
        <f>61940-61650</f>
        <v>290</v>
      </c>
      <c r="I13" s="197">
        <v>30</v>
      </c>
      <c r="J13" s="268">
        <f t="shared" si="1"/>
        <v>8700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44844</v>
      </c>
      <c r="D14" s="196" t="s">
        <v>23</v>
      </c>
      <c r="E14" s="196" t="s">
        <v>24</v>
      </c>
      <c r="F14" s="197">
        <v>51320</v>
      </c>
      <c r="G14" s="197">
        <v>51170</v>
      </c>
      <c r="H14" s="196">
        <f>51320-51170</f>
        <v>150</v>
      </c>
      <c r="I14" s="197">
        <v>100</v>
      </c>
      <c r="J14" s="268">
        <f t="shared" si="1"/>
        <v>15000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44844</v>
      </c>
      <c r="D15" s="196" t="s">
        <v>23</v>
      </c>
      <c r="E15" s="196" t="s">
        <v>22</v>
      </c>
      <c r="F15" s="197">
        <v>59250</v>
      </c>
      <c r="G15" s="197">
        <v>59110</v>
      </c>
      <c r="H15" s="196">
        <f>59250-59110</f>
        <v>140</v>
      </c>
      <c r="I15" s="197">
        <v>30</v>
      </c>
      <c r="J15" s="268">
        <f t="shared" si="1"/>
        <v>4200</v>
      </c>
      <c r="K15" s="185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44845</v>
      </c>
      <c r="D16" s="196" t="s">
        <v>23</v>
      </c>
      <c r="E16" s="196" t="s">
        <v>24</v>
      </c>
      <c r="F16" s="197">
        <v>50880</v>
      </c>
      <c r="G16" s="197">
        <v>50710</v>
      </c>
      <c r="H16" s="196">
        <f>50880-50710</f>
        <v>170</v>
      </c>
      <c r="I16" s="197">
        <v>100</v>
      </c>
      <c r="J16" s="268">
        <f t="shared" si="1"/>
        <v>17000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44845</v>
      </c>
      <c r="D17" s="196" t="s">
        <v>23</v>
      </c>
      <c r="E17" s="196" t="s">
        <v>22</v>
      </c>
      <c r="F17" s="197">
        <v>58450</v>
      </c>
      <c r="G17" s="197">
        <v>58050</v>
      </c>
      <c r="H17" s="196">
        <f>58450-58050</f>
        <v>400</v>
      </c>
      <c r="I17" s="197">
        <v>30</v>
      </c>
      <c r="J17" s="268">
        <f t="shared" si="1"/>
        <v>12000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44846</v>
      </c>
      <c r="D18" s="196" t="s">
        <v>23</v>
      </c>
      <c r="E18" s="196" t="s">
        <v>24</v>
      </c>
      <c r="F18" s="197">
        <v>50950</v>
      </c>
      <c r="G18" s="197">
        <v>50850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44846</v>
      </c>
      <c r="D19" s="196" t="s">
        <v>23</v>
      </c>
      <c r="E19" s="196" t="s">
        <v>22</v>
      </c>
      <c r="F19" s="197">
        <v>58000</v>
      </c>
      <c r="G19" s="197">
        <v>57700</v>
      </c>
      <c r="H19" s="196">
        <f>58000-57700</f>
        <v>300</v>
      </c>
      <c r="I19" s="197">
        <v>30</v>
      </c>
      <c r="J19" s="268">
        <f t="shared" si="1"/>
        <v>9000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44847</v>
      </c>
      <c r="D20" s="196" t="s">
        <v>23</v>
      </c>
      <c r="E20" s="196" t="s">
        <v>24</v>
      </c>
      <c r="F20" s="197">
        <v>51120</v>
      </c>
      <c r="G20" s="197">
        <v>50920</v>
      </c>
      <c r="H20" s="196">
        <f>51120-50920</f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44847</v>
      </c>
      <c r="D21" s="196" t="s">
        <v>23</v>
      </c>
      <c r="E21" s="196" t="s">
        <v>22</v>
      </c>
      <c r="F21" s="197">
        <v>57750</v>
      </c>
      <c r="G21" s="197">
        <v>57150</v>
      </c>
      <c r="H21" s="196">
        <f>57750-57150</f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44848</v>
      </c>
      <c r="D22" s="196" t="s">
        <v>23</v>
      </c>
      <c r="E22" s="196" t="s">
        <v>24</v>
      </c>
      <c r="F22" s="197">
        <v>50700</v>
      </c>
      <c r="G22" s="197">
        <v>50500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44848</v>
      </c>
      <c r="D23" s="196" t="s">
        <v>23</v>
      </c>
      <c r="E23" s="196" t="s">
        <v>22</v>
      </c>
      <c r="F23" s="197">
        <v>56700</v>
      </c>
      <c r="G23" s="197">
        <v>56400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44851</v>
      </c>
      <c r="D24" s="196" t="s">
        <v>23</v>
      </c>
      <c r="E24" s="196" t="s">
        <v>24</v>
      </c>
      <c r="F24" s="197">
        <v>50500</v>
      </c>
      <c r="G24" s="197">
        <v>50600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44851</v>
      </c>
      <c r="D25" s="196" t="s">
        <v>23</v>
      </c>
      <c r="E25" s="196" t="s">
        <v>22</v>
      </c>
      <c r="F25" s="197">
        <v>55850</v>
      </c>
      <c r="G25" s="197">
        <v>56150</v>
      </c>
      <c r="H25" s="196">
        <f>55850-56150</f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44852</v>
      </c>
      <c r="D26" s="196" t="s">
        <v>23</v>
      </c>
      <c r="E26" s="196" t="s">
        <v>24</v>
      </c>
      <c r="F26" s="197">
        <v>50510</v>
      </c>
      <c r="G26" s="197">
        <v>50410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44852</v>
      </c>
      <c r="D27" s="196" t="s">
        <v>23</v>
      </c>
      <c r="E27" s="196" t="s">
        <v>22</v>
      </c>
      <c r="F27" s="197">
        <v>56500</v>
      </c>
      <c r="G27" s="197">
        <v>56220</v>
      </c>
      <c r="H27" s="196">
        <f>56500-56220</f>
        <v>280</v>
      </c>
      <c r="I27" s="197">
        <v>30</v>
      </c>
      <c r="J27" s="268">
        <f t="shared" si="1"/>
        <v>8400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44853</v>
      </c>
      <c r="D28" s="196" t="s">
        <v>23</v>
      </c>
      <c r="E28" s="196" t="s">
        <v>24</v>
      </c>
      <c r="F28" s="197">
        <v>50380</v>
      </c>
      <c r="G28" s="197">
        <v>50480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44853</v>
      </c>
      <c r="D29" s="196" t="s">
        <v>23</v>
      </c>
      <c r="E29" s="196" t="s">
        <v>22</v>
      </c>
      <c r="F29" s="197">
        <v>56250</v>
      </c>
      <c r="G29" s="197">
        <v>55960</v>
      </c>
      <c r="H29" s="196">
        <v>290</v>
      </c>
      <c r="I29" s="197">
        <v>30</v>
      </c>
      <c r="J29" s="268">
        <f t="shared" si="1"/>
        <v>8700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44854</v>
      </c>
      <c r="D30" s="196" t="s">
        <v>23</v>
      </c>
      <c r="E30" s="196" t="s">
        <v>24</v>
      </c>
      <c r="F30" s="197">
        <v>50180</v>
      </c>
      <c r="G30" s="197">
        <v>50101</v>
      </c>
      <c r="H30" s="196">
        <f>50180-50101</f>
        <v>79</v>
      </c>
      <c r="I30" s="197">
        <v>100</v>
      </c>
      <c r="J30" s="268">
        <f t="shared" si="1"/>
        <v>7900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44854</v>
      </c>
      <c r="D31" s="196" t="s">
        <v>23</v>
      </c>
      <c r="E31" s="196" t="s">
        <v>22</v>
      </c>
      <c r="F31" s="197">
        <v>56100</v>
      </c>
      <c r="G31" s="197">
        <v>55950</v>
      </c>
      <c r="H31" s="196">
        <f>56100-55950</f>
        <v>150</v>
      </c>
      <c r="I31" s="197">
        <v>30</v>
      </c>
      <c r="J31" s="268">
        <f t="shared" si="1"/>
        <v>4500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44855</v>
      </c>
      <c r="D32" s="196" t="s">
        <v>23</v>
      </c>
      <c r="E32" s="196" t="s">
        <v>24</v>
      </c>
      <c r="F32" s="197">
        <v>49870</v>
      </c>
      <c r="G32" s="197">
        <v>49815</v>
      </c>
      <c r="H32" s="196">
        <f>49870-49815</f>
        <v>55</v>
      </c>
      <c r="I32" s="197">
        <v>100</v>
      </c>
      <c r="J32" s="268">
        <f t="shared" si="1"/>
        <v>5500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44855</v>
      </c>
      <c r="D33" s="196" t="s">
        <v>23</v>
      </c>
      <c r="E33" s="196" t="s">
        <v>22</v>
      </c>
      <c r="F33" s="197">
        <v>55800</v>
      </c>
      <c r="G33" s="197">
        <v>55600</v>
      </c>
      <c r="H33" s="196">
        <v>200</v>
      </c>
      <c r="I33" s="197">
        <v>30</v>
      </c>
      <c r="J33" s="268">
        <f t="shared" si="1"/>
        <v>6000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44865</v>
      </c>
      <c r="D34" s="196" t="s">
        <v>23</v>
      </c>
      <c r="E34" s="196" t="s">
        <v>24</v>
      </c>
      <c r="F34" s="197">
        <v>50200</v>
      </c>
      <c r="G34" s="197">
        <v>50300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44865</v>
      </c>
      <c r="D35" s="196" t="s">
        <v>23</v>
      </c>
      <c r="E35" s="196" t="s">
        <v>22</v>
      </c>
      <c r="F35" s="197">
        <v>57200</v>
      </c>
      <c r="G35" s="197">
        <v>57500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x14ac:dyDescent="0.3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x14ac:dyDescent="0.3">
      <c r="A39" s="184"/>
      <c r="B39" s="194">
        <v>34</v>
      </c>
      <c r="C39" s="195"/>
      <c r="D39" s="196"/>
      <c r="E39" s="196"/>
      <c r="F39" s="197"/>
      <c r="G39" s="197"/>
      <c r="H39" s="196"/>
      <c r="I39" s="197"/>
      <c r="J39" s="268">
        <f t="shared" si="1"/>
        <v>0</v>
      </c>
      <c r="K39" s="185"/>
      <c r="V39" s="183">
        <f t="shared" si="2"/>
        <v>0</v>
      </c>
      <c r="W39" s="183">
        <f t="shared" si="3"/>
        <v>0</v>
      </c>
    </row>
    <row r="40" spans="1:23" x14ac:dyDescent="0.3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V40" s="183">
        <f t="shared" si="2"/>
        <v>0</v>
      </c>
      <c r="W40" s="183">
        <f t="shared" si="3"/>
        <v>0</v>
      </c>
    </row>
    <row r="41" spans="1:23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167400</v>
      </c>
      <c r="K52" s="185"/>
      <c r="V52" s="183">
        <f>SUM(V6:V51)</f>
        <v>23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44835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44837</v>
      </c>
      <c r="D60" s="192" t="s">
        <v>23</v>
      </c>
      <c r="E60" s="192" t="s">
        <v>25</v>
      </c>
      <c r="F60" s="193">
        <v>6790</v>
      </c>
      <c r="G60" s="193">
        <v>6766</v>
      </c>
      <c r="H60" s="192">
        <f>6790-6766</f>
        <v>24</v>
      </c>
      <c r="I60" s="193">
        <v>100</v>
      </c>
      <c r="J60" s="267">
        <f t="shared" ref="J60:J82" si="6">I60*H60</f>
        <v>2400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44838</v>
      </c>
      <c r="D61" s="196" t="s">
        <v>23</v>
      </c>
      <c r="E61" s="196" t="s">
        <v>25</v>
      </c>
      <c r="F61" s="197">
        <v>6890</v>
      </c>
      <c r="G61" s="197">
        <v>6875</v>
      </c>
      <c r="H61" s="196">
        <f>6890-6875</f>
        <v>15</v>
      </c>
      <c r="I61" s="197">
        <v>100</v>
      </c>
      <c r="J61" s="268">
        <f t="shared" si="6"/>
        <v>1500</v>
      </c>
      <c r="K61" s="185"/>
      <c r="V61" s="183">
        <f t="shared" ref="V61:V82" si="7">IF($J61&gt;0,1,0)</f>
        <v>1</v>
      </c>
      <c r="W61" s="183">
        <f t="shared" ref="W61:W82" si="8">IF($J61&lt;0,1,0)</f>
        <v>0</v>
      </c>
    </row>
    <row r="62" spans="1:23" x14ac:dyDescent="0.3">
      <c r="A62" s="184"/>
      <c r="B62" s="194">
        <v>3</v>
      </c>
      <c r="C62" s="195">
        <v>44840</v>
      </c>
      <c r="D62" s="196" t="s">
        <v>23</v>
      </c>
      <c r="E62" s="196" t="s">
        <v>25</v>
      </c>
      <c r="F62" s="197">
        <v>7210</v>
      </c>
      <c r="G62" s="197">
        <v>7170</v>
      </c>
      <c r="H62" s="196">
        <v>4</v>
      </c>
      <c r="I62" s="197">
        <v>100</v>
      </c>
      <c r="J62" s="268">
        <f t="shared" si="6"/>
        <v>400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4</v>
      </c>
      <c r="C63" s="195">
        <v>44841</v>
      </c>
      <c r="D63" s="196" t="s">
        <v>23</v>
      </c>
      <c r="E63" s="196" t="s">
        <v>25</v>
      </c>
      <c r="F63" s="197">
        <v>7290</v>
      </c>
      <c r="G63" s="197">
        <v>7330</v>
      </c>
      <c r="H63" s="196">
        <f>7330-7290</f>
        <v>40</v>
      </c>
      <c r="I63" s="197">
        <v>100</v>
      </c>
      <c r="J63" s="268">
        <f t="shared" si="6"/>
        <v>4000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5</v>
      </c>
      <c r="C64" s="195">
        <v>44844</v>
      </c>
      <c r="D64" s="196" t="s">
        <v>23</v>
      </c>
      <c r="E64" s="196" t="s">
        <v>25</v>
      </c>
      <c r="F64" s="197">
        <v>7575</v>
      </c>
      <c r="G64" s="197">
        <v>7545</v>
      </c>
      <c r="H64" s="196">
        <v>30</v>
      </c>
      <c r="I64" s="197">
        <v>100</v>
      </c>
      <c r="J64" s="268">
        <f t="shared" si="6"/>
        <v>3000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6</v>
      </c>
      <c r="C65" s="195">
        <v>44845</v>
      </c>
      <c r="D65" s="196" t="s">
        <v>23</v>
      </c>
      <c r="E65" s="196" t="s">
        <v>25</v>
      </c>
      <c r="F65" s="197">
        <v>7300</v>
      </c>
      <c r="G65" s="197">
        <v>7340</v>
      </c>
      <c r="H65" s="196">
        <v>-40</v>
      </c>
      <c r="I65" s="197">
        <v>100</v>
      </c>
      <c r="J65" s="268">
        <f t="shared" si="6"/>
        <v>-4000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7</v>
      </c>
      <c r="C66" s="195">
        <v>44846</v>
      </c>
      <c r="D66" s="196" t="s">
        <v>23</v>
      </c>
      <c r="E66" s="196" t="s">
        <v>25</v>
      </c>
      <c r="F66" s="222">
        <v>7360</v>
      </c>
      <c r="G66" s="222">
        <v>7400</v>
      </c>
      <c r="H66" s="196">
        <v>-40</v>
      </c>
      <c r="I66" s="197">
        <v>100</v>
      </c>
      <c r="J66" s="268">
        <f t="shared" si="6"/>
        <v>-4000</v>
      </c>
      <c r="K66" s="185"/>
      <c r="V66" s="183">
        <f t="shared" si="7"/>
        <v>0</v>
      </c>
      <c r="W66" s="183">
        <f t="shared" si="8"/>
        <v>1</v>
      </c>
    </row>
    <row r="67" spans="1:23" x14ac:dyDescent="0.3">
      <c r="A67" s="184"/>
      <c r="B67" s="194">
        <v>8</v>
      </c>
      <c r="C67" s="195">
        <v>44847</v>
      </c>
      <c r="D67" s="196" t="s">
        <v>23</v>
      </c>
      <c r="E67" s="196" t="s">
        <v>25</v>
      </c>
      <c r="F67" s="197">
        <v>7220</v>
      </c>
      <c r="G67" s="197">
        <v>7150</v>
      </c>
      <c r="H67" s="196">
        <f>7220-7150</f>
        <v>70</v>
      </c>
      <c r="I67" s="197">
        <v>100</v>
      </c>
      <c r="J67" s="268">
        <f t="shared" si="6"/>
        <v>7000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44848</v>
      </c>
      <c r="D68" s="196" t="s">
        <v>23</v>
      </c>
      <c r="E68" s="196" t="s">
        <v>25</v>
      </c>
      <c r="F68" s="197">
        <v>7270</v>
      </c>
      <c r="G68" s="197">
        <v>7200</v>
      </c>
      <c r="H68" s="196">
        <v>70</v>
      </c>
      <c r="I68" s="197">
        <v>100</v>
      </c>
      <c r="J68" s="268">
        <f t="shared" si="6"/>
        <v>7000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44851</v>
      </c>
      <c r="D69" s="196" t="s">
        <v>23</v>
      </c>
      <c r="E69" s="196" t="s">
        <v>25</v>
      </c>
      <c r="F69" s="197">
        <v>7040</v>
      </c>
      <c r="G69" s="197">
        <v>7080</v>
      </c>
      <c r="H69" s="196">
        <v>-40</v>
      </c>
      <c r="I69" s="197">
        <v>100</v>
      </c>
      <c r="J69" s="268">
        <f t="shared" si="6"/>
        <v>-4000</v>
      </c>
      <c r="K69" s="185"/>
      <c r="V69" s="183">
        <f t="shared" si="7"/>
        <v>0</v>
      </c>
      <c r="W69" s="183">
        <f t="shared" si="8"/>
        <v>1</v>
      </c>
    </row>
    <row r="70" spans="1:23" x14ac:dyDescent="0.3">
      <c r="A70" s="184"/>
      <c r="B70" s="194">
        <v>11</v>
      </c>
      <c r="C70" s="195">
        <v>44852</v>
      </c>
      <c r="D70" s="196" t="s">
        <v>23</v>
      </c>
      <c r="E70" s="196" t="s">
        <v>25</v>
      </c>
      <c r="F70" s="197">
        <v>7070</v>
      </c>
      <c r="G70" s="197">
        <v>7000</v>
      </c>
      <c r="H70" s="196">
        <v>70</v>
      </c>
      <c r="I70" s="197">
        <v>100</v>
      </c>
      <c r="J70" s="268">
        <f t="shared" si="6"/>
        <v>7000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44853</v>
      </c>
      <c r="D71" s="196" t="s">
        <v>23</v>
      </c>
      <c r="E71" s="196" t="s">
        <v>25</v>
      </c>
      <c r="F71" s="197">
        <v>6910</v>
      </c>
      <c r="G71" s="197">
        <v>6870</v>
      </c>
      <c r="H71" s="196">
        <f>6910-6870</f>
        <v>40</v>
      </c>
      <c r="I71" s="197">
        <v>100</v>
      </c>
      <c r="J71" s="268">
        <f t="shared" si="6"/>
        <v>4000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44854</v>
      </c>
      <c r="D72" s="196" t="s">
        <v>23</v>
      </c>
      <c r="E72" s="196" t="s">
        <v>25</v>
      </c>
      <c r="F72" s="197">
        <v>7140</v>
      </c>
      <c r="G72" s="197">
        <v>7098</v>
      </c>
      <c r="H72" s="196">
        <f>7140-7098</f>
        <v>42</v>
      </c>
      <c r="I72" s="197">
        <v>100</v>
      </c>
      <c r="J72" s="268">
        <f t="shared" si="6"/>
        <v>4200</v>
      </c>
      <c r="K72" s="185"/>
      <c r="V72" s="183">
        <f t="shared" si="7"/>
        <v>1</v>
      </c>
      <c r="W72" s="183">
        <f t="shared" si="8"/>
        <v>0</v>
      </c>
    </row>
    <row r="73" spans="1:23" x14ac:dyDescent="0.3">
      <c r="A73" s="184"/>
      <c r="B73" s="194">
        <v>14</v>
      </c>
      <c r="C73" s="195">
        <v>44855</v>
      </c>
      <c r="D73" s="196" t="s">
        <v>23</v>
      </c>
      <c r="E73" s="196" t="s">
        <v>25</v>
      </c>
      <c r="F73" s="197">
        <v>6935</v>
      </c>
      <c r="G73" s="197">
        <v>6905</v>
      </c>
      <c r="H73" s="196">
        <f>6935-6905</f>
        <v>30</v>
      </c>
      <c r="I73" s="197">
        <v>100</v>
      </c>
      <c r="J73" s="268">
        <f t="shared" si="6"/>
        <v>3000</v>
      </c>
      <c r="K73" s="185"/>
      <c r="V73" s="183">
        <f t="shared" si="7"/>
        <v>1</v>
      </c>
      <c r="W73" s="183">
        <f t="shared" si="8"/>
        <v>0</v>
      </c>
    </row>
    <row r="74" spans="1:23" x14ac:dyDescent="0.3">
      <c r="A74" s="184"/>
      <c r="B74" s="194">
        <v>15</v>
      </c>
      <c r="C74" s="195">
        <v>44865</v>
      </c>
      <c r="D74" s="196" t="s">
        <v>23</v>
      </c>
      <c r="E74" s="196" t="s">
        <v>25</v>
      </c>
      <c r="F74" s="197">
        <v>7230</v>
      </c>
      <c r="G74" s="197">
        <v>7160</v>
      </c>
      <c r="H74" s="196">
        <f>7230-7160</f>
        <v>70</v>
      </c>
      <c r="I74" s="197">
        <v>100</v>
      </c>
      <c r="J74" s="268">
        <f t="shared" si="6"/>
        <v>7000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/>
      <c r="D75" s="196"/>
      <c r="E75" s="196"/>
      <c r="F75" s="197"/>
      <c r="G75" s="197"/>
      <c r="H75" s="196"/>
      <c r="I75" s="197"/>
      <c r="J75" s="268">
        <f t="shared" si="6"/>
        <v>0</v>
      </c>
      <c r="K75" s="185"/>
      <c r="V75" s="183">
        <f t="shared" si="7"/>
        <v>0</v>
      </c>
      <c r="W75" s="183">
        <f t="shared" si="8"/>
        <v>0</v>
      </c>
    </row>
    <row r="76" spans="1:23" x14ac:dyDescent="0.3">
      <c r="A76" s="184"/>
      <c r="B76" s="194">
        <v>17</v>
      </c>
      <c r="C76" s="195"/>
      <c r="D76" s="196"/>
      <c r="E76" s="196"/>
      <c r="F76" s="197"/>
      <c r="G76" s="197"/>
      <c r="H76" s="196"/>
      <c r="I76" s="197"/>
      <c r="J76" s="268">
        <f t="shared" si="6"/>
        <v>0</v>
      </c>
      <c r="K76" s="185"/>
      <c r="V76" s="183">
        <f t="shared" si="7"/>
        <v>0</v>
      </c>
      <c r="W76" s="183">
        <f t="shared" si="8"/>
        <v>0</v>
      </c>
    </row>
    <row r="77" spans="1:23" x14ac:dyDescent="0.3">
      <c r="A77" s="255"/>
      <c r="B77" s="194">
        <v>18</v>
      </c>
      <c r="C77" s="195"/>
      <c r="D77" s="196"/>
      <c r="E77" s="196"/>
      <c r="F77" s="197"/>
      <c r="G77" s="197"/>
      <c r="H77" s="196"/>
      <c r="I77" s="197"/>
      <c r="J77" s="268">
        <f t="shared" si="6"/>
        <v>0</v>
      </c>
      <c r="K77" s="185"/>
      <c r="V77" s="183">
        <f t="shared" si="7"/>
        <v>0</v>
      </c>
      <c r="W77" s="183">
        <f t="shared" si="8"/>
        <v>0</v>
      </c>
    </row>
    <row r="78" spans="1:23" x14ac:dyDescent="0.3">
      <c r="A78" s="184"/>
      <c r="B78" s="194">
        <v>19</v>
      </c>
      <c r="C78" s="195"/>
      <c r="D78" s="196"/>
      <c r="E78" s="196"/>
      <c r="F78" s="197"/>
      <c r="G78" s="197"/>
      <c r="H78" s="196"/>
      <c r="I78" s="197"/>
      <c r="J78" s="268">
        <f t="shared" si="6"/>
        <v>0</v>
      </c>
      <c r="K78" s="185"/>
      <c r="V78" s="183">
        <f t="shared" si="7"/>
        <v>0</v>
      </c>
      <c r="W78" s="183">
        <f t="shared" si="8"/>
        <v>0</v>
      </c>
    </row>
    <row r="79" spans="1:23" x14ac:dyDescent="0.3">
      <c r="A79" s="184"/>
      <c r="B79" s="194">
        <v>20</v>
      </c>
      <c r="C79" s="195"/>
      <c r="D79" s="196"/>
      <c r="E79" s="196"/>
      <c r="F79" s="197"/>
      <c r="G79" s="197"/>
      <c r="H79" s="196"/>
      <c r="I79" s="197"/>
      <c r="J79" s="268">
        <f t="shared" si="6"/>
        <v>0</v>
      </c>
      <c r="K79" s="185"/>
      <c r="V79" s="183">
        <f t="shared" si="7"/>
        <v>0</v>
      </c>
      <c r="W79" s="183">
        <f t="shared" si="8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6"/>
        <v>0</v>
      </c>
      <c r="K80" s="185"/>
      <c r="V80" s="183">
        <f t="shared" si="7"/>
        <v>0</v>
      </c>
      <c r="W80" s="183">
        <f t="shared" si="8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6"/>
        <v>0</v>
      </c>
      <c r="K81" s="185"/>
      <c r="V81" s="183">
        <f t="shared" si="7"/>
        <v>0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38500</v>
      </c>
      <c r="K83" s="185"/>
      <c r="V83" s="183">
        <f>SUM(V60:V82)</f>
        <v>12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44835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44837</v>
      </c>
      <c r="D91" s="216" t="s">
        <v>23</v>
      </c>
      <c r="E91" s="256" t="s">
        <v>28</v>
      </c>
      <c r="F91" s="256">
        <v>270.60000000000002</v>
      </c>
      <c r="G91" s="256">
        <v>268.60000000000002</v>
      </c>
      <c r="H91" s="256">
        <f>270.6-268.6</f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44838</v>
      </c>
      <c r="D92" s="196" t="s">
        <v>23</v>
      </c>
      <c r="E92" s="222" t="s">
        <v>28</v>
      </c>
      <c r="F92" s="222">
        <v>272.5</v>
      </c>
      <c r="G92" s="222">
        <v>271.5</v>
      </c>
      <c r="H92" s="222">
        <v>1</v>
      </c>
      <c r="I92" s="197">
        <v>5000</v>
      </c>
      <c r="J92" s="268">
        <f t="shared" ref="J92:J113" si="9">I92*H92</f>
        <v>5000</v>
      </c>
      <c r="K92" s="185"/>
      <c r="V92" s="183">
        <f t="shared" ref="V92:V113" si="10">IF($J92&gt;0,1,0)</f>
        <v>1</v>
      </c>
      <c r="W92" s="183">
        <f t="shared" ref="W92:W113" si="11">IF($J92&lt;0,1,0)</f>
        <v>0</v>
      </c>
    </row>
    <row r="93" spans="1:23" x14ac:dyDescent="0.3">
      <c r="A93" s="184"/>
      <c r="B93" s="194">
        <v>3</v>
      </c>
      <c r="C93" s="195">
        <v>44840</v>
      </c>
      <c r="D93" s="196" t="s">
        <v>16</v>
      </c>
      <c r="E93" s="222" t="s">
        <v>28</v>
      </c>
      <c r="F93" s="222">
        <v>286</v>
      </c>
      <c r="G93" s="222">
        <v>286.60000000000002</v>
      </c>
      <c r="H93" s="222">
        <v>0.6</v>
      </c>
      <c r="I93" s="197">
        <v>5000</v>
      </c>
      <c r="J93" s="268">
        <f t="shared" si="9"/>
        <v>3000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44841</v>
      </c>
      <c r="D94" s="196" t="s">
        <v>23</v>
      </c>
      <c r="E94" s="222" t="s">
        <v>28</v>
      </c>
      <c r="F94" s="222">
        <v>281.5</v>
      </c>
      <c r="G94" s="222">
        <v>279.5</v>
      </c>
      <c r="H94" s="222">
        <v>2</v>
      </c>
      <c r="I94" s="197">
        <v>5000</v>
      </c>
      <c r="J94" s="268">
        <f t="shared" si="9"/>
        <v>10000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5</v>
      </c>
      <c r="C95" s="195">
        <v>44844</v>
      </c>
      <c r="D95" s="196" t="s">
        <v>23</v>
      </c>
      <c r="E95" s="222" t="s">
        <v>28</v>
      </c>
      <c r="F95" s="222">
        <v>276.2</v>
      </c>
      <c r="G95" s="222">
        <v>277.2</v>
      </c>
      <c r="H95" s="222">
        <v>-1</v>
      </c>
      <c r="I95" s="197">
        <v>5000</v>
      </c>
      <c r="J95" s="268">
        <f t="shared" si="9"/>
        <v>-5000</v>
      </c>
      <c r="K95" s="185"/>
      <c r="V95" s="183">
        <f t="shared" si="10"/>
        <v>0</v>
      </c>
      <c r="W95" s="183">
        <f t="shared" si="11"/>
        <v>1</v>
      </c>
    </row>
    <row r="96" spans="1:23" x14ac:dyDescent="0.3">
      <c r="A96" s="184"/>
      <c r="B96" s="194">
        <v>6</v>
      </c>
      <c r="C96" s="195">
        <v>44845</v>
      </c>
      <c r="D96" s="196" t="s">
        <v>16</v>
      </c>
      <c r="E96" s="222" t="s">
        <v>28</v>
      </c>
      <c r="F96" s="222">
        <v>271</v>
      </c>
      <c r="G96" s="222">
        <v>273</v>
      </c>
      <c r="H96" s="222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7</v>
      </c>
      <c r="C97" s="195">
        <v>44846</v>
      </c>
      <c r="D97" s="196" t="s">
        <v>23</v>
      </c>
      <c r="E97" s="222" t="s">
        <v>28</v>
      </c>
      <c r="F97" s="222">
        <v>273</v>
      </c>
      <c r="G97" s="222">
        <v>271.5</v>
      </c>
      <c r="H97" s="274">
        <f>273-271.5</f>
        <v>1.5</v>
      </c>
      <c r="I97" s="197">
        <v>5000</v>
      </c>
      <c r="J97" s="268">
        <f t="shared" si="9"/>
        <v>7500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8</v>
      </c>
      <c r="C98" s="195">
        <v>44847</v>
      </c>
      <c r="D98" s="196" t="s">
        <v>23</v>
      </c>
      <c r="E98" s="222" t="s">
        <v>28</v>
      </c>
      <c r="F98" s="222">
        <v>272.60000000000002</v>
      </c>
      <c r="G98" s="222">
        <v>270.60000000000002</v>
      </c>
      <c r="H98" s="222">
        <v>2</v>
      </c>
      <c r="I98" s="197">
        <v>5000</v>
      </c>
      <c r="J98" s="268">
        <f t="shared" si="9"/>
        <v>10000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44848</v>
      </c>
      <c r="D99" s="196" t="s">
        <v>23</v>
      </c>
      <c r="E99" s="222" t="s">
        <v>28</v>
      </c>
      <c r="F99" s="222">
        <v>272.60000000000002</v>
      </c>
      <c r="G99" s="222">
        <v>271.85000000000002</v>
      </c>
      <c r="H99" s="222">
        <f>272.6-271.85</f>
        <v>0.75</v>
      </c>
      <c r="I99" s="197">
        <v>5000</v>
      </c>
      <c r="J99" s="268">
        <f t="shared" si="9"/>
        <v>3750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44851</v>
      </c>
      <c r="D100" s="196" t="s">
        <v>23</v>
      </c>
      <c r="E100" s="222" t="s">
        <v>28</v>
      </c>
      <c r="F100" s="222">
        <v>267</v>
      </c>
      <c r="G100" s="222">
        <v>266.55</v>
      </c>
      <c r="H100" s="222">
        <f>267-266.55</f>
        <v>0.44999999999998863</v>
      </c>
      <c r="I100" s="197">
        <v>5000</v>
      </c>
      <c r="J100" s="268">
        <f t="shared" si="9"/>
        <v>2249.9999999999432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44852</v>
      </c>
      <c r="D101" s="196" t="s">
        <v>23</v>
      </c>
      <c r="E101" s="222" t="s">
        <v>28</v>
      </c>
      <c r="F101" s="222">
        <v>263.39999999999998</v>
      </c>
      <c r="G101" s="222">
        <v>262.89999999999998</v>
      </c>
      <c r="H101" s="274">
        <f>263.4-262.9</f>
        <v>0.5</v>
      </c>
      <c r="I101" s="197">
        <v>5000</v>
      </c>
      <c r="J101" s="268">
        <f t="shared" si="9"/>
        <v>2500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44853</v>
      </c>
      <c r="D102" s="196" t="s">
        <v>23</v>
      </c>
      <c r="E102" s="222" t="s">
        <v>28</v>
      </c>
      <c r="F102" s="222">
        <v>266.5</v>
      </c>
      <c r="G102" s="222">
        <v>267.5</v>
      </c>
      <c r="H102" s="274">
        <v>-1</v>
      </c>
      <c r="I102" s="197">
        <v>5000</v>
      </c>
      <c r="J102" s="268">
        <f t="shared" si="9"/>
        <v>-5000</v>
      </c>
      <c r="K102" s="185"/>
      <c r="V102" s="183">
        <f t="shared" si="10"/>
        <v>0</v>
      </c>
      <c r="W102" s="183">
        <f t="shared" si="11"/>
        <v>1</v>
      </c>
    </row>
    <row r="103" spans="1:23" x14ac:dyDescent="0.3">
      <c r="A103" s="184"/>
      <c r="B103" s="194">
        <v>13</v>
      </c>
      <c r="C103" s="195">
        <v>44854</v>
      </c>
      <c r="D103" s="196" t="s">
        <v>23</v>
      </c>
      <c r="E103" s="222" t="s">
        <v>28</v>
      </c>
      <c r="F103" s="222">
        <v>269.7</v>
      </c>
      <c r="G103" s="222">
        <v>268.7</v>
      </c>
      <c r="H103" s="274">
        <v>1</v>
      </c>
      <c r="I103" s="197">
        <v>5000</v>
      </c>
      <c r="J103" s="268">
        <f t="shared" si="9"/>
        <v>5000</v>
      </c>
      <c r="K103" s="185"/>
      <c r="V103" s="183">
        <f t="shared" si="10"/>
        <v>1</v>
      </c>
      <c r="W103" s="183">
        <f t="shared" si="11"/>
        <v>0</v>
      </c>
    </row>
    <row r="104" spans="1:23" x14ac:dyDescent="0.3">
      <c r="A104" s="184"/>
      <c r="B104" s="194">
        <v>14</v>
      </c>
      <c r="C104" s="195">
        <v>44855</v>
      </c>
      <c r="D104" s="196" t="s">
        <v>16</v>
      </c>
      <c r="E104" s="222" t="s">
        <v>28</v>
      </c>
      <c r="F104" s="222">
        <v>273.3</v>
      </c>
      <c r="G104" s="222">
        <v>273.75</v>
      </c>
      <c r="H104" s="274">
        <f>273.75-273.3</f>
        <v>0.44999999999998863</v>
      </c>
      <c r="I104" s="197">
        <v>5000</v>
      </c>
      <c r="J104" s="268">
        <f t="shared" si="9"/>
        <v>2249.9999999999432</v>
      </c>
      <c r="K104" s="185"/>
      <c r="V104" s="183">
        <f t="shared" si="10"/>
        <v>1</v>
      </c>
      <c r="W104" s="183">
        <f t="shared" si="11"/>
        <v>0</v>
      </c>
    </row>
    <row r="105" spans="1:23" x14ac:dyDescent="0.3">
      <c r="A105" s="184"/>
      <c r="B105" s="194">
        <v>15</v>
      </c>
      <c r="C105" s="195">
        <v>44865</v>
      </c>
      <c r="D105" s="196" t="s">
        <v>16</v>
      </c>
      <c r="E105" s="196" t="s">
        <v>28</v>
      </c>
      <c r="F105" s="222">
        <v>255</v>
      </c>
      <c r="G105" s="222">
        <v>256</v>
      </c>
      <c r="H105" s="222">
        <v>1</v>
      </c>
      <c r="I105" s="197">
        <v>5000</v>
      </c>
      <c r="J105" s="268">
        <f t="shared" si="9"/>
        <v>5000</v>
      </c>
      <c r="K105" s="185"/>
      <c r="V105" s="183">
        <f t="shared" si="10"/>
        <v>1</v>
      </c>
      <c r="W105" s="183">
        <f t="shared" si="11"/>
        <v>0</v>
      </c>
    </row>
    <row r="106" spans="1:23" x14ac:dyDescent="0.3">
      <c r="A106" s="184"/>
      <c r="B106" s="194">
        <v>16</v>
      </c>
      <c r="C106" s="195"/>
      <c r="D106" s="196"/>
      <c r="E106" s="196"/>
      <c r="F106" s="222"/>
      <c r="G106" s="197"/>
      <c r="H106" s="274"/>
      <c r="I106" s="197"/>
      <c r="J106" s="268">
        <f t="shared" si="9"/>
        <v>0</v>
      </c>
      <c r="K106" s="185"/>
      <c r="V106" s="183">
        <f t="shared" si="10"/>
        <v>0</v>
      </c>
      <c r="W106" s="183">
        <f t="shared" si="11"/>
        <v>0</v>
      </c>
    </row>
    <row r="107" spans="1:23" x14ac:dyDescent="0.3">
      <c r="A107" s="184"/>
      <c r="B107" s="194">
        <v>17</v>
      </c>
      <c r="C107" s="195"/>
      <c r="D107" s="196"/>
      <c r="E107" s="196"/>
      <c r="F107" s="222"/>
      <c r="G107" s="222"/>
      <c r="H107" s="274"/>
      <c r="I107" s="197"/>
      <c r="J107" s="268">
        <f t="shared" si="9"/>
        <v>0</v>
      </c>
      <c r="K107" s="185"/>
      <c r="V107" s="183">
        <f t="shared" si="10"/>
        <v>0</v>
      </c>
      <c r="W107" s="183">
        <f t="shared" si="11"/>
        <v>0</v>
      </c>
    </row>
    <row r="108" spans="1:23" x14ac:dyDescent="0.3">
      <c r="A108" s="184"/>
      <c r="B108" s="194">
        <v>18</v>
      </c>
      <c r="C108" s="195"/>
      <c r="D108" s="196"/>
      <c r="E108" s="196"/>
      <c r="F108" s="222"/>
      <c r="G108" s="222"/>
      <c r="H108" s="274"/>
      <c r="I108" s="197"/>
      <c r="J108" s="268">
        <f t="shared" si="9"/>
        <v>0</v>
      </c>
      <c r="K108" s="185"/>
      <c r="V108" s="183">
        <f t="shared" si="10"/>
        <v>0</v>
      </c>
      <c r="W108" s="183">
        <f t="shared" si="11"/>
        <v>0</v>
      </c>
    </row>
    <row r="109" spans="1:23" x14ac:dyDescent="0.3">
      <c r="A109" s="184"/>
      <c r="B109" s="194">
        <v>19</v>
      </c>
      <c r="C109" s="195"/>
      <c r="D109" s="196"/>
      <c r="E109" s="196"/>
      <c r="F109" s="222"/>
      <c r="G109" s="222"/>
      <c r="H109" s="274"/>
      <c r="I109" s="197"/>
      <c r="J109" s="268">
        <f t="shared" si="9"/>
        <v>0</v>
      </c>
      <c r="K109" s="185"/>
      <c r="V109" s="183">
        <f t="shared" si="10"/>
        <v>0</v>
      </c>
      <c r="W109" s="183">
        <f t="shared" si="11"/>
        <v>0</v>
      </c>
    </row>
    <row r="110" spans="1:23" x14ac:dyDescent="0.3">
      <c r="A110" s="184"/>
      <c r="B110" s="194">
        <v>20</v>
      </c>
      <c r="C110" s="195"/>
      <c r="D110" s="196"/>
      <c r="E110" s="222"/>
      <c r="F110" s="222"/>
      <c r="G110" s="222"/>
      <c r="H110" s="274"/>
      <c r="I110" s="197"/>
      <c r="J110" s="268">
        <f t="shared" si="9"/>
        <v>0</v>
      </c>
      <c r="K110" s="185"/>
      <c r="V110" s="183">
        <f t="shared" si="10"/>
        <v>0</v>
      </c>
      <c r="W110" s="183">
        <f t="shared" si="11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9"/>
        <v>0</v>
      </c>
      <c r="K111" s="185"/>
      <c r="V111" s="183">
        <f t="shared" si="10"/>
        <v>0</v>
      </c>
      <c r="W111" s="183">
        <f t="shared" si="11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9"/>
        <v>0</v>
      </c>
      <c r="K112" s="185"/>
      <c r="V112" s="183">
        <f t="shared" si="10"/>
        <v>0</v>
      </c>
      <c r="W112" s="183">
        <f t="shared" si="11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9"/>
        <v>0</v>
      </c>
      <c r="K113" s="185"/>
      <c r="V113" s="183">
        <f t="shared" si="10"/>
        <v>0</v>
      </c>
      <c r="W113" s="183">
        <f t="shared" si="11"/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66249.999999999884</v>
      </c>
      <c r="K114" s="185"/>
      <c r="V114" s="183">
        <f>SUM(V91:V113)</f>
        <v>13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7600-000000000000}"/>
    <hyperlink ref="B83" r:id="rId2" xr:uid="{00000000-0004-0000-7600-000001000000}"/>
    <hyperlink ref="M4:M5" location="'OCT 2022'!A1" display="BULLION" xr:uid="{00000000-0004-0000-7600-000002000000}"/>
    <hyperlink ref="B114" r:id="rId3" xr:uid="{00000000-0004-0000-7600-000003000000}"/>
    <hyperlink ref="M8:M9" location="'OCT 2022'!A86" display="BASE METAL" xr:uid="{00000000-0004-0000-7600-000004000000}"/>
    <hyperlink ref="M1" location="MASTER!A1" display="Back" xr:uid="{00000000-0004-0000-7600-000005000000}"/>
    <hyperlink ref="M6:M7" location="'OCT 2022'!A54" display="ENERGY" xr:uid="{00000000-0004-0000-7600-000006000000}"/>
  </hyperlinks>
  <pageMargins left="0" right="0" top="0" bottom="0" header="0" footer="0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74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91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41285</v>
      </c>
      <c r="C5" s="24" t="s">
        <v>23</v>
      </c>
      <c r="D5" s="22" t="s">
        <v>24</v>
      </c>
      <c r="E5" s="23">
        <v>30000</v>
      </c>
      <c r="F5" s="49">
        <v>29800</v>
      </c>
      <c r="G5" s="29">
        <v>100</v>
      </c>
      <c r="H5" s="29">
        <v>20000</v>
      </c>
      <c r="I5" s="20"/>
    </row>
    <row r="6" spans="1:10" x14ac:dyDescent="0.3">
      <c r="A6" s="20"/>
      <c r="B6" s="35">
        <v>41405</v>
      </c>
      <c r="C6" s="24" t="s">
        <v>23</v>
      </c>
      <c r="D6" s="22" t="s">
        <v>24</v>
      </c>
      <c r="E6" s="23">
        <v>29800</v>
      </c>
      <c r="F6" s="49" t="s">
        <v>109</v>
      </c>
      <c r="G6" s="29">
        <v>100</v>
      </c>
      <c r="H6" s="29">
        <v>9000</v>
      </c>
      <c r="I6" s="20"/>
    </row>
    <row r="7" spans="1:10" x14ac:dyDescent="0.3">
      <c r="A7" s="20"/>
      <c r="B7" s="35" t="s">
        <v>77</v>
      </c>
      <c r="C7" s="24" t="s">
        <v>16</v>
      </c>
      <c r="D7" s="22" t="s">
        <v>22</v>
      </c>
      <c r="E7" s="23">
        <v>48200</v>
      </c>
      <c r="F7" s="49" t="s">
        <v>110</v>
      </c>
      <c r="G7" s="29">
        <v>30</v>
      </c>
      <c r="H7" s="29">
        <v>18000</v>
      </c>
      <c r="I7" s="20"/>
    </row>
    <row r="8" spans="1:10" x14ac:dyDescent="0.3">
      <c r="A8" s="20"/>
      <c r="B8" s="35">
        <v>41466</v>
      </c>
      <c r="C8" s="24" t="s">
        <v>16</v>
      </c>
      <c r="D8" s="22" t="s">
        <v>24</v>
      </c>
      <c r="E8" s="23">
        <v>30000</v>
      </c>
      <c r="F8" s="49" t="s">
        <v>111</v>
      </c>
      <c r="G8" s="29">
        <v>100</v>
      </c>
      <c r="H8" s="29">
        <v>10000</v>
      </c>
      <c r="I8" s="20"/>
    </row>
    <row r="9" spans="1:10" x14ac:dyDescent="0.3">
      <c r="A9" s="20"/>
      <c r="B9" s="35">
        <v>41497</v>
      </c>
      <c r="C9" s="24" t="s">
        <v>55</v>
      </c>
      <c r="D9" s="22" t="s">
        <v>24</v>
      </c>
      <c r="E9" s="23">
        <v>29980</v>
      </c>
      <c r="F9" s="49">
        <v>30068</v>
      </c>
      <c r="G9" s="29">
        <v>100</v>
      </c>
      <c r="H9" s="29">
        <v>8800</v>
      </c>
      <c r="I9" s="20"/>
    </row>
    <row r="10" spans="1:10" x14ac:dyDescent="0.3">
      <c r="A10" s="20"/>
      <c r="B10" s="35">
        <v>41589</v>
      </c>
      <c r="C10" s="24" t="s">
        <v>16</v>
      </c>
      <c r="D10" s="22" t="s">
        <v>24</v>
      </c>
      <c r="E10" s="23">
        <v>29810</v>
      </c>
      <c r="F10" s="49" t="s">
        <v>112</v>
      </c>
      <c r="G10" s="29">
        <v>100</v>
      </c>
      <c r="H10" s="29">
        <v>4000</v>
      </c>
      <c r="I10" s="20"/>
    </row>
    <row r="11" spans="1:10" x14ac:dyDescent="0.3">
      <c r="A11" s="20"/>
      <c r="B11" s="35">
        <v>41619</v>
      </c>
      <c r="C11" s="24" t="s">
        <v>55</v>
      </c>
      <c r="D11" s="22" t="s">
        <v>24</v>
      </c>
      <c r="E11" s="23">
        <v>30150</v>
      </c>
      <c r="F11" s="49" t="s">
        <v>113</v>
      </c>
      <c r="G11" s="29">
        <v>100</v>
      </c>
      <c r="H11" s="29">
        <v>10000</v>
      </c>
      <c r="I11" s="20"/>
    </row>
    <row r="12" spans="1:10" x14ac:dyDescent="0.3">
      <c r="A12" s="20"/>
      <c r="B12" s="35" t="s">
        <v>78</v>
      </c>
      <c r="C12" s="24" t="s">
        <v>55</v>
      </c>
      <c r="D12" s="22" t="s">
        <v>24</v>
      </c>
      <c r="E12" s="23">
        <v>30210</v>
      </c>
      <c r="F12" s="49" t="s">
        <v>114</v>
      </c>
      <c r="G12" s="29">
        <v>100</v>
      </c>
      <c r="H12" s="29">
        <v>-7000</v>
      </c>
      <c r="I12" s="20"/>
    </row>
    <row r="13" spans="1:10" x14ac:dyDescent="0.3">
      <c r="A13" s="20"/>
      <c r="B13" s="35" t="s">
        <v>79</v>
      </c>
      <c r="C13" s="24" t="s">
        <v>55</v>
      </c>
      <c r="D13" s="22" t="s">
        <v>24</v>
      </c>
      <c r="E13" s="23">
        <v>30150</v>
      </c>
      <c r="F13" s="49" t="s">
        <v>115</v>
      </c>
      <c r="G13" s="29">
        <v>100</v>
      </c>
      <c r="H13" s="29">
        <v>10500</v>
      </c>
      <c r="I13" s="20"/>
    </row>
    <row r="14" spans="1:10" x14ac:dyDescent="0.3">
      <c r="A14" s="20"/>
      <c r="B14" s="35" t="s">
        <v>80</v>
      </c>
      <c r="C14" s="24" t="s">
        <v>55</v>
      </c>
      <c r="D14" s="22" t="s">
        <v>24</v>
      </c>
      <c r="E14" s="23">
        <v>30260</v>
      </c>
      <c r="F14" s="49" t="s">
        <v>116</v>
      </c>
      <c r="G14" s="29">
        <v>100</v>
      </c>
      <c r="H14" s="29">
        <v>6500</v>
      </c>
      <c r="I14" s="20"/>
    </row>
    <row r="15" spans="1:10" x14ac:dyDescent="0.3">
      <c r="A15" s="20"/>
      <c r="B15" s="35" t="s">
        <v>81</v>
      </c>
      <c r="C15" s="24" t="s">
        <v>55</v>
      </c>
      <c r="D15" s="22" t="s">
        <v>24</v>
      </c>
      <c r="E15" s="23">
        <v>30300</v>
      </c>
      <c r="F15" s="49" t="s">
        <v>117</v>
      </c>
      <c r="G15" s="29">
        <v>100</v>
      </c>
      <c r="H15" s="29">
        <v>-6000</v>
      </c>
      <c r="I15" s="20"/>
    </row>
    <row r="16" spans="1:10" x14ac:dyDescent="0.3">
      <c r="A16" s="20"/>
      <c r="B16" s="35" t="s">
        <v>82</v>
      </c>
      <c r="C16" s="24" t="s">
        <v>23</v>
      </c>
      <c r="D16" s="22" t="s">
        <v>24</v>
      </c>
      <c r="E16" s="23">
        <v>30050</v>
      </c>
      <c r="F16" s="49" t="s">
        <v>118</v>
      </c>
      <c r="G16" s="29">
        <v>100</v>
      </c>
      <c r="H16" s="29">
        <v>9000</v>
      </c>
      <c r="I16" s="20"/>
    </row>
    <row r="17" spans="1:11" x14ac:dyDescent="0.3">
      <c r="A17" s="20"/>
      <c r="B17" s="35" t="s">
        <v>83</v>
      </c>
      <c r="C17" s="24" t="s">
        <v>55</v>
      </c>
      <c r="D17" s="22" t="s">
        <v>24</v>
      </c>
      <c r="E17" s="23">
        <v>30440</v>
      </c>
      <c r="F17" s="49" t="s">
        <v>119</v>
      </c>
      <c r="G17" s="29">
        <v>100</v>
      </c>
      <c r="H17" s="29">
        <v>-6000</v>
      </c>
      <c r="I17" s="20"/>
      <c r="K17" s="31"/>
    </row>
    <row r="18" spans="1:11" x14ac:dyDescent="0.3">
      <c r="A18" s="20"/>
      <c r="B18" s="35" t="s">
        <v>84</v>
      </c>
      <c r="C18" s="24" t="s">
        <v>16</v>
      </c>
      <c r="D18" s="22" t="s">
        <v>24</v>
      </c>
      <c r="E18" s="23">
        <v>30040</v>
      </c>
      <c r="F18" s="49" t="s">
        <v>120</v>
      </c>
      <c r="G18" s="29">
        <v>100</v>
      </c>
      <c r="H18" s="29">
        <v>18000</v>
      </c>
      <c r="I18" s="20"/>
    </row>
    <row r="19" spans="1:11" x14ac:dyDescent="0.3">
      <c r="A19" s="20"/>
      <c r="B19" s="47" t="s">
        <v>85</v>
      </c>
      <c r="C19" s="24" t="s">
        <v>16</v>
      </c>
      <c r="D19" s="22" t="s">
        <v>9</v>
      </c>
      <c r="E19" s="23">
        <v>30220</v>
      </c>
      <c r="F19" s="49">
        <v>30290</v>
      </c>
      <c r="G19" s="29">
        <v>100</v>
      </c>
      <c r="H19" s="29">
        <v>7000</v>
      </c>
      <c r="I19" s="20"/>
    </row>
    <row r="20" spans="1:11" x14ac:dyDescent="0.3">
      <c r="A20" s="20"/>
      <c r="B20" s="35" t="s">
        <v>86</v>
      </c>
      <c r="C20" s="24" t="s">
        <v>23</v>
      </c>
      <c r="D20" s="22" t="s">
        <v>24</v>
      </c>
      <c r="E20" s="23">
        <v>29650</v>
      </c>
      <c r="F20" s="49" t="s">
        <v>121</v>
      </c>
      <c r="G20" s="29">
        <v>100</v>
      </c>
      <c r="H20" s="50">
        <v>-9000</v>
      </c>
      <c r="I20" s="20"/>
    </row>
    <row r="21" spans="1:11" x14ac:dyDescent="0.3">
      <c r="A21" s="20"/>
      <c r="B21" s="35" t="s">
        <v>87</v>
      </c>
      <c r="C21" s="24" t="s">
        <v>23</v>
      </c>
      <c r="D21" s="22" t="s">
        <v>24</v>
      </c>
      <c r="E21" s="23">
        <v>30340</v>
      </c>
      <c r="F21" s="49" t="s">
        <v>120</v>
      </c>
      <c r="G21" s="29">
        <v>100</v>
      </c>
      <c r="H21" s="29">
        <v>12000</v>
      </c>
      <c r="I21" s="20"/>
    </row>
    <row r="22" spans="1:11" x14ac:dyDescent="0.3">
      <c r="A22" s="20"/>
      <c r="B22" s="35" t="s">
        <v>90</v>
      </c>
      <c r="C22" s="24" t="s">
        <v>16</v>
      </c>
      <c r="D22" s="22" t="s">
        <v>24</v>
      </c>
      <c r="E22" s="23">
        <v>30150</v>
      </c>
      <c r="F22" s="49" t="s">
        <v>122</v>
      </c>
      <c r="G22" s="29">
        <v>100</v>
      </c>
      <c r="H22" s="50">
        <v>5000</v>
      </c>
      <c r="I22" s="20"/>
    </row>
    <row r="23" spans="1:11" x14ac:dyDescent="0.3">
      <c r="A23" s="20"/>
      <c r="B23" s="35" t="s">
        <v>88</v>
      </c>
      <c r="C23" s="24" t="s">
        <v>23</v>
      </c>
      <c r="D23" s="22" t="s">
        <v>22</v>
      </c>
      <c r="E23" s="23">
        <v>44050</v>
      </c>
      <c r="F23" s="49" t="s">
        <v>123</v>
      </c>
      <c r="G23" s="29">
        <v>30</v>
      </c>
      <c r="H23" s="29">
        <v>-900</v>
      </c>
      <c r="I23" s="20"/>
    </row>
    <row r="24" spans="1:11" x14ac:dyDescent="0.3">
      <c r="A24" s="20"/>
      <c r="B24" s="35" t="s">
        <v>89</v>
      </c>
      <c r="C24" s="24" t="s">
        <v>16</v>
      </c>
      <c r="D24" s="22" t="s">
        <v>9</v>
      </c>
      <c r="E24" s="23">
        <v>30170</v>
      </c>
      <c r="F24" s="49" t="s">
        <v>124</v>
      </c>
      <c r="G24" s="29">
        <v>100</v>
      </c>
      <c r="H24" s="29">
        <v>12500</v>
      </c>
      <c r="I24" s="20"/>
    </row>
    <row r="25" spans="1:11" x14ac:dyDescent="0.3">
      <c r="A25" s="20"/>
      <c r="B25" s="35"/>
      <c r="C25" s="29"/>
      <c r="D25" s="36"/>
      <c r="E25" s="29"/>
      <c r="F25" s="29"/>
      <c r="G25" s="29"/>
      <c r="H25" s="38">
        <v>131400</v>
      </c>
      <c r="I25" s="20"/>
    </row>
    <row r="26" spans="1:11" x14ac:dyDescent="0.3">
      <c r="A26" s="20"/>
      <c r="B26" s="35"/>
      <c r="C26" s="45"/>
      <c r="D26" s="36"/>
      <c r="E26" s="45"/>
      <c r="F26" s="45"/>
      <c r="G26" s="29"/>
      <c r="H26" s="45"/>
      <c r="I26" s="48"/>
      <c r="J26" s="29"/>
    </row>
    <row r="27" spans="1:11" x14ac:dyDescent="0.3">
      <c r="A27" s="20"/>
      <c r="B27" s="35"/>
      <c r="C27" s="29"/>
      <c r="D27" s="36"/>
      <c r="E27" s="36"/>
      <c r="F27" s="29"/>
      <c r="G27" s="29"/>
      <c r="H27" s="29"/>
      <c r="I27" s="20"/>
    </row>
    <row r="28" spans="1:11" ht="15.6" x14ac:dyDescent="0.3">
      <c r="A28" s="20"/>
      <c r="B28" s="61" t="s">
        <v>92</v>
      </c>
      <c r="C28" s="62"/>
      <c r="D28" s="63"/>
      <c r="E28" s="62"/>
      <c r="F28" s="62"/>
      <c r="G28" s="62"/>
      <c r="H28" s="62"/>
      <c r="I28" s="20"/>
    </row>
    <row r="29" spans="1:11" x14ac:dyDescent="0.3">
      <c r="A29" s="20"/>
      <c r="B29" s="71">
        <v>41579</v>
      </c>
      <c r="C29" s="72" t="s">
        <v>23</v>
      </c>
      <c r="D29" s="36" t="s">
        <v>25</v>
      </c>
      <c r="E29" s="72">
        <v>5970</v>
      </c>
      <c r="F29" s="72">
        <v>5940</v>
      </c>
      <c r="G29" s="72">
        <v>100</v>
      </c>
      <c r="H29" s="72">
        <v>3000</v>
      </c>
      <c r="I29" s="20"/>
    </row>
    <row r="30" spans="1:11" x14ac:dyDescent="0.3">
      <c r="A30" s="20"/>
      <c r="B30" s="71">
        <v>41583</v>
      </c>
      <c r="C30" s="72" t="s">
        <v>23</v>
      </c>
      <c r="D30" s="36" t="s">
        <v>25</v>
      </c>
      <c r="E30" s="72">
        <v>5860</v>
      </c>
      <c r="F30" s="72">
        <v>5830</v>
      </c>
      <c r="G30" s="72">
        <v>100</v>
      </c>
      <c r="H30" s="72">
        <v>3000</v>
      </c>
      <c r="I30" s="20"/>
    </row>
    <row r="31" spans="1:11" x14ac:dyDescent="0.3">
      <c r="A31" s="20"/>
      <c r="B31" s="71">
        <v>41584</v>
      </c>
      <c r="C31" s="72" t="s">
        <v>16</v>
      </c>
      <c r="D31" s="36" t="s">
        <v>25</v>
      </c>
      <c r="E31" s="72">
        <v>5870</v>
      </c>
      <c r="F31" s="72">
        <v>5910</v>
      </c>
      <c r="G31" s="72">
        <v>100</v>
      </c>
      <c r="H31" s="72">
        <v>4000</v>
      </c>
      <c r="I31" s="20"/>
    </row>
    <row r="32" spans="1:11" x14ac:dyDescent="0.3">
      <c r="A32" s="20"/>
      <c r="B32" s="71">
        <v>41585</v>
      </c>
      <c r="C32" s="72" t="s">
        <v>23</v>
      </c>
      <c r="D32" s="36" t="s">
        <v>25</v>
      </c>
      <c r="E32" s="72">
        <v>5960</v>
      </c>
      <c r="F32" s="72">
        <v>5920</v>
      </c>
      <c r="G32" s="72">
        <v>100</v>
      </c>
      <c r="H32" s="72">
        <v>4000</v>
      </c>
      <c r="I32" s="20"/>
    </row>
    <row r="33" spans="1:9" x14ac:dyDescent="0.3">
      <c r="A33" s="20"/>
      <c r="B33" s="71">
        <v>41586</v>
      </c>
      <c r="C33" s="72" t="s">
        <v>16</v>
      </c>
      <c r="D33" s="36" t="s">
        <v>25</v>
      </c>
      <c r="E33" s="72">
        <v>5940</v>
      </c>
      <c r="F33" s="72">
        <v>5925</v>
      </c>
      <c r="G33" s="72">
        <v>100</v>
      </c>
      <c r="H33" s="72">
        <v>-1500</v>
      </c>
      <c r="I33" s="20"/>
    </row>
    <row r="34" spans="1:9" x14ac:dyDescent="0.3">
      <c r="A34" s="20"/>
      <c r="B34" s="71">
        <v>41589</v>
      </c>
      <c r="C34" s="72" t="s">
        <v>23</v>
      </c>
      <c r="D34" s="36" t="s">
        <v>25</v>
      </c>
      <c r="E34" s="72">
        <v>6025</v>
      </c>
      <c r="F34" s="72">
        <v>5995</v>
      </c>
      <c r="G34" s="72">
        <v>100</v>
      </c>
      <c r="H34" s="72">
        <v>3500</v>
      </c>
      <c r="I34" s="20"/>
    </row>
    <row r="35" spans="1:9" x14ac:dyDescent="0.3">
      <c r="A35" s="20"/>
      <c r="B35" s="71">
        <v>41590</v>
      </c>
      <c r="C35" s="72" t="s">
        <v>23</v>
      </c>
      <c r="D35" s="36" t="s">
        <v>25</v>
      </c>
      <c r="E35" s="72">
        <v>6070</v>
      </c>
      <c r="F35" s="72">
        <v>5970</v>
      </c>
      <c r="G35" s="72">
        <v>100</v>
      </c>
      <c r="H35" s="72">
        <v>10000</v>
      </c>
      <c r="I35" s="20"/>
    </row>
    <row r="36" spans="1:9" x14ac:dyDescent="0.3">
      <c r="A36" s="20"/>
      <c r="B36" s="71">
        <v>41591</v>
      </c>
      <c r="C36" s="72" t="s">
        <v>23</v>
      </c>
      <c r="D36" s="36" t="s">
        <v>25</v>
      </c>
      <c r="E36" s="72">
        <v>5935</v>
      </c>
      <c r="F36" s="72">
        <v>5915</v>
      </c>
      <c r="G36" s="72">
        <v>100</v>
      </c>
      <c r="H36" s="72">
        <v>2000</v>
      </c>
      <c r="I36" s="20"/>
    </row>
    <row r="37" spans="1:9" x14ac:dyDescent="0.3">
      <c r="A37" s="20"/>
      <c r="B37" s="71">
        <v>41592</v>
      </c>
      <c r="C37" s="72" t="s">
        <v>23</v>
      </c>
      <c r="D37" s="36" t="s">
        <v>26</v>
      </c>
      <c r="E37" s="72">
        <v>224</v>
      </c>
      <c r="F37" s="72">
        <v>223</v>
      </c>
      <c r="G37" s="72">
        <v>1250</v>
      </c>
      <c r="H37" s="72">
        <v>1250</v>
      </c>
      <c r="I37" s="20"/>
    </row>
    <row r="38" spans="1:9" x14ac:dyDescent="0.3">
      <c r="A38" s="20"/>
      <c r="B38" s="71">
        <v>41596</v>
      </c>
      <c r="C38" s="72" t="s">
        <v>23</v>
      </c>
      <c r="D38" s="36" t="s">
        <v>25</v>
      </c>
      <c r="E38" s="72">
        <v>5870</v>
      </c>
      <c r="F38" s="72">
        <v>5820</v>
      </c>
      <c r="G38" s="72">
        <v>100</v>
      </c>
      <c r="H38" s="72">
        <v>5000</v>
      </c>
      <c r="I38" s="20"/>
    </row>
    <row r="39" spans="1:9" x14ac:dyDescent="0.3">
      <c r="A39" s="20"/>
      <c r="B39" s="71">
        <v>41597</v>
      </c>
      <c r="C39" s="72" t="s">
        <v>23</v>
      </c>
      <c r="D39" s="36" t="s">
        <v>25</v>
      </c>
      <c r="E39" s="72">
        <v>5780</v>
      </c>
      <c r="F39" s="72">
        <v>5755</v>
      </c>
      <c r="G39" s="72">
        <v>100</v>
      </c>
      <c r="H39" s="72">
        <v>2500</v>
      </c>
      <c r="I39" s="20"/>
    </row>
    <row r="40" spans="1:9" x14ac:dyDescent="0.3">
      <c r="A40" s="20"/>
      <c r="B40" s="71">
        <v>41598</v>
      </c>
      <c r="C40" s="72" t="s">
        <v>16</v>
      </c>
      <c r="D40" s="36" t="s">
        <v>25</v>
      </c>
      <c r="E40" s="72">
        <v>5920</v>
      </c>
      <c r="F40" s="72">
        <v>5940</v>
      </c>
      <c r="G40" s="72">
        <v>100</v>
      </c>
      <c r="H40" s="72">
        <v>2000</v>
      </c>
      <c r="I40" s="20"/>
    </row>
    <row r="41" spans="1:9" x14ac:dyDescent="0.3">
      <c r="A41" s="20"/>
      <c r="B41" s="71">
        <v>41599</v>
      </c>
      <c r="C41" s="72" t="s">
        <v>16</v>
      </c>
      <c r="D41" s="36" t="s">
        <v>25</v>
      </c>
      <c r="E41" s="72">
        <v>5940</v>
      </c>
      <c r="F41" s="72">
        <v>6000</v>
      </c>
      <c r="G41" s="72">
        <v>100</v>
      </c>
      <c r="H41" s="72">
        <v>6000</v>
      </c>
      <c r="I41" s="20"/>
    </row>
    <row r="42" spans="1:9" x14ac:dyDescent="0.3">
      <c r="A42" s="20"/>
      <c r="B42" s="71">
        <v>41600</v>
      </c>
      <c r="C42" s="72" t="s">
        <v>23</v>
      </c>
      <c r="D42" s="36" t="s">
        <v>25</v>
      </c>
      <c r="E42" s="72">
        <v>6030</v>
      </c>
      <c r="F42" s="72">
        <v>6050</v>
      </c>
      <c r="G42" s="72">
        <v>100</v>
      </c>
      <c r="H42" s="72">
        <v>-2000</v>
      </c>
      <c r="I42" s="20"/>
    </row>
    <row r="43" spans="1:9" x14ac:dyDescent="0.3">
      <c r="A43" s="20"/>
      <c r="B43" s="71">
        <v>41603</v>
      </c>
      <c r="C43" s="72" t="s">
        <v>23</v>
      </c>
      <c r="D43" s="36" t="s">
        <v>25</v>
      </c>
      <c r="E43" s="72">
        <v>5895</v>
      </c>
      <c r="F43" s="72">
        <v>5855</v>
      </c>
      <c r="G43" s="72">
        <v>100</v>
      </c>
      <c r="H43" s="72">
        <v>4000</v>
      </c>
      <c r="I43" s="20"/>
    </row>
    <row r="44" spans="1:9" x14ac:dyDescent="0.3">
      <c r="A44" s="20"/>
      <c r="B44" s="71">
        <v>41604</v>
      </c>
      <c r="C44" s="72" t="s">
        <v>23</v>
      </c>
      <c r="D44" s="36" t="s">
        <v>25</v>
      </c>
      <c r="E44" s="72">
        <v>5940</v>
      </c>
      <c r="F44" s="72">
        <v>5900</v>
      </c>
      <c r="G44" s="72">
        <v>100</v>
      </c>
      <c r="H44" s="72">
        <v>4000</v>
      </c>
      <c r="I44" s="20"/>
    </row>
    <row r="45" spans="1:9" x14ac:dyDescent="0.3">
      <c r="A45" s="20"/>
      <c r="B45" s="71">
        <v>41605</v>
      </c>
      <c r="C45" s="72" t="s">
        <v>16</v>
      </c>
      <c r="D45" s="36" t="s">
        <v>25</v>
      </c>
      <c r="E45" s="72">
        <v>5860</v>
      </c>
      <c r="F45" s="72">
        <v>5830</v>
      </c>
      <c r="G45" s="72">
        <v>100</v>
      </c>
      <c r="H45" s="72">
        <v>-3000</v>
      </c>
      <c r="I45" s="20"/>
    </row>
    <row r="46" spans="1:9" x14ac:dyDescent="0.3">
      <c r="A46" s="20"/>
      <c r="B46" s="71">
        <v>41606</v>
      </c>
      <c r="C46" s="72" t="s">
        <v>23</v>
      </c>
      <c r="D46" s="36" t="s">
        <v>25</v>
      </c>
      <c r="E46" s="72">
        <v>5800</v>
      </c>
      <c r="F46" s="72">
        <v>5760</v>
      </c>
      <c r="G46" s="72">
        <v>100</v>
      </c>
      <c r="H46" s="72">
        <v>4000</v>
      </c>
      <c r="I46" s="20"/>
    </row>
    <row r="47" spans="1:9" x14ac:dyDescent="0.3">
      <c r="A47" s="20"/>
      <c r="B47" s="71">
        <v>41607</v>
      </c>
      <c r="C47" s="72" t="s">
        <v>16</v>
      </c>
      <c r="D47" s="36" t="s">
        <v>25</v>
      </c>
      <c r="E47" s="72">
        <v>5800</v>
      </c>
      <c r="F47" s="72">
        <v>5850</v>
      </c>
      <c r="G47" s="72">
        <v>100</v>
      </c>
      <c r="H47" s="72">
        <v>5000</v>
      </c>
      <c r="I47" s="20"/>
    </row>
    <row r="48" spans="1:9" ht="15.6" x14ac:dyDescent="0.3">
      <c r="A48" s="20"/>
      <c r="B48" s="35"/>
      <c r="C48" s="45"/>
      <c r="D48" s="36"/>
      <c r="E48" s="45"/>
      <c r="F48" s="45"/>
      <c r="G48" s="29"/>
      <c r="H48" s="46">
        <v>56750</v>
      </c>
      <c r="I48" s="20"/>
    </row>
    <row r="49" spans="1:9" ht="15.6" x14ac:dyDescent="0.3">
      <c r="A49" s="20"/>
      <c r="B49" s="35"/>
      <c r="C49" s="18"/>
      <c r="D49" s="26"/>
      <c r="E49" s="18"/>
      <c r="F49" s="18"/>
      <c r="G49" s="29"/>
      <c r="H49" s="46"/>
      <c r="I49" s="20"/>
    </row>
    <row r="50" spans="1:9" x14ac:dyDescent="0.3">
      <c r="A50" s="20"/>
      <c r="B50" s="35"/>
      <c r="C50" s="18"/>
      <c r="D50" s="18"/>
      <c r="E50" s="18"/>
      <c r="F50" s="18"/>
      <c r="G50" s="18"/>
      <c r="H50" s="18"/>
      <c r="I50" s="20"/>
    </row>
    <row r="51" spans="1:9" x14ac:dyDescent="0.3">
      <c r="A51" s="20"/>
      <c r="B51" s="35"/>
      <c r="C51" s="45"/>
      <c r="D51" s="45"/>
      <c r="E51" s="45"/>
      <c r="F51" s="45"/>
      <c r="G51" s="45"/>
      <c r="I51" s="20"/>
    </row>
    <row r="52" spans="1:9" ht="15.6" x14ac:dyDescent="0.3">
      <c r="A52" s="20"/>
      <c r="B52" s="61" t="s">
        <v>93</v>
      </c>
      <c r="C52" s="62"/>
      <c r="D52" s="63"/>
      <c r="E52" s="62"/>
      <c r="F52" s="62"/>
      <c r="G52" s="62"/>
      <c r="H52" s="64"/>
      <c r="I52" s="20"/>
    </row>
    <row r="53" spans="1:9" x14ac:dyDescent="0.3">
      <c r="A53" s="66"/>
      <c r="B53" s="71">
        <v>41583</v>
      </c>
      <c r="C53" s="72" t="s">
        <v>23</v>
      </c>
      <c r="D53" s="72" t="s">
        <v>29</v>
      </c>
      <c r="E53" s="72">
        <v>447</v>
      </c>
      <c r="F53" s="72">
        <v>450</v>
      </c>
      <c r="G53" s="72">
        <v>1000</v>
      </c>
      <c r="H53" s="29">
        <v>3000</v>
      </c>
      <c r="I53" s="20"/>
    </row>
    <row r="54" spans="1:9" x14ac:dyDescent="0.3">
      <c r="A54" s="66"/>
      <c r="B54" s="71">
        <v>41584</v>
      </c>
      <c r="C54" s="72" t="s">
        <v>23</v>
      </c>
      <c r="D54" s="72" t="s">
        <v>27</v>
      </c>
      <c r="E54" s="72">
        <v>134</v>
      </c>
      <c r="F54" s="72">
        <v>135</v>
      </c>
      <c r="G54" s="72">
        <v>5000</v>
      </c>
      <c r="H54" s="36">
        <v>5000</v>
      </c>
      <c r="I54" s="20"/>
    </row>
    <row r="55" spans="1:9" x14ac:dyDescent="0.3">
      <c r="A55" s="66"/>
      <c r="B55" s="71">
        <v>41585</v>
      </c>
      <c r="C55" s="72" t="s">
        <v>23</v>
      </c>
      <c r="D55" s="72" t="s">
        <v>29</v>
      </c>
      <c r="E55" s="72">
        <v>451</v>
      </c>
      <c r="F55" s="72">
        <v>448</v>
      </c>
      <c r="G55" s="72">
        <v>1000</v>
      </c>
      <c r="H55" s="36">
        <v>3000</v>
      </c>
      <c r="I55" s="20"/>
    </row>
    <row r="56" spans="1:9" x14ac:dyDescent="0.3">
      <c r="A56" s="66"/>
      <c r="B56" s="71">
        <v>41586</v>
      </c>
      <c r="C56" s="72" t="s">
        <v>23</v>
      </c>
      <c r="D56" s="72" t="s">
        <v>129</v>
      </c>
      <c r="E56" s="72">
        <v>112.5</v>
      </c>
      <c r="F56" s="72">
        <v>111.5</v>
      </c>
      <c r="G56" s="72">
        <v>5000</v>
      </c>
      <c r="H56" s="36">
        <v>2500</v>
      </c>
      <c r="I56" s="20"/>
    </row>
    <row r="57" spans="1:9" x14ac:dyDescent="0.3">
      <c r="A57" s="66"/>
      <c r="B57" s="71">
        <v>41589</v>
      </c>
      <c r="C57" s="72" t="s">
        <v>23</v>
      </c>
      <c r="D57" s="72" t="s">
        <v>27</v>
      </c>
      <c r="E57" s="72">
        <v>135.5</v>
      </c>
      <c r="F57" s="72">
        <v>134.5</v>
      </c>
      <c r="G57" s="72">
        <v>5000</v>
      </c>
      <c r="H57" s="36">
        <v>5000</v>
      </c>
      <c r="I57" s="20"/>
    </row>
    <row r="58" spans="1:9" x14ac:dyDescent="0.3">
      <c r="A58" s="66"/>
      <c r="B58" s="71">
        <v>41590</v>
      </c>
      <c r="C58" s="72" t="s">
        <v>23</v>
      </c>
      <c r="D58" s="72" t="s">
        <v>29</v>
      </c>
      <c r="E58" s="72">
        <v>458</v>
      </c>
      <c r="F58" s="72">
        <v>454</v>
      </c>
      <c r="G58" s="72">
        <v>1000</v>
      </c>
      <c r="H58" s="36">
        <v>6000</v>
      </c>
      <c r="I58" s="20"/>
    </row>
    <row r="59" spans="1:9" x14ac:dyDescent="0.3">
      <c r="A59" s="66"/>
      <c r="B59" s="71">
        <v>41591</v>
      </c>
      <c r="C59" s="72" t="s">
        <v>23</v>
      </c>
      <c r="D59" s="72" t="s">
        <v>27</v>
      </c>
      <c r="E59" s="72">
        <v>133.5</v>
      </c>
      <c r="F59" s="72">
        <v>132</v>
      </c>
      <c r="G59" s="72">
        <v>5000</v>
      </c>
      <c r="H59" s="36">
        <v>7500</v>
      </c>
      <c r="I59" s="20"/>
    </row>
    <row r="60" spans="1:9" x14ac:dyDescent="0.3">
      <c r="A60" s="66"/>
      <c r="B60" s="71">
        <v>41592</v>
      </c>
      <c r="C60" s="72" t="s">
        <v>23</v>
      </c>
      <c r="D60" s="72" t="s">
        <v>29</v>
      </c>
      <c r="E60" s="72">
        <v>443</v>
      </c>
      <c r="F60" s="72">
        <v>441</v>
      </c>
      <c r="G60" s="72">
        <v>1000</v>
      </c>
      <c r="H60" s="29">
        <v>2000</v>
      </c>
      <c r="I60" s="20"/>
    </row>
    <row r="61" spans="1:9" x14ac:dyDescent="0.3">
      <c r="A61" s="66"/>
      <c r="B61" s="71">
        <v>41596</v>
      </c>
      <c r="C61" s="72" t="s">
        <v>16</v>
      </c>
      <c r="D61" s="72" t="s">
        <v>29</v>
      </c>
      <c r="E61" s="72">
        <v>439</v>
      </c>
      <c r="F61" s="72">
        <v>431</v>
      </c>
      <c r="G61" s="72">
        <v>1000</v>
      </c>
      <c r="H61" s="36">
        <v>-2000</v>
      </c>
      <c r="I61" s="20"/>
    </row>
    <row r="62" spans="1:9" x14ac:dyDescent="0.3">
      <c r="A62" s="66"/>
      <c r="B62" s="71">
        <v>41597</v>
      </c>
      <c r="C62" s="72" t="s">
        <v>23</v>
      </c>
      <c r="D62" s="72" t="s">
        <v>27</v>
      </c>
      <c r="E62" s="72">
        <v>128</v>
      </c>
      <c r="F62" s="72">
        <v>128.5</v>
      </c>
      <c r="G62" s="72">
        <v>5000</v>
      </c>
      <c r="H62" s="36">
        <v>-2500</v>
      </c>
      <c r="I62" s="20"/>
    </row>
    <row r="63" spans="1:9" x14ac:dyDescent="0.3">
      <c r="A63" s="66"/>
      <c r="B63" s="71">
        <v>41599</v>
      </c>
      <c r="C63" s="72" t="s">
        <v>16</v>
      </c>
      <c r="D63" s="72" t="s">
        <v>27</v>
      </c>
      <c r="E63" s="72">
        <v>130</v>
      </c>
      <c r="F63" s="72">
        <v>131</v>
      </c>
      <c r="G63" s="72">
        <v>5000</v>
      </c>
      <c r="H63" s="36">
        <v>5000</v>
      </c>
      <c r="I63" s="20"/>
    </row>
    <row r="64" spans="1:9" x14ac:dyDescent="0.3">
      <c r="A64" s="66"/>
      <c r="B64" s="71">
        <v>41600</v>
      </c>
      <c r="C64" s="72" t="s">
        <v>23</v>
      </c>
      <c r="D64" s="72" t="s">
        <v>29</v>
      </c>
      <c r="E64" s="72">
        <v>445</v>
      </c>
      <c r="F64" s="72">
        <v>443</v>
      </c>
      <c r="G64" s="72">
        <v>1000</v>
      </c>
      <c r="H64" s="36">
        <v>2000</v>
      </c>
      <c r="I64" s="20"/>
    </row>
    <row r="65" spans="1:9" x14ac:dyDescent="0.3">
      <c r="A65" s="66"/>
      <c r="B65" s="71">
        <v>41604</v>
      </c>
      <c r="C65" s="72" t="s">
        <v>23</v>
      </c>
      <c r="D65" s="72" t="s">
        <v>29</v>
      </c>
      <c r="E65" s="72">
        <v>453</v>
      </c>
      <c r="F65" s="72">
        <v>451</v>
      </c>
      <c r="G65" s="72">
        <v>1000</v>
      </c>
      <c r="H65" s="36">
        <v>2000</v>
      </c>
      <c r="I65" s="20"/>
    </row>
    <row r="66" spans="1:9" x14ac:dyDescent="0.3">
      <c r="A66" s="66"/>
      <c r="B66" s="71">
        <v>41605</v>
      </c>
      <c r="C66" s="72" t="s">
        <v>23</v>
      </c>
      <c r="D66" s="72" t="s">
        <v>27</v>
      </c>
      <c r="E66" s="72">
        <v>131</v>
      </c>
      <c r="F66" s="72">
        <v>130</v>
      </c>
      <c r="G66" s="72">
        <v>5000</v>
      </c>
      <c r="H66" s="36">
        <v>5000</v>
      </c>
      <c r="I66" s="20"/>
    </row>
    <row r="67" spans="1:9" x14ac:dyDescent="0.3">
      <c r="A67" s="66"/>
      <c r="B67" s="71">
        <v>41607</v>
      </c>
      <c r="C67" s="72" t="s">
        <v>16</v>
      </c>
      <c r="D67" s="72" t="s">
        <v>27</v>
      </c>
      <c r="E67" s="72">
        <v>129.5</v>
      </c>
      <c r="F67" s="72">
        <v>130.5</v>
      </c>
      <c r="G67" s="72">
        <v>5000</v>
      </c>
      <c r="H67" s="36">
        <v>5000</v>
      </c>
      <c r="I67" s="20"/>
    </row>
    <row r="68" spans="1:9" ht="15.6" x14ac:dyDescent="0.3">
      <c r="A68" s="66"/>
      <c r="B68" s="18"/>
      <c r="C68" s="29"/>
      <c r="D68" s="36"/>
      <c r="E68" s="29"/>
      <c r="F68" s="29"/>
      <c r="G68" s="29"/>
      <c r="H68" s="56">
        <v>48500</v>
      </c>
      <c r="I68" s="20"/>
    </row>
    <row r="69" spans="1:9" x14ac:dyDescent="0.3">
      <c r="A69" s="66"/>
      <c r="B69" s="18"/>
      <c r="C69" s="29"/>
      <c r="D69" s="29"/>
      <c r="E69" s="29"/>
      <c r="F69" s="29"/>
      <c r="G69" s="29"/>
      <c r="H69" s="37"/>
      <c r="I69" s="20"/>
    </row>
    <row r="70" spans="1:9" x14ac:dyDescent="0.3">
      <c r="A70" s="66"/>
      <c r="B70" s="18"/>
      <c r="C70" s="29"/>
      <c r="D70" s="36"/>
      <c r="E70" s="29"/>
      <c r="F70" s="29"/>
      <c r="G70" s="29"/>
      <c r="H70" s="37"/>
      <c r="I70" s="20"/>
    </row>
    <row r="71" spans="1:9" x14ac:dyDescent="0.3">
      <c r="A71" s="66"/>
      <c r="B71" s="18"/>
      <c r="C71" s="29"/>
      <c r="D71" s="36"/>
      <c r="E71" s="29"/>
      <c r="F71" s="29"/>
      <c r="G71" s="29"/>
      <c r="H71" s="37"/>
      <c r="I71" s="20"/>
    </row>
    <row r="72" spans="1:9" x14ac:dyDescent="0.3">
      <c r="A72" s="66"/>
      <c r="B72" s="18"/>
      <c r="C72" s="29"/>
      <c r="D72" s="36"/>
      <c r="E72" s="29"/>
      <c r="F72" s="29"/>
      <c r="G72" s="29"/>
      <c r="H72" s="37"/>
      <c r="I72" s="20"/>
    </row>
    <row r="73" spans="1:9" x14ac:dyDescent="0.3">
      <c r="A73" s="43"/>
      <c r="I73" s="43"/>
    </row>
    <row r="74" spans="1:9" x14ac:dyDescent="0.3">
      <c r="A74" s="43"/>
      <c r="I74" s="43"/>
    </row>
  </sheetData>
  <mergeCells count="3">
    <mergeCell ref="B1:H1"/>
    <mergeCell ref="B2:H2"/>
    <mergeCell ref="B3:H3"/>
  </mergeCells>
  <hyperlinks>
    <hyperlink ref="J2" location="MASTER!A1" display="Back" xr:uid="{00000000-0004-0000-0B00-000000000000}"/>
  </hyperlinks>
  <pageMargins left="0.7" right="0.7" top="0.75" bottom="0.75" header="0.3" footer="0.3"/>
  <pageSetup orientation="portrait" horizontalDpi="300" verticalDpi="300" r:id="rId1"/>
  <ignoredErrors>
    <ignoredError sqref="F6:F8 F10:F18 F20:F24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W11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44866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40</v>
      </c>
      <c r="O4" s="369">
        <f>V52</f>
        <v>34</v>
      </c>
      <c r="P4" s="369">
        <f>W52</f>
        <v>6</v>
      </c>
      <c r="Q4" s="349">
        <f>N4-O4-P4</f>
        <v>0</v>
      </c>
      <c r="R4" s="343">
        <f>O4/N4</f>
        <v>0.85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44866</v>
      </c>
      <c r="D6" s="192" t="s">
        <v>23</v>
      </c>
      <c r="E6" s="192" t="s">
        <v>24</v>
      </c>
      <c r="F6" s="193">
        <v>50520</v>
      </c>
      <c r="G6" s="193">
        <v>50480</v>
      </c>
      <c r="H6" s="192">
        <f>50520-50480</f>
        <v>40</v>
      </c>
      <c r="I6" s="193">
        <v>100</v>
      </c>
      <c r="J6" s="267">
        <f>H6*I6</f>
        <v>4000</v>
      </c>
      <c r="K6" s="185"/>
      <c r="M6" s="364" t="s">
        <v>258</v>
      </c>
      <c r="N6" s="347">
        <f>COUNT(C60:C82)</f>
        <v>20</v>
      </c>
      <c r="O6" s="348">
        <f>V83</f>
        <v>16</v>
      </c>
      <c r="P6" s="348">
        <f>W83</f>
        <v>4</v>
      </c>
      <c r="Q6" s="349">
        <f>N6-O6-P6</f>
        <v>0</v>
      </c>
      <c r="R6" s="345">
        <f t="shared" ref="R6" si="0">O6/N6</f>
        <v>0.8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44866</v>
      </c>
      <c r="D7" s="196" t="s">
        <v>23</v>
      </c>
      <c r="E7" s="196" t="s">
        <v>22</v>
      </c>
      <c r="F7" s="197">
        <v>59000</v>
      </c>
      <c r="G7" s="197">
        <v>58880</v>
      </c>
      <c r="H7" s="196">
        <f>59000-58880</f>
        <v>120</v>
      </c>
      <c r="I7" s="197">
        <v>30</v>
      </c>
      <c r="J7" s="268">
        <f t="shared" ref="J7:J51" si="1">H7*I7</f>
        <v>3600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44867</v>
      </c>
      <c r="D8" s="196" t="s">
        <v>23</v>
      </c>
      <c r="E8" s="196" t="s">
        <v>24</v>
      </c>
      <c r="F8" s="197">
        <v>50740</v>
      </c>
      <c r="G8" s="197">
        <v>50680</v>
      </c>
      <c r="H8" s="196">
        <f>50740-50680</f>
        <v>60</v>
      </c>
      <c r="I8" s="197">
        <v>100</v>
      </c>
      <c r="J8" s="268">
        <f t="shared" si="1"/>
        <v>6000</v>
      </c>
      <c r="K8" s="185"/>
      <c r="M8" s="362" t="s">
        <v>877</v>
      </c>
      <c r="N8" s="347">
        <f>COUNT(C91:C113)</f>
        <v>20</v>
      </c>
      <c r="O8" s="348">
        <f>V114</f>
        <v>18</v>
      </c>
      <c r="P8" s="348">
        <f>W114</f>
        <v>2</v>
      </c>
      <c r="Q8" s="349">
        <f>N8-O8-P8</f>
        <v>0</v>
      </c>
      <c r="R8" s="345">
        <f t="shared" ref="R8" si="4">O8/N8</f>
        <v>0.9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44867</v>
      </c>
      <c r="D9" s="196" t="s">
        <v>23</v>
      </c>
      <c r="E9" s="196" t="s">
        <v>22</v>
      </c>
      <c r="F9" s="197">
        <v>59000</v>
      </c>
      <c r="G9" s="197">
        <v>58860</v>
      </c>
      <c r="H9" s="196">
        <f>59000-58860</f>
        <v>140</v>
      </c>
      <c r="I9" s="197">
        <v>30</v>
      </c>
      <c r="J9" s="268">
        <f t="shared" si="1"/>
        <v>4200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44868</v>
      </c>
      <c r="D10" s="196" t="s">
        <v>23</v>
      </c>
      <c r="E10" s="196" t="s">
        <v>24</v>
      </c>
      <c r="F10" s="197">
        <v>50140</v>
      </c>
      <c r="G10" s="197">
        <v>50000</v>
      </c>
      <c r="H10" s="196">
        <v>140</v>
      </c>
      <c r="I10" s="197">
        <v>100</v>
      </c>
      <c r="J10" s="268">
        <f t="shared" si="1"/>
        <v>14000</v>
      </c>
      <c r="K10" s="185"/>
      <c r="M10" s="319" t="s">
        <v>300</v>
      </c>
      <c r="N10" s="321">
        <f>SUM(N4:N9)</f>
        <v>80</v>
      </c>
      <c r="O10" s="321">
        <f>SUM(O4:O9)</f>
        <v>68</v>
      </c>
      <c r="P10" s="321">
        <f>SUM(P4:P9)</f>
        <v>12</v>
      </c>
      <c r="Q10" s="341">
        <f>SUM(Q4:Q9)</f>
        <v>0</v>
      </c>
      <c r="R10" s="343">
        <f t="shared" ref="R10" si="5">O10/N10</f>
        <v>0.85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44868</v>
      </c>
      <c r="D11" s="196" t="s">
        <v>23</v>
      </c>
      <c r="E11" s="196" t="s">
        <v>22</v>
      </c>
      <c r="F11" s="197">
        <v>57700</v>
      </c>
      <c r="G11" s="197">
        <v>57100</v>
      </c>
      <c r="H11" s="196">
        <v>600</v>
      </c>
      <c r="I11" s="197">
        <v>30</v>
      </c>
      <c r="J11" s="268">
        <f t="shared" si="1"/>
        <v>18000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44869</v>
      </c>
      <c r="D12" s="196" t="s">
        <v>23</v>
      </c>
      <c r="E12" s="196" t="s">
        <v>24</v>
      </c>
      <c r="F12" s="197">
        <v>50400</v>
      </c>
      <c r="G12" s="197">
        <v>50500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0.85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44869</v>
      </c>
      <c r="D13" s="196" t="s">
        <v>23</v>
      </c>
      <c r="E13" s="196" t="s">
        <v>22</v>
      </c>
      <c r="F13" s="197">
        <v>58900</v>
      </c>
      <c r="G13" s="197">
        <v>59200</v>
      </c>
      <c r="H13" s="196">
        <v>-300</v>
      </c>
      <c r="I13" s="197">
        <v>30</v>
      </c>
      <c r="J13" s="268">
        <f t="shared" si="1"/>
        <v>-9000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44872</v>
      </c>
      <c r="D14" s="196" t="s">
        <v>23</v>
      </c>
      <c r="E14" s="196" t="s">
        <v>24</v>
      </c>
      <c r="F14" s="197">
        <v>50970</v>
      </c>
      <c r="G14" s="197">
        <v>50920</v>
      </c>
      <c r="H14" s="196">
        <f>50970-50920</f>
        <v>50</v>
      </c>
      <c r="I14" s="197">
        <v>100</v>
      </c>
      <c r="J14" s="268">
        <f t="shared" si="1"/>
        <v>5000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44872</v>
      </c>
      <c r="D15" s="196" t="s">
        <v>23</v>
      </c>
      <c r="E15" s="196" t="s">
        <v>22</v>
      </c>
      <c r="F15" s="197">
        <v>60500</v>
      </c>
      <c r="G15" s="197">
        <v>60800</v>
      </c>
      <c r="H15" s="196">
        <v>-300</v>
      </c>
      <c r="I15" s="197">
        <v>30</v>
      </c>
      <c r="J15" s="268">
        <f t="shared" si="1"/>
        <v>-9000</v>
      </c>
      <c r="K15" s="185"/>
      <c r="V15" s="183">
        <f t="shared" si="2"/>
        <v>0</v>
      </c>
      <c r="W15" s="183">
        <f t="shared" si="3"/>
        <v>1</v>
      </c>
    </row>
    <row r="16" spans="1:23" x14ac:dyDescent="0.3">
      <c r="A16" s="184"/>
      <c r="B16" s="194">
        <v>11</v>
      </c>
      <c r="C16" s="195">
        <v>44874</v>
      </c>
      <c r="D16" s="196" t="s">
        <v>23</v>
      </c>
      <c r="E16" s="196" t="s">
        <v>24</v>
      </c>
      <c r="F16" s="197">
        <v>51510</v>
      </c>
      <c r="G16" s="197">
        <v>51360</v>
      </c>
      <c r="H16" s="196">
        <f>51510-51360</f>
        <v>150</v>
      </c>
      <c r="I16" s="197">
        <v>100</v>
      </c>
      <c r="J16" s="268">
        <f t="shared" si="1"/>
        <v>15000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44874</v>
      </c>
      <c r="D17" s="196" t="s">
        <v>23</v>
      </c>
      <c r="E17" s="196" t="s">
        <v>22</v>
      </c>
      <c r="F17" s="197">
        <v>62100</v>
      </c>
      <c r="G17" s="197">
        <v>61500</v>
      </c>
      <c r="H17" s="196">
        <v>400</v>
      </c>
      <c r="I17" s="197">
        <v>30</v>
      </c>
      <c r="J17" s="268">
        <f t="shared" si="1"/>
        <v>12000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44875</v>
      </c>
      <c r="D18" s="196" t="s">
        <v>23</v>
      </c>
      <c r="E18" s="196" t="s">
        <v>24</v>
      </c>
      <c r="F18" s="197">
        <v>51600</v>
      </c>
      <c r="G18" s="197">
        <v>51531</v>
      </c>
      <c r="H18" s="196">
        <f>51600-51531</f>
        <v>69</v>
      </c>
      <c r="I18" s="197">
        <v>100</v>
      </c>
      <c r="J18" s="268">
        <f t="shared" si="1"/>
        <v>6900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44875</v>
      </c>
      <c r="D19" s="196" t="s">
        <v>23</v>
      </c>
      <c r="E19" s="196" t="s">
        <v>22</v>
      </c>
      <c r="F19" s="197">
        <v>61450</v>
      </c>
      <c r="G19" s="197">
        <v>61207</v>
      </c>
      <c r="H19" s="196">
        <f>61450-61207</f>
        <v>243</v>
      </c>
      <c r="I19" s="197">
        <v>30</v>
      </c>
      <c r="J19" s="268">
        <f t="shared" si="1"/>
        <v>7290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44876</v>
      </c>
      <c r="D20" s="196" t="s">
        <v>23</v>
      </c>
      <c r="E20" s="196" t="s">
        <v>24</v>
      </c>
      <c r="F20" s="197">
        <v>52500</v>
      </c>
      <c r="G20" s="197">
        <v>52300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44876</v>
      </c>
      <c r="D21" s="196" t="s">
        <v>23</v>
      </c>
      <c r="E21" s="196" t="s">
        <v>22</v>
      </c>
      <c r="F21" s="197">
        <v>62500</v>
      </c>
      <c r="G21" s="197">
        <v>61900</v>
      </c>
      <c r="H21" s="196">
        <f>62500-61900</f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44879</v>
      </c>
      <c r="D22" s="196" t="s">
        <v>23</v>
      </c>
      <c r="E22" s="196" t="s">
        <v>24</v>
      </c>
      <c r="F22" s="197">
        <v>52600</v>
      </c>
      <c r="G22" s="197">
        <v>52460</v>
      </c>
      <c r="H22" s="196">
        <f>52600-52460</f>
        <v>140</v>
      </c>
      <c r="I22" s="197">
        <v>100</v>
      </c>
      <c r="J22" s="268">
        <f t="shared" si="1"/>
        <v>14000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44879</v>
      </c>
      <c r="D23" s="196" t="s">
        <v>23</v>
      </c>
      <c r="E23" s="196" t="s">
        <v>22</v>
      </c>
      <c r="F23" s="197">
        <v>62150</v>
      </c>
      <c r="G23" s="197">
        <v>61740</v>
      </c>
      <c r="H23" s="196">
        <f>62150-61740</f>
        <v>410</v>
      </c>
      <c r="I23" s="197">
        <v>30</v>
      </c>
      <c r="J23" s="268">
        <f t="shared" si="1"/>
        <v>12300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44880</v>
      </c>
      <c r="D24" s="196" t="s">
        <v>23</v>
      </c>
      <c r="E24" s="196" t="s">
        <v>24</v>
      </c>
      <c r="F24" s="197">
        <v>52900</v>
      </c>
      <c r="G24" s="197">
        <v>52850</v>
      </c>
      <c r="H24" s="196">
        <v>50</v>
      </c>
      <c r="I24" s="197">
        <v>100</v>
      </c>
      <c r="J24" s="268">
        <f t="shared" si="1"/>
        <v>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44880</v>
      </c>
      <c r="D25" s="196" t="s">
        <v>23</v>
      </c>
      <c r="E25" s="196" t="s">
        <v>22</v>
      </c>
      <c r="F25" s="197">
        <v>62700</v>
      </c>
      <c r="G25" s="197">
        <v>62410</v>
      </c>
      <c r="H25" s="196">
        <f>62700-62410</f>
        <v>290</v>
      </c>
      <c r="I25" s="197">
        <v>30</v>
      </c>
      <c r="J25" s="268">
        <f t="shared" si="1"/>
        <v>8700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44881</v>
      </c>
      <c r="D26" s="196" t="s">
        <v>23</v>
      </c>
      <c r="E26" s="196" t="s">
        <v>24</v>
      </c>
      <c r="F26" s="197">
        <v>53150</v>
      </c>
      <c r="G26" s="197">
        <v>53065</v>
      </c>
      <c r="H26" s="196">
        <f>53150-53065</f>
        <v>85</v>
      </c>
      <c r="I26" s="197">
        <v>100</v>
      </c>
      <c r="J26" s="268">
        <f t="shared" si="1"/>
        <v>8500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44881</v>
      </c>
      <c r="D27" s="196" t="s">
        <v>23</v>
      </c>
      <c r="E27" s="196" t="s">
        <v>22</v>
      </c>
      <c r="F27" s="197">
        <v>62200</v>
      </c>
      <c r="G27" s="197">
        <v>62410</v>
      </c>
      <c r="H27" s="196">
        <f>62410-62200</f>
        <v>210</v>
      </c>
      <c r="I27" s="197">
        <v>30</v>
      </c>
      <c r="J27" s="268">
        <f t="shared" si="1"/>
        <v>6300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44882</v>
      </c>
      <c r="D28" s="196" t="s">
        <v>23</v>
      </c>
      <c r="E28" s="196" t="s">
        <v>24</v>
      </c>
      <c r="F28" s="197">
        <v>52590</v>
      </c>
      <c r="G28" s="197">
        <v>52807</v>
      </c>
      <c r="H28" s="196">
        <v>217</v>
      </c>
      <c r="I28" s="197">
        <v>100</v>
      </c>
      <c r="J28" s="268">
        <f t="shared" si="1"/>
        <v>21700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44882</v>
      </c>
      <c r="D29" s="196" t="s">
        <v>23</v>
      </c>
      <c r="E29" s="196" t="s">
        <v>22</v>
      </c>
      <c r="F29" s="197">
        <v>61300</v>
      </c>
      <c r="G29" s="197">
        <v>61000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44883</v>
      </c>
      <c r="D30" s="196" t="s">
        <v>23</v>
      </c>
      <c r="E30" s="196" t="s">
        <v>24</v>
      </c>
      <c r="F30" s="197">
        <v>52950</v>
      </c>
      <c r="G30" s="197">
        <v>52750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44883</v>
      </c>
      <c r="D31" s="196" t="s">
        <v>23</v>
      </c>
      <c r="E31" s="196" t="s">
        <v>22</v>
      </c>
      <c r="F31" s="197">
        <v>61300</v>
      </c>
      <c r="G31" s="197">
        <v>60700</v>
      </c>
      <c r="H31" s="196">
        <f>61300-60700</f>
        <v>600</v>
      </c>
      <c r="I31" s="197">
        <v>30</v>
      </c>
      <c r="J31" s="268">
        <f t="shared" si="1"/>
        <v>18000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44886</v>
      </c>
      <c r="D32" s="196" t="s">
        <v>23</v>
      </c>
      <c r="E32" s="196" t="s">
        <v>24</v>
      </c>
      <c r="F32" s="197">
        <v>52420</v>
      </c>
      <c r="G32" s="197">
        <v>52320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44886</v>
      </c>
      <c r="D33" s="196" t="s">
        <v>23</v>
      </c>
      <c r="E33" s="196" t="s">
        <v>22</v>
      </c>
      <c r="F33" s="197">
        <v>60550</v>
      </c>
      <c r="G33" s="197">
        <v>60180</v>
      </c>
      <c r="H33" s="196">
        <f>60550-60180</f>
        <v>370</v>
      </c>
      <c r="I33" s="197">
        <v>30</v>
      </c>
      <c r="J33" s="268">
        <f t="shared" si="1"/>
        <v>11100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44887</v>
      </c>
      <c r="D34" s="196" t="s">
        <v>23</v>
      </c>
      <c r="E34" s="196" t="s">
        <v>24</v>
      </c>
      <c r="F34" s="197">
        <v>52450</v>
      </c>
      <c r="G34" s="197">
        <v>52350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44887</v>
      </c>
      <c r="D35" s="196" t="s">
        <v>23</v>
      </c>
      <c r="E35" s="196" t="s">
        <v>22</v>
      </c>
      <c r="F35" s="197">
        <v>61250</v>
      </c>
      <c r="G35" s="197">
        <v>61550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>
        <v>44888</v>
      </c>
      <c r="D36" s="196" t="s">
        <v>23</v>
      </c>
      <c r="E36" s="196" t="s">
        <v>24</v>
      </c>
      <c r="F36" s="197">
        <v>52450</v>
      </c>
      <c r="G36" s="197">
        <v>52250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44888</v>
      </c>
      <c r="D37" s="196" t="s">
        <v>23</v>
      </c>
      <c r="E37" s="196" t="s">
        <v>22</v>
      </c>
      <c r="F37" s="197">
        <v>61550</v>
      </c>
      <c r="G37" s="197">
        <v>61250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44889</v>
      </c>
      <c r="D38" s="196" t="s">
        <v>23</v>
      </c>
      <c r="E38" s="196" t="s">
        <v>24</v>
      </c>
      <c r="F38" s="197">
        <v>52670</v>
      </c>
      <c r="G38" s="197">
        <v>52770</v>
      </c>
      <c r="H38" s="196">
        <v>-100</v>
      </c>
      <c r="I38" s="197">
        <v>100</v>
      </c>
      <c r="J38" s="268">
        <f t="shared" si="1"/>
        <v>-10000</v>
      </c>
      <c r="K38" s="185"/>
      <c r="V38" s="183">
        <f t="shared" si="2"/>
        <v>0</v>
      </c>
      <c r="W38" s="183">
        <f t="shared" si="3"/>
        <v>1</v>
      </c>
    </row>
    <row r="39" spans="1:23" x14ac:dyDescent="0.3">
      <c r="A39" s="184"/>
      <c r="B39" s="194">
        <v>34</v>
      </c>
      <c r="C39" s="195">
        <v>44889</v>
      </c>
      <c r="D39" s="196" t="s">
        <v>23</v>
      </c>
      <c r="E39" s="196" t="s">
        <v>22</v>
      </c>
      <c r="F39" s="197">
        <v>62150</v>
      </c>
      <c r="G39" s="197">
        <v>62450</v>
      </c>
      <c r="H39" s="196">
        <v>-300</v>
      </c>
      <c r="I39" s="197">
        <v>30</v>
      </c>
      <c r="J39" s="268">
        <f t="shared" si="1"/>
        <v>-9000</v>
      </c>
      <c r="K39" s="185"/>
      <c r="V39" s="183">
        <f t="shared" si="2"/>
        <v>0</v>
      </c>
      <c r="W39" s="183">
        <f t="shared" si="3"/>
        <v>1</v>
      </c>
    </row>
    <row r="40" spans="1:23" x14ac:dyDescent="0.3">
      <c r="A40" s="184"/>
      <c r="B40" s="194">
        <v>35</v>
      </c>
      <c r="C40" s="195">
        <v>44890</v>
      </c>
      <c r="D40" s="196" t="s">
        <v>23</v>
      </c>
      <c r="E40" s="196" t="s">
        <v>24</v>
      </c>
      <c r="F40" s="197">
        <v>52520</v>
      </c>
      <c r="G40" s="197">
        <v>52420</v>
      </c>
      <c r="H40" s="196">
        <v>100</v>
      </c>
      <c r="I40" s="197">
        <v>100</v>
      </c>
      <c r="J40" s="268">
        <f t="shared" si="1"/>
        <v>10000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44890</v>
      </c>
      <c r="D41" s="196" t="s">
        <v>23</v>
      </c>
      <c r="E41" s="196" t="s">
        <v>22</v>
      </c>
      <c r="F41" s="197">
        <v>61600</v>
      </c>
      <c r="G41" s="197">
        <v>61300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44893</v>
      </c>
      <c r="D42" s="196" t="s">
        <v>23</v>
      </c>
      <c r="E42" s="196" t="s">
        <v>24</v>
      </c>
      <c r="F42" s="197">
        <v>52500</v>
      </c>
      <c r="G42" s="197">
        <v>52450</v>
      </c>
      <c r="H42" s="196">
        <v>50</v>
      </c>
      <c r="I42" s="197">
        <v>100</v>
      </c>
      <c r="J42" s="268">
        <f t="shared" si="1"/>
        <v>5000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44893</v>
      </c>
      <c r="D43" s="196" t="s">
        <v>23</v>
      </c>
      <c r="E43" s="196" t="s">
        <v>22</v>
      </c>
      <c r="F43" s="197">
        <v>61450</v>
      </c>
      <c r="G43" s="197">
        <v>61300</v>
      </c>
      <c r="H43" s="196">
        <v>150</v>
      </c>
      <c r="I43" s="197">
        <v>30</v>
      </c>
      <c r="J43" s="268">
        <f t="shared" si="1"/>
        <v>4500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44895</v>
      </c>
      <c r="D44" s="196" t="s">
        <v>23</v>
      </c>
      <c r="E44" s="196" t="s">
        <v>24</v>
      </c>
      <c r="F44" s="197">
        <v>53120</v>
      </c>
      <c r="G44" s="197">
        <v>53040</v>
      </c>
      <c r="H44" s="196">
        <f>53120-53040</f>
        <v>80</v>
      </c>
      <c r="I44" s="197">
        <v>100</v>
      </c>
      <c r="J44" s="268">
        <f t="shared" si="1"/>
        <v>8000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44895</v>
      </c>
      <c r="D45" s="196" t="s">
        <v>23</v>
      </c>
      <c r="E45" s="196" t="s">
        <v>22</v>
      </c>
      <c r="F45" s="197">
        <v>63200</v>
      </c>
      <c r="G45" s="197">
        <v>62100</v>
      </c>
      <c r="H45" s="196">
        <v>100</v>
      </c>
      <c r="I45" s="197">
        <v>100</v>
      </c>
      <c r="J45" s="268">
        <f t="shared" si="1"/>
        <v>10000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308090</v>
      </c>
      <c r="K52" s="185"/>
      <c r="V52" s="183">
        <f>SUM(V6:V51)</f>
        <v>34</v>
      </c>
      <c r="W52" s="183">
        <f>SUM(W6:W51)</f>
        <v>6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44866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44866</v>
      </c>
      <c r="D60" s="192" t="s">
        <v>23</v>
      </c>
      <c r="E60" s="192" t="s">
        <v>25</v>
      </c>
      <c r="F60" s="193">
        <v>7275</v>
      </c>
      <c r="G60" s="193">
        <v>7235</v>
      </c>
      <c r="H60" s="192">
        <v>40</v>
      </c>
      <c r="I60" s="193">
        <v>100</v>
      </c>
      <c r="J60" s="267">
        <f t="shared" ref="J60:J82" si="6">I60*H60</f>
        <v>4000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44867</v>
      </c>
      <c r="D61" s="196" t="s">
        <v>23</v>
      </c>
      <c r="E61" s="196" t="s">
        <v>25</v>
      </c>
      <c r="F61" s="197">
        <v>7380</v>
      </c>
      <c r="G61" s="197">
        <v>7310</v>
      </c>
      <c r="H61" s="196">
        <f>7380-7310</f>
        <v>70</v>
      </c>
      <c r="I61" s="197">
        <v>100</v>
      </c>
      <c r="J61" s="268">
        <f t="shared" si="6"/>
        <v>7000</v>
      </c>
      <c r="K61" s="185"/>
      <c r="V61" s="183">
        <f t="shared" ref="V61:V82" si="7">IF($J61&gt;0,1,0)</f>
        <v>1</v>
      </c>
      <c r="W61" s="183">
        <f t="shared" ref="W61:W82" si="8">IF($J61&lt;0,1,0)</f>
        <v>0</v>
      </c>
    </row>
    <row r="62" spans="1:23" x14ac:dyDescent="0.3">
      <c r="A62" s="184"/>
      <c r="B62" s="194">
        <v>3</v>
      </c>
      <c r="C62" s="195">
        <v>44868</v>
      </c>
      <c r="D62" s="196" t="s">
        <v>23</v>
      </c>
      <c r="E62" s="196" t="s">
        <v>25</v>
      </c>
      <c r="F62" s="197">
        <v>7350</v>
      </c>
      <c r="G62" s="197">
        <v>7320</v>
      </c>
      <c r="H62" s="196">
        <v>30</v>
      </c>
      <c r="I62" s="197">
        <v>100</v>
      </c>
      <c r="J62" s="268">
        <f t="shared" si="6"/>
        <v>3000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4</v>
      </c>
      <c r="C63" s="195">
        <v>44869</v>
      </c>
      <c r="D63" s="196" t="s">
        <v>23</v>
      </c>
      <c r="E63" s="196" t="s">
        <v>25</v>
      </c>
      <c r="F63" s="197">
        <v>7440</v>
      </c>
      <c r="G63" s="197">
        <v>7470</v>
      </c>
      <c r="H63" s="196">
        <v>-30</v>
      </c>
      <c r="I63" s="197">
        <v>100</v>
      </c>
      <c r="J63" s="268">
        <f t="shared" si="6"/>
        <v>-3000</v>
      </c>
      <c r="K63" s="185"/>
      <c r="V63" s="183">
        <f t="shared" si="7"/>
        <v>0</v>
      </c>
      <c r="W63" s="183">
        <f t="shared" si="8"/>
        <v>1</v>
      </c>
    </row>
    <row r="64" spans="1:23" x14ac:dyDescent="0.3">
      <c r="A64" s="184"/>
      <c r="B64" s="194">
        <v>5</v>
      </c>
      <c r="C64" s="195">
        <v>44872</v>
      </c>
      <c r="D64" s="196" t="s">
        <v>23</v>
      </c>
      <c r="E64" s="196" t="s">
        <v>25</v>
      </c>
      <c r="F64" s="197">
        <v>7540</v>
      </c>
      <c r="G64" s="197">
        <v>7570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6</v>
      </c>
      <c r="C65" s="195">
        <v>44874</v>
      </c>
      <c r="D65" s="196" t="s">
        <v>23</v>
      </c>
      <c r="E65" s="196" t="s">
        <v>25</v>
      </c>
      <c r="F65" s="197">
        <v>7210</v>
      </c>
      <c r="G65" s="197">
        <v>7140</v>
      </c>
      <c r="H65" s="196">
        <f>7210-7140</f>
        <v>70</v>
      </c>
      <c r="I65" s="197">
        <v>100</v>
      </c>
      <c r="J65" s="268">
        <f t="shared" si="6"/>
        <v>7000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7</v>
      </c>
      <c r="C66" s="195">
        <v>44875</v>
      </c>
      <c r="D66" s="196" t="s">
        <v>23</v>
      </c>
      <c r="E66" s="196" t="s">
        <v>25</v>
      </c>
      <c r="F66" s="222">
        <v>7035</v>
      </c>
      <c r="G66" s="222">
        <v>6965</v>
      </c>
      <c r="H66" s="196">
        <f>7035-6965</f>
        <v>70</v>
      </c>
      <c r="I66" s="197">
        <v>100</v>
      </c>
      <c r="J66" s="268">
        <f t="shared" si="6"/>
        <v>7000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8</v>
      </c>
      <c r="C67" s="195">
        <v>44876</v>
      </c>
      <c r="D67" s="196" t="s">
        <v>23</v>
      </c>
      <c r="E67" s="196" t="s">
        <v>25</v>
      </c>
      <c r="F67" s="197">
        <v>7180</v>
      </c>
      <c r="G67" s="197">
        <v>7155</v>
      </c>
      <c r="H67" s="196">
        <f>7180-7155</f>
        <v>25</v>
      </c>
      <c r="I67" s="197">
        <v>100</v>
      </c>
      <c r="J67" s="268">
        <f t="shared" si="6"/>
        <v>2500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44879</v>
      </c>
      <c r="D68" s="196" t="s">
        <v>23</v>
      </c>
      <c r="E68" s="196" t="s">
        <v>25</v>
      </c>
      <c r="F68" s="197">
        <v>7230</v>
      </c>
      <c r="G68" s="197">
        <v>7160</v>
      </c>
      <c r="H68" s="196">
        <f>7230-7160</f>
        <v>70</v>
      </c>
      <c r="I68" s="197">
        <v>100</v>
      </c>
      <c r="J68" s="268">
        <f t="shared" si="6"/>
        <v>7000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44880</v>
      </c>
      <c r="D69" s="196" t="s">
        <v>23</v>
      </c>
      <c r="E69" s="196" t="s">
        <v>25</v>
      </c>
      <c r="F69" s="197">
        <v>6940</v>
      </c>
      <c r="G69" s="197">
        <v>6870</v>
      </c>
      <c r="H69" s="196">
        <f>6940-6870</f>
        <v>70</v>
      </c>
      <c r="I69" s="197">
        <v>100</v>
      </c>
      <c r="J69" s="268">
        <f t="shared" si="6"/>
        <v>7000</v>
      </c>
      <c r="K69" s="185"/>
      <c r="V69" s="183">
        <f t="shared" si="7"/>
        <v>1</v>
      </c>
      <c r="W69" s="183">
        <f t="shared" si="8"/>
        <v>0</v>
      </c>
    </row>
    <row r="70" spans="1:23" x14ac:dyDescent="0.3">
      <c r="A70" s="184"/>
      <c r="B70" s="194">
        <v>11</v>
      </c>
      <c r="C70" s="195">
        <v>44881</v>
      </c>
      <c r="D70" s="196" t="s">
        <v>23</v>
      </c>
      <c r="E70" s="196" t="s">
        <v>25</v>
      </c>
      <c r="F70" s="197">
        <v>7100</v>
      </c>
      <c r="G70" s="197">
        <v>7070</v>
      </c>
      <c r="H70" s="196">
        <f>7100-7070</f>
        <v>30</v>
      </c>
      <c r="I70" s="197">
        <v>100</v>
      </c>
      <c r="J70" s="268">
        <f t="shared" si="6"/>
        <v>3000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44882</v>
      </c>
      <c r="D71" s="196" t="s">
        <v>23</v>
      </c>
      <c r="E71" s="196" t="s">
        <v>25</v>
      </c>
      <c r="F71" s="197">
        <v>6945</v>
      </c>
      <c r="G71" s="197">
        <v>6878</v>
      </c>
      <c r="H71" s="196">
        <f>6945-6878</f>
        <v>67</v>
      </c>
      <c r="I71" s="197">
        <v>100</v>
      </c>
      <c r="J71" s="268">
        <f t="shared" si="6"/>
        <v>6700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44883</v>
      </c>
      <c r="D72" s="196" t="s">
        <v>23</v>
      </c>
      <c r="E72" s="196" t="s">
        <v>25</v>
      </c>
      <c r="F72" s="197">
        <v>6710</v>
      </c>
      <c r="G72" s="197">
        <v>6640</v>
      </c>
      <c r="H72" s="196">
        <v>60</v>
      </c>
      <c r="I72" s="197">
        <v>100</v>
      </c>
      <c r="J72" s="268">
        <f t="shared" si="6"/>
        <v>6000</v>
      </c>
      <c r="K72" s="185"/>
      <c r="V72" s="183">
        <f t="shared" si="7"/>
        <v>1</v>
      </c>
      <c r="W72" s="183">
        <f t="shared" si="8"/>
        <v>0</v>
      </c>
    </row>
    <row r="73" spans="1:23" x14ac:dyDescent="0.3">
      <c r="A73" s="184"/>
      <c r="B73" s="194">
        <v>14</v>
      </c>
      <c r="C73" s="195">
        <v>44886</v>
      </c>
      <c r="D73" s="196" t="s">
        <v>23</v>
      </c>
      <c r="E73" s="196" t="s">
        <v>25</v>
      </c>
      <c r="F73" s="197">
        <v>6570</v>
      </c>
      <c r="G73" s="197">
        <v>6530</v>
      </c>
      <c r="H73" s="196">
        <f>6570-6530</f>
        <v>40</v>
      </c>
      <c r="I73" s="197">
        <v>100</v>
      </c>
      <c r="J73" s="268">
        <f t="shared" si="6"/>
        <v>4000</v>
      </c>
      <c r="K73" s="185"/>
      <c r="V73" s="183">
        <f t="shared" si="7"/>
        <v>1</v>
      </c>
      <c r="W73" s="183">
        <f t="shared" si="8"/>
        <v>0</v>
      </c>
    </row>
    <row r="74" spans="1:23" x14ac:dyDescent="0.3">
      <c r="A74" s="184"/>
      <c r="B74" s="194">
        <v>15</v>
      </c>
      <c r="C74" s="195">
        <v>44887</v>
      </c>
      <c r="D74" s="196" t="s">
        <v>23</v>
      </c>
      <c r="E74" s="196" t="s">
        <v>25</v>
      </c>
      <c r="F74" s="197">
        <v>6620</v>
      </c>
      <c r="G74" s="197">
        <v>6580</v>
      </c>
      <c r="H74" s="196">
        <f>6620-6580</f>
        <v>40</v>
      </c>
      <c r="I74" s="197">
        <v>100</v>
      </c>
      <c r="J74" s="268">
        <f t="shared" si="6"/>
        <v>4000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>
        <v>44888</v>
      </c>
      <c r="D75" s="196" t="s">
        <v>23</v>
      </c>
      <c r="E75" s="196" t="s">
        <v>25</v>
      </c>
      <c r="F75" s="197">
        <v>6710</v>
      </c>
      <c r="G75" s="197">
        <v>6640</v>
      </c>
      <c r="H75" s="196">
        <v>60</v>
      </c>
      <c r="I75" s="197">
        <v>100</v>
      </c>
      <c r="J75" s="268">
        <f t="shared" si="6"/>
        <v>6000</v>
      </c>
      <c r="K75" s="185"/>
      <c r="V75" s="183">
        <f t="shared" si="7"/>
        <v>1</v>
      </c>
      <c r="W75" s="183">
        <f t="shared" si="8"/>
        <v>0</v>
      </c>
    </row>
    <row r="76" spans="1:23" x14ac:dyDescent="0.3">
      <c r="A76" s="184"/>
      <c r="B76" s="194">
        <v>17</v>
      </c>
      <c r="C76" s="195">
        <v>44889</v>
      </c>
      <c r="D76" s="196" t="s">
        <v>23</v>
      </c>
      <c r="E76" s="196" t="s">
        <v>25</v>
      </c>
      <c r="F76" s="197">
        <v>6380</v>
      </c>
      <c r="G76" s="197">
        <v>6365</v>
      </c>
      <c r="H76" s="196">
        <f>6380-6365</f>
        <v>15</v>
      </c>
      <c r="I76" s="197">
        <v>100</v>
      </c>
      <c r="J76" s="268">
        <f t="shared" si="6"/>
        <v>1500</v>
      </c>
      <c r="K76" s="185"/>
      <c r="V76" s="183">
        <f t="shared" si="7"/>
        <v>1</v>
      </c>
      <c r="W76" s="183">
        <f t="shared" si="8"/>
        <v>0</v>
      </c>
    </row>
    <row r="77" spans="1:23" x14ac:dyDescent="0.3">
      <c r="A77" s="255"/>
      <c r="B77" s="194">
        <v>18</v>
      </c>
      <c r="C77" s="195">
        <v>44890</v>
      </c>
      <c r="D77" s="196" t="s">
        <v>23</v>
      </c>
      <c r="E77" s="196" t="s">
        <v>25</v>
      </c>
      <c r="F77" s="197">
        <v>6510</v>
      </c>
      <c r="G77" s="197">
        <v>6550</v>
      </c>
      <c r="H77" s="196">
        <v>-30</v>
      </c>
      <c r="I77" s="197">
        <v>100</v>
      </c>
      <c r="J77" s="268">
        <f t="shared" si="6"/>
        <v>-3000</v>
      </c>
      <c r="K77" s="185"/>
      <c r="V77" s="183">
        <f t="shared" si="7"/>
        <v>0</v>
      </c>
      <c r="W77" s="183">
        <f t="shared" si="8"/>
        <v>1</v>
      </c>
    </row>
    <row r="78" spans="1:23" x14ac:dyDescent="0.3">
      <c r="A78" s="184"/>
      <c r="B78" s="194">
        <v>19</v>
      </c>
      <c r="C78" s="195">
        <v>44893</v>
      </c>
      <c r="D78" s="196" t="s">
        <v>23</v>
      </c>
      <c r="E78" s="196" t="s">
        <v>25</v>
      </c>
      <c r="F78" s="197">
        <v>6080</v>
      </c>
      <c r="G78" s="197">
        <v>6120</v>
      </c>
      <c r="H78" s="196">
        <f>6120-6080</f>
        <v>40</v>
      </c>
      <c r="I78" s="197">
        <v>100</v>
      </c>
      <c r="J78" s="268">
        <f t="shared" si="6"/>
        <v>4000</v>
      </c>
      <c r="K78" s="185"/>
      <c r="V78" s="183">
        <f t="shared" si="7"/>
        <v>1</v>
      </c>
      <c r="W78" s="183">
        <f t="shared" si="8"/>
        <v>0</v>
      </c>
    </row>
    <row r="79" spans="1:23" x14ac:dyDescent="0.3">
      <c r="A79" s="184"/>
      <c r="B79" s="194">
        <v>20</v>
      </c>
      <c r="C79" s="195">
        <v>44895</v>
      </c>
      <c r="D79" s="196" t="s">
        <v>23</v>
      </c>
      <c r="E79" s="196" t="s">
        <v>25</v>
      </c>
      <c r="F79" s="197">
        <v>6445</v>
      </c>
      <c r="G79" s="197">
        <v>6485</v>
      </c>
      <c r="H79" s="196">
        <v>-40</v>
      </c>
      <c r="I79" s="197">
        <v>100</v>
      </c>
      <c r="J79" s="268">
        <f t="shared" si="6"/>
        <v>-4000</v>
      </c>
      <c r="K79" s="185"/>
      <c r="V79" s="183">
        <f t="shared" si="7"/>
        <v>0</v>
      </c>
      <c r="W79" s="183">
        <f t="shared" si="8"/>
        <v>1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6"/>
        <v>0</v>
      </c>
      <c r="K80" s="185"/>
      <c r="V80" s="183">
        <f t="shared" si="7"/>
        <v>0</v>
      </c>
      <c r="W80" s="183">
        <f t="shared" si="8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6"/>
        <v>0</v>
      </c>
      <c r="K81" s="185"/>
      <c r="V81" s="183">
        <f t="shared" si="7"/>
        <v>0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66700</v>
      </c>
      <c r="K83" s="185"/>
      <c r="V83" s="183">
        <f>SUM(V60:V82)</f>
        <v>16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44866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44866</v>
      </c>
      <c r="D91" s="216" t="s">
        <v>23</v>
      </c>
      <c r="E91" s="256" t="s">
        <v>28</v>
      </c>
      <c r="F91" s="256">
        <v>254</v>
      </c>
      <c r="G91" s="256">
        <v>253.6</v>
      </c>
      <c r="H91" s="256">
        <f>254-253.6</f>
        <v>0.40000000000000568</v>
      </c>
      <c r="I91" s="218">
        <v>5000</v>
      </c>
      <c r="J91" s="273">
        <f>I91*H91</f>
        <v>2000.0000000000284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44867</v>
      </c>
      <c r="D92" s="196" t="s">
        <v>23</v>
      </c>
      <c r="E92" s="222" t="s">
        <v>28</v>
      </c>
      <c r="F92" s="222">
        <v>258</v>
      </c>
      <c r="G92" s="222">
        <v>256</v>
      </c>
      <c r="H92" s="222">
        <v>2</v>
      </c>
      <c r="I92" s="197">
        <v>5000</v>
      </c>
      <c r="J92" s="268">
        <f t="shared" ref="J92:J110" si="9">I92*H92</f>
        <v>10000</v>
      </c>
      <c r="K92" s="185"/>
      <c r="V92" s="183">
        <f t="shared" ref="V92:V110" si="10">IF($J92&gt;0,1,0)</f>
        <v>1</v>
      </c>
      <c r="W92" s="183">
        <f t="shared" ref="W92:W110" si="11">IF($J92&lt;0,1,0)</f>
        <v>0</v>
      </c>
    </row>
    <row r="93" spans="1:23" x14ac:dyDescent="0.3">
      <c r="A93" s="184"/>
      <c r="B93" s="194">
        <v>3</v>
      </c>
      <c r="C93" s="195">
        <v>44868</v>
      </c>
      <c r="D93" s="196" t="s">
        <v>23</v>
      </c>
      <c r="E93" s="222" t="s">
        <v>28</v>
      </c>
      <c r="F93" s="222">
        <v>253.5</v>
      </c>
      <c r="G93" s="222">
        <v>251.5</v>
      </c>
      <c r="H93" s="222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44869</v>
      </c>
      <c r="D94" s="196" t="s">
        <v>23</v>
      </c>
      <c r="E94" s="222" t="s">
        <v>28</v>
      </c>
      <c r="F94" s="222">
        <v>261.3</v>
      </c>
      <c r="G94" s="222">
        <v>262.3</v>
      </c>
      <c r="H94" s="222">
        <v>-1</v>
      </c>
      <c r="I94" s="197">
        <v>5000</v>
      </c>
      <c r="J94" s="268">
        <f t="shared" si="9"/>
        <v>-5000</v>
      </c>
      <c r="K94" s="185"/>
      <c r="V94" s="183">
        <f t="shared" si="10"/>
        <v>0</v>
      </c>
      <c r="W94" s="183">
        <f t="shared" si="11"/>
        <v>1</v>
      </c>
    </row>
    <row r="95" spans="1:23" x14ac:dyDescent="0.3">
      <c r="A95" s="184"/>
      <c r="B95" s="194">
        <v>5</v>
      </c>
      <c r="C95" s="195">
        <v>44872</v>
      </c>
      <c r="D95" s="196" t="s">
        <v>23</v>
      </c>
      <c r="E95" s="222" t="s">
        <v>28</v>
      </c>
      <c r="F95" s="222">
        <v>268</v>
      </c>
      <c r="G95" s="222">
        <v>266</v>
      </c>
      <c r="H95" s="222">
        <v>2</v>
      </c>
      <c r="I95" s="197">
        <v>5000</v>
      </c>
      <c r="J95" s="268">
        <f t="shared" si="9"/>
        <v>10000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6</v>
      </c>
      <c r="C96" s="195">
        <v>44874</v>
      </c>
      <c r="D96" s="196" t="s">
        <v>23</v>
      </c>
      <c r="E96" s="222" t="s">
        <v>28</v>
      </c>
      <c r="F96" s="222">
        <v>264.5</v>
      </c>
      <c r="G96" s="222">
        <v>263</v>
      </c>
      <c r="H96" s="222">
        <f>264.5-263</f>
        <v>1.5</v>
      </c>
      <c r="I96" s="197">
        <v>5000</v>
      </c>
      <c r="J96" s="268">
        <f t="shared" si="9"/>
        <v>7500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7</v>
      </c>
      <c r="C97" s="195">
        <v>44875</v>
      </c>
      <c r="D97" s="196" t="s">
        <v>23</v>
      </c>
      <c r="E97" s="222" t="s">
        <v>28</v>
      </c>
      <c r="F97" s="222">
        <v>258</v>
      </c>
      <c r="G97" s="222">
        <v>256</v>
      </c>
      <c r="H97" s="274">
        <v>2</v>
      </c>
      <c r="I97" s="197">
        <v>5000</v>
      </c>
      <c r="J97" s="268">
        <f t="shared" si="9"/>
        <v>10000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8</v>
      </c>
      <c r="C98" s="195">
        <v>44876</v>
      </c>
      <c r="D98" s="196" t="s">
        <v>23</v>
      </c>
      <c r="E98" s="222" t="s">
        <v>28</v>
      </c>
      <c r="F98" s="222">
        <v>272</v>
      </c>
      <c r="G98" s="222">
        <v>270.5</v>
      </c>
      <c r="H98" s="222">
        <f>272-270.5</f>
        <v>1.5</v>
      </c>
      <c r="I98" s="197">
        <v>5000</v>
      </c>
      <c r="J98" s="268">
        <f t="shared" si="9"/>
        <v>7500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44879</v>
      </c>
      <c r="D99" s="196" t="s">
        <v>23</v>
      </c>
      <c r="E99" s="222" t="s">
        <v>28</v>
      </c>
      <c r="F99" s="222">
        <v>274.5</v>
      </c>
      <c r="G99" s="222">
        <v>273</v>
      </c>
      <c r="H99" s="222">
        <v>1.5</v>
      </c>
      <c r="I99" s="197">
        <v>5000</v>
      </c>
      <c r="J99" s="268">
        <f t="shared" si="9"/>
        <v>7500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44880</v>
      </c>
      <c r="D100" s="196" t="s">
        <v>23</v>
      </c>
      <c r="E100" s="222" t="s">
        <v>28</v>
      </c>
      <c r="F100" s="222">
        <v>279.7</v>
      </c>
      <c r="G100" s="222">
        <v>278.7</v>
      </c>
      <c r="H100" s="222">
        <v>1</v>
      </c>
      <c r="I100" s="197">
        <v>5000</v>
      </c>
      <c r="J100" s="268">
        <f t="shared" si="9"/>
        <v>5000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44881</v>
      </c>
      <c r="D101" s="196" t="s">
        <v>23</v>
      </c>
      <c r="E101" s="222" t="s">
        <v>28</v>
      </c>
      <c r="F101" s="222">
        <v>278.5</v>
      </c>
      <c r="G101" s="222">
        <v>276.5</v>
      </c>
      <c r="H101" s="274">
        <v>2</v>
      </c>
      <c r="I101" s="197">
        <v>5000</v>
      </c>
      <c r="J101" s="268">
        <f t="shared" si="9"/>
        <v>10000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44882</v>
      </c>
      <c r="D102" s="196" t="s">
        <v>23</v>
      </c>
      <c r="E102" s="222" t="s">
        <v>28</v>
      </c>
      <c r="F102" s="222">
        <v>269</v>
      </c>
      <c r="G102" s="222">
        <v>268</v>
      </c>
      <c r="H102" s="274">
        <v>1</v>
      </c>
      <c r="I102" s="197">
        <v>5000</v>
      </c>
      <c r="J102" s="268">
        <f t="shared" si="9"/>
        <v>5000</v>
      </c>
      <c r="K102" s="185"/>
      <c r="V102" s="183">
        <f t="shared" si="10"/>
        <v>1</v>
      </c>
      <c r="W102" s="183">
        <f t="shared" si="11"/>
        <v>0</v>
      </c>
    </row>
    <row r="103" spans="1:23" x14ac:dyDescent="0.3">
      <c r="A103" s="184"/>
      <c r="B103" s="194">
        <v>13</v>
      </c>
      <c r="C103" s="195">
        <v>44883</v>
      </c>
      <c r="D103" s="196" t="s">
        <v>23</v>
      </c>
      <c r="E103" s="222" t="s">
        <v>28</v>
      </c>
      <c r="F103" s="222">
        <v>269.5</v>
      </c>
      <c r="G103" s="222">
        <v>267.8</v>
      </c>
      <c r="H103" s="274">
        <f>269.5-267.8</f>
        <v>1.6999999999999886</v>
      </c>
      <c r="I103" s="197">
        <v>5000</v>
      </c>
      <c r="J103" s="268">
        <f t="shared" si="9"/>
        <v>8499.9999999999436</v>
      </c>
      <c r="K103" s="185"/>
      <c r="V103" s="183">
        <f t="shared" si="10"/>
        <v>1</v>
      </c>
      <c r="W103" s="183">
        <f t="shared" si="11"/>
        <v>0</v>
      </c>
    </row>
    <row r="104" spans="1:23" x14ac:dyDescent="0.3">
      <c r="A104" s="184"/>
      <c r="B104" s="194">
        <v>14</v>
      </c>
      <c r="C104" s="195">
        <v>44886</v>
      </c>
      <c r="D104" s="196" t="s">
        <v>23</v>
      </c>
      <c r="E104" s="222" t="s">
        <v>28</v>
      </c>
      <c r="F104" s="222">
        <v>266.5</v>
      </c>
      <c r="G104" s="222">
        <v>264.5</v>
      </c>
      <c r="H104" s="274">
        <v>2</v>
      </c>
      <c r="I104" s="197">
        <v>5000</v>
      </c>
      <c r="J104" s="268">
        <f t="shared" si="9"/>
        <v>10000</v>
      </c>
      <c r="K104" s="185"/>
      <c r="V104" s="183">
        <f t="shared" si="10"/>
        <v>1</v>
      </c>
      <c r="W104" s="183">
        <f t="shared" si="11"/>
        <v>0</v>
      </c>
    </row>
    <row r="105" spans="1:23" x14ac:dyDescent="0.3">
      <c r="A105" s="184"/>
      <c r="B105" s="194">
        <v>15</v>
      </c>
      <c r="C105" s="195">
        <v>44887</v>
      </c>
      <c r="D105" s="196" t="s">
        <v>23</v>
      </c>
      <c r="E105" s="196" t="s">
        <v>28</v>
      </c>
      <c r="F105" s="222">
        <v>260.5</v>
      </c>
      <c r="G105" s="222">
        <v>259.5</v>
      </c>
      <c r="H105" s="222">
        <v>1</v>
      </c>
      <c r="I105" s="197">
        <v>5000</v>
      </c>
      <c r="J105" s="268">
        <f t="shared" si="9"/>
        <v>5000</v>
      </c>
      <c r="K105" s="185"/>
      <c r="V105" s="183">
        <f t="shared" si="10"/>
        <v>1</v>
      </c>
      <c r="W105" s="183">
        <f t="shared" si="11"/>
        <v>0</v>
      </c>
    </row>
    <row r="106" spans="1:23" x14ac:dyDescent="0.3">
      <c r="A106" s="184"/>
      <c r="B106" s="194">
        <v>16</v>
      </c>
      <c r="C106" s="195">
        <v>44888</v>
      </c>
      <c r="D106" s="196" t="s">
        <v>23</v>
      </c>
      <c r="E106" s="196" t="s">
        <v>28</v>
      </c>
      <c r="F106" s="222">
        <v>261</v>
      </c>
      <c r="G106" s="197">
        <v>260</v>
      </c>
      <c r="H106" s="274">
        <v>1</v>
      </c>
      <c r="I106" s="197">
        <v>5000</v>
      </c>
      <c r="J106" s="268">
        <f t="shared" si="9"/>
        <v>5000</v>
      </c>
      <c r="K106" s="185"/>
      <c r="V106" s="183">
        <f t="shared" si="10"/>
        <v>1</v>
      </c>
      <c r="W106" s="183">
        <f t="shared" si="11"/>
        <v>0</v>
      </c>
    </row>
    <row r="107" spans="1:23" x14ac:dyDescent="0.3">
      <c r="A107" s="184"/>
      <c r="B107" s="194">
        <v>17</v>
      </c>
      <c r="C107" s="195">
        <v>44889</v>
      </c>
      <c r="D107" s="196" t="s">
        <v>23</v>
      </c>
      <c r="E107" s="196" t="s">
        <v>28</v>
      </c>
      <c r="F107" s="222">
        <v>261.5</v>
      </c>
      <c r="G107" s="222">
        <v>259.5</v>
      </c>
      <c r="H107" s="274">
        <v>2</v>
      </c>
      <c r="I107" s="197">
        <v>5000</v>
      </c>
      <c r="J107" s="268">
        <f t="shared" si="9"/>
        <v>10000</v>
      </c>
      <c r="K107" s="185"/>
      <c r="V107" s="183">
        <f t="shared" si="10"/>
        <v>1</v>
      </c>
      <c r="W107" s="183">
        <f t="shared" si="11"/>
        <v>0</v>
      </c>
    </row>
    <row r="108" spans="1:23" x14ac:dyDescent="0.3">
      <c r="A108" s="184"/>
      <c r="B108" s="194">
        <v>18</v>
      </c>
      <c r="C108" s="195">
        <v>44890</v>
      </c>
      <c r="D108" s="196" t="s">
        <v>23</v>
      </c>
      <c r="E108" s="196" t="s">
        <v>28</v>
      </c>
      <c r="F108" s="222">
        <v>264.3</v>
      </c>
      <c r="G108" s="222">
        <v>263.85000000000002</v>
      </c>
      <c r="H108" s="274">
        <f>264.3-263.85</f>
        <v>0.44999999999998863</v>
      </c>
      <c r="I108" s="197">
        <v>5000</v>
      </c>
      <c r="J108" s="268">
        <f t="shared" si="9"/>
        <v>2249.9999999999432</v>
      </c>
      <c r="K108" s="185"/>
      <c r="V108" s="183">
        <f t="shared" si="10"/>
        <v>1</v>
      </c>
      <c r="W108" s="183">
        <f t="shared" si="11"/>
        <v>0</v>
      </c>
    </row>
    <row r="109" spans="1:23" x14ac:dyDescent="0.3">
      <c r="A109" s="184"/>
      <c r="B109" s="194">
        <v>19</v>
      </c>
      <c r="C109" s="195">
        <v>44893</v>
      </c>
      <c r="D109" s="196" t="s">
        <v>23</v>
      </c>
      <c r="E109" s="196" t="s">
        <v>28</v>
      </c>
      <c r="F109" s="222">
        <v>260.8</v>
      </c>
      <c r="G109" s="222">
        <v>260.3</v>
      </c>
      <c r="H109" s="274">
        <v>0.5</v>
      </c>
      <c r="I109" s="197">
        <v>5000</v>
      </c>
      <c r="J109" s="268">
        <f t="shared" si="9"/>
        <v>2500</v>
      </c>
      <c r="K109" s="185"/>
      <c r="V109" s="183">
        <f t="shared" si="10"/>
        <v>1</v>
      </c>
      <c r="W109" s="183">
        <f t="shared" si="11"/>
        <v>0</v>
      </c>
    </row>
    <row r="110" spans="1:23" x14ac:dyDescent="0.3">
      <c r="A110" s="184"/>
      <c r="B110" s="194">
        <v>20</v>
      </c>
      <c r="C110" s="195">
        <v>44895</v>
      </c>
      <c r="D110" s="196" t="s">
        <v>23</v>
      </c>
      <c r="E110" s="222" t="s">
        <v>28</v>
      </c>
      <c r="F110" s="222">
        <v>263.5</v>
      </c>
      <c r="G110" s="222">
        <v>264.5</v>
      </c>
      <c r="H110" s="274">
        <v>-0.5</v>
      </c>
      <c r="I110" s="197">
        <v>5000</v>
      </c>
      <c r="J110" s="268">
        <f t="shared" si="9"/>
        <v>-2500</v>
      </c>
      <c r="K110" s="185"/>
      <c r="V110" s="183">
        <f t="shared" si="10"/>
        <v>0</v>
      </c>
      <c r="W110" s="183">
        <f t="shared" si="11"/>
        <v>1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 t="s">
        <v>870</v>
      </c>
      <c r="I111" s="197"/>
      <c r="J111" s="268"/>
      <c r="K111" s="185"/>
      <c r="V111" s="183">
        <f>IF($J111&gt;0,1,0)</f>
        <v>0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120249.99999999991</v>
      </c>
      <c r="K114" s="185"/>
      <c r="V114" s="183">
        <f>SUM(V91:V113)</f>
        <v>18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7700-000000000000}"/>
    <hyperlink ref="B83" r:id="rId2" xr:uid="{00000000-0004-0000-7700-000001000000}"/>
    <hyperlink ref="M4:M5" location="'NOV 2022'!A1" display="BULLION" xr:uid="{00000000-0004-0000-7700-000002000000}"/>
    <hyperlink ref="B114" r:id="rId3" xr:uid="{00000000-0004-0000-7700-000003000000}"/>
    <hyperlink ref="M8:M9" location="'NOV 2022'!A86" display="BASE METAL" xr:uid="{00000000-0004-0000-7700-000004000000}"/>
    <hyperlink ref="M1" location="MASTER!A1" display="Back" xr:uid="{00000000-0004-0000-7700-000005000000}"/>
    <hyperlink ref="M6:M7" location="'NOV 2022'!A54" display="ENERGY" xr:uid="{00000000-0004-0000-7700-000006000000}"/>
  </hyperlinks>
  <pageMargins left="0" right="0" top="0" bottom="0" header="0" footer="0"/>
  <pageSetup paperSize="9" orientation="portrait" r:id="rId4"/>
  <drawing r:id="rId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W115"/>
  <sheetViews>
    <sheetView topLeftCell="A100" zoomScaleNormal="100" workbookViewId="0">
      <selection activeCell="I118" sqref="I1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44896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33</v>
      </c>
      <c r="P4" s="369">
        <f>W52</f>
        <v>9</v>
      </c>
      <c r="Q4" s="349">
        <f>N4-O4-P4</f>
        <v>0</v>
      </c>
      <c r="R4" s="343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44896</v>
      </c>
      <c r="D6" s="192" t="s">
        <v>23</v>
      </c>
      <c r="E6" s="192" t="s">
        <v>24</v>
      </c>
      <c r="F6" s="193">
        <v>53420</v>
      </c>
      <c r="G6" s="193">
        <v>53370</v>
      </c>
      <c r="H6" s="192">
        <f>53420-53370</f>
        <v>50</v>
      </c>
      <c r="I6" s="193">
        <v>100</v>
      </c>
      <c r="J6" s="267">
        <f>H6*I6</f>
        <v>5000</v>
      </c>
      <c r="K6" s="185"/>
      <c r="M6" s="364" t="s">
        <v>258</v>
      </c>
      <c r="N6" s="347">
        <f>COUNT(C60:C82)</f>
        <v>21</v>
      </c>
      <c r="O6" s="348">
        <f>V83</f>
        <v>18</v>
      </c>
      <c r="P6" s="348">
        <f>W83</f>
        <v>3</v>
      </c>
      <c r="Q6" s="349">
        <f>N6-O6-P6</f>
        <v>0</v>
      </c>
      <c r="R6" s="345">
        <f t="shared" ref="R6" si="0">O6/N6</f>
        <v>0.8571428571428571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44896</v>
      </c>
      <c r="D7" s="196" t="s">
        <v>23</v>
      </c>
      <c r="E7" s="196" t="s">
        <v>22</v>
      </c>
      <c r="F7" s="197">
        <v>64500</v>
      </c>
      <c r="G7" s="197">
        <v>64350</v>
      </c>
      <c r="H7" s="196">
        <f>64500-64350</f>
        <v>150</v>
      </c>
      <c r="I7" s="197">
        <v>30</v>
      </c>
      <c r="J7" s="268">
        <f t="shared" ref="J7:J51" si="1">H7*I7</f>
        <v>4500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44897</v>
      </c>
      <c r="D8" s="196" t="s">
        <v>23</v>
      </c>
      <c r="E8" s="196" t="s">
        <v>24</v>
      </c>
      <c r="F8" s="197">
        <v>53930</v>
      </c>
      <c r="G8" s="197">
        <v>53875</v>
      </c>
      <c r="H8" s="196">
        <f>53930-53875</f>
        <v>55</v>
      </c>
      <c r="I8" s="197">
        <v>100</v>
      </c>
      <c r="J8" s="268">
        <f t="shared" si="1"/>
        <v>5500</v>
      </c>
      <c r="K8" s="185"/>
      <c r="M8" s="362" t="s">
        <v>877</v>
      </c>
      <c r="N8" s="347">
        <f>COUNT(C91:C113)</f>
        <v>21</v>
      </c>
      <c r="O8" s="348">
        <f>V114</f>
        <v>18</v>
      </c>
      <c r="P8" s="348">
        <f>W114</f>
        <v>3</v>
      </c>
      <c r="Q8" s="349">
        <f>N8-O8-P8</f>
        <v>0</v>
      </c>
      <c r="R8" s="345">
        <f t="shared" ref="R8" si="4">O8/N8</f>
        <v>0.8571428571428571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44897</v>
      </c>
      <c r="D9" s="196" t="s">
        <v>23</v>
      </c>
      <c r="E9" s="196" t="s">
        <v>22</v>
      </c>
      <c r="F9" s="197">
        <v>65750</v>
      </c>
      <c r="G9" s="197">
        <v>65150</v>
      </c>
      <c r="H9" s="196">
        <f>65750-65150</f>
        <v>600</v>
      </c>
      <c r="I9" s="197">
        <v>30</v>
      </c>
      <c r="J9" s="268">
        <f t="shared" si="1"/>
        <v>18000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44900</v>
      </c>
      <c r="D10" s="196" t="s">
        <v>23</v>
      </c>
      <c r="E10" s="196" t="s">
        <v>24</v>
      </c>
      <c r="F10" s="197">
        <v>54120</v>
      </c>
      <c r="G10" s="197">
        <v>53966</v>
      </c>
      <c r="H10" s="196">
        <f>54120-53966</f>
        <v>154</v>
      </c>
      <c r="I10" s="197">
        <v>100</v>
      </c>
      <c r="J10" s="268">
        <f t="shared" si="1"/>
        <v>15400</v>
      </c>
      <c r="K10" s="185"/>
      <c r="M10" s="319" t="s">
        <v>300</v>
      </c>
      <c r="N10" s="321">
        <f>SUM(N4:N9)</f>
        <v>84</v>
      </c>
      <c r="O10" s="321">
        <f>SUM(O4:O9)</f>
        <v>69</v>
      </c>
      <c r="P10" s="321">
        <f>SUM(P4:P9)</f>
        <v>15</v>
      </c>
      <c r="Q10" s="341">
        <f>SUM(Q4:Q9)</f>
        <v>0</v>
      </c>
      <c r="R10" s="343">
        <f t="shared" ref="R10" si="5">O10/N10</f>
        <v>0.8214285714285714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44900</v>
      </c>
      <c r="D11" s="196" t="s">
        <v>23</v>
      </c>
      <c r="E11" s="196" t="s">
        <v>22</v>
      </c>
      <c r="F11" s="197">
        <v>66800</v>
      </c>
      <c r="G11" s="197">
        <v>66500</v>
      </c>
      <c r="H11" s="196">
        <v>300</v>
      </c>
      <c r="I11" s="197">
        <v>30</v>
      </c>
      <c r="J11" s="268">
        <f t="shared" si="1"/>
        <v>9000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44901</v>
      </c>
      <c r="D12" s="196" t="s">
        <v>16</v>
      </c>
      <c r="E12" s="196" t="s">
        <v>24</v>
      </c>
      <c r="F12" s="197">
        <v>53780</v>
      </c>
      <c r="G12" s="197">
        <v>53920</v>
      </c>
      <c r="H12" s="196">
        <f>53920-53780</f>
        <v>140</v>
      </c>
      <c r="I12" s="197">
        <v>100</v>
      </c>
      <c r="J12" s="268">
        <f t="shared" si="1"/>
        <v>14000</v>
      </c>
      <c r="K12" s="185"/>
      <c r="M12" s="323" t="s">
        <v>878</v>
      </c>
      <c r="N12" s="324"/>
      <c r="O12" s="325"/>
      <c r="P12" s="332">
        <f>R10</f>
        <v>0.8214285714285714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44901</v>
      </c>
      <c r="D13" s="196" t="s">
        <v>16</v>
      </c>
      <c r="E13" s="196" t="s">
        <v>22</v>
      </c>
      <c r="F13" s="197">
        <v>65700</v>
      </c>
      <c r="G13" s="197">
        <v>66100</v>
      </c>
      <c r="H13" s="196">
        <f>66100-65700</f>
        <v>400</v>
      </c>
      <c r="I13" s="197">
        <v>30</v>
      </c>
      <c r="J13" s="268">
        <f t="shared" si="1"/>
        <v>12000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44902</v>
      </c>
      <c r="D14" s="196" t="s">
        <v>16</v>
      </c>
      <c r="E14" s="196" t="s">
        <v>24</v>
      </c>
      <c r="F14" s="197">
        <v>53800</v>
      </c>
      <c r="G14" s="197">
        <v>53855</v>
      </c>
      <c r="H14" s="196">
        <v>55</v>
      </c>
      <c r="I14" s="197">
        <v>100</v>
      </c>
      <c r="J14" s="268">
        <f t="shared" si="1"/>
        <v>5500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44902</v>
      </c>
      <c r="D15" s="196" t="s">
        <v>16</v>
      </c>
      <c r="E15" s="196" t="s">
        <v>22</v>
      </c>
      <c r="F15" s="197">
        <v>65650</v>
      </c>
      <c r="G15" s="197">
        <v>65840</v>
      </c>
      <c r="H15" s="196">
        <v>190</v>
      </c>
      <c r="I15" s="197">
        <v>30</v>
      </c>
      <c r="J15" s="268">
        <f t="shared" si="1"/>
        <v>5700</v>
      </c>
      <c r="K15" s="185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44903</v>
      </c>
      <c r="D16" s="196" t="s">
        <v>16</v>
      </c>
      <c r="E16" s="196" t="s">
        <v>24</v>
      </c>
      <c r="F16" s="197">
        <v>54000</v>
      </c>
      <c r="G16" s="197">
        <v>54100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44903</v>
      </c>
      <c r="D17" s="196" t="s">
        <v>16</v>
      </c>
      <c r="E17" s="196" t="s">
        <v>22</v>
      </c>
      <c r="F17" s="197">
        <v>66350</v>
      </c>
      <c r="G17" s="197">
        <v>66500</v>
      </c>
      <c r="H17" s="196">
        <f>66500-66350</f>
        <v>150</v>
      </c>
      <c r="I17" s="197">
        <v>30</v>
      </c>
      <c r="J17" s="268">
        <f t="shared" si="1"/>
        <v>4500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44904</v>
      </c>
      <c r="D18" s="196" t="s">
        <v>23</v>
      </c>
      <c r="E18" s="196" t="s">
        <v>24</v>
      </c>
      <c r="F18" s="197">
        <v>54190</v>
      </c>
      <c r="G18" s="197">
        <v>54290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44904</v>
      </c>
      <c r="D19" s="196" t="s">
        <v>23</v>
      </c>
      <c r="E19" s="196" t="s">
        <v>22</v>
      </c>
      <c r="F19" s="197">
        <v>67000</v>
      </c>
      <c r="G19" s="197">
        <v>67300</v>
      </c>
      <c r="H19" s="196">
        <v>-300</v>
      </c>
      <c r="I19" s="197">
        <v>30</v>
      </c>
      <c r="J19" s="268">
        <f t="shared" si="1"/>
        <v>-9000</v>
      </c>
      <c r="K19" s="185"/>
      <c r="M19" s="183" t="s">
        <v>904</v>
      </c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44907</v>
      </c>
      <c r="D20" s="196" t="s">
        <v>16</v>
      </c>
      <c r="E20" s="196" t="s">
        <v>24</v>
      </c>
      <c r="F20" s="197">
        <v>54180</v>
      </c>
      <c r="G20" s="197">
        <v>54280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44907</v>
      </c>
      <c r="D21" s="196" t="s">
        <v>16</v>
      </c>
      <c r="E21" s="196" t="s">
        <v>22</v>
      </c>
      <c r="F21" s="197">
        <v>68150</v>
      </c>
      <c r="G21" s="197">
        <v>68295</v>
      </c>
      <c r="H21" s="196">
        <f>68295-68150</f>
        <v>145</v>
      </c>
      <c r="I21" s="197">
        <v>30</v>
      </c>
      <c r="J21" s="268">
        <f t="shared" si="1"/>
        <v>4350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44908</v>
      </c>
      <c r="D22" s="196" t="s">
        <v>23</v>
      </c>
      <c r="E22" s="196" t="s">
        <v>24</v>
      </c>
      <c r="F22" s="197">
        <v>54250</v>
      </c>
      <c r="G22" s="197">
        <v>54350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44908</v>
      </c>
      <c r="D23" s="196" t="s">
        <v>23</v>
      </c>
      <c r="E23" s="196" t="s">
        <v>22</v>
      </c>
      <c r="F23" s="197">
        <v>68100</v>
      </c>
      <c r="G23" s="197">
        <v>68400</v>
      </c>
      <c r="H23" s="196">
        <v>-300</v>
      </c>
      <c r="I23" s="197">
        <v>30</v>
      </c>
      <c r="J23" s="268">
        <f t="shared" si="1"/>
        <v>-9000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44909</v>
      </c>
      <c r="D24" s="196" t="s">
        <v>23</v>
      </c>
      <c r="E24" s="196" t="s">
        <v>24</v>
      </c>
      <c r="F24" s="197">
        <v>54680</v>
      </c>
      <c r="G24" s="197">
        <v>54583</v>
      </c>
      <c r="H24" s="196">
        <v>97</v>
      </c>
      <c r="I24" s="197">
        <v>100</v>
      </c>
      <c r="J24" s="268">
        <f t="shared" si="1"/>
        <v>9700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44909</v>
      </c>
      <c r="D25" s="196" t="s">
        <v>23</v>
      </c>
      <c r="E25" s="196" t="s">
        <v>22</v>
      </c>
      <c r="F25" s="197">
        <v>68850</v>
      </c>
      <c r="G25" s="197">
        <v>68750</v>
      </c>
      <c r="H25" s="196">
        <v>100</v>
      </c>
      <c r="I25" s="197">
        <v>30</v>
      </c>
      <c r="J25" s="268">
        <f t="shared" si="1"/>
        <v>3000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44911</v>
      </c>
      <c r="D26" s="196" t="s">
        <v>16</v>
      </c>
      <c r="E26" s="196" t="s">
        <v>24</v>
      </c>
      <c r="F26" s="197">
        <v>54100</v>
      </c>
      <c r="G26" s="197">
        <v>54200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44911</v>
      </c>
      <c r="D27" s="196" t="s">
        <v>16</v>
      </c>
      <c r="E27" s="196" t="s">
        <v>22</v>
      </c>
      <c r="F27" s="197">
        <v>66900</v>
      </c>
      <c r="G27" s="197">
        <v>67300</v>
      </c>
      <c r="H27" s="196">
        <v>400</v>
      </c>
      <c r="I27" s="197">
        <v>30</v>
      </c>
      <c r="J27" s="268">
        <f t="shared" si="1"/>
        <v>12000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44914</v>
      </c>
      <c r="D28" s="196" t="s">
        <v>23</v>
      </c>
      <c r="E28" s="196" t="s">
        <v>24</v>
      </c>
      <c r="F28" s="197">
        <v>54440</v>
      </c>
      <c r="G28" s="197">
        <v>54310</v>
      </c>
      <c r="H28" s="196">
        <f>54440-54310</f>
        <v>130</v>
      </c>
      <c r="I28" s="197">
        <v>100</v>
      </c>
      <c r="J28" s="268">
        <f t="shared" si="1"/>
        <v>13000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44914</v>
      </c>
      <c r="D29" s="196" t="s">
        <v>23</v>
      </c>
      <c r="E29" s="196" t="s">
        <v>22</v>
      </c>
      <c r="F29" s="197">
        <v>68150</v>
      </c>
      <c r="G29" s="197">
        <v>67900</v>
      </c>
      <c r="H29" s="196">
        <f>68150-67900</f>
        <v>250</v>
      </c>
      <c r="I29" s="197">
        <v>30</v>
      </c>
      <c r="J29" s="268">
        <f t="shared" si="1"/>
        <v>7500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44915</v>
      </c>
      <c r="D30" s="196" t="s">
        <v>16</v>
      </c>
      <c r="E30" s="196" t="s">
        <v>24</v>
      </c>
      <c r="F30" s="197">
        <v>54780</v>
      </c>
      <c r="G30" s="197">
        <v>54680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44915</v>
      </c>
      <c r="D31" s="196" t="s">
        <v>16</v>
      </c>
      <c r="E31" s="196" t="s">
        <v>22</v>
      </c>
      <c r="F31" s="197">
        <v>69500</v>
      </c>
      <c r="G31" s="197">
        <v>69200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44916</v>
      </c>
      <c r="D32" s="196" t="s">
        <v>16</v>
      </c>
      <c r="E32" s="196" t="s">
        <v>24</v>
      </c>
      <c r="F32" s="197">
        <v>54980</v>
      </c>
      <c r="G32" s="197">
        <v>55020</v>
      </c>
      <c r="H32" s="196">
        <f>55020-54980</f>
        <v>40</v>
      </c>
      <c r="I32" s="197">
        <v>100</v>
      </c>
      <c r="J32" s="268">
        <f t="shared" si="1"/>
        <v>4000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44916</v>
      </c>
      <c r="D33" s="196" t="s">
        <v>16</v>
      </c>
      <c r="E33" s="196" t="s">
        <v>22</v>
      </c>
      <c r="F33" s="197">
        <v>69500</v>
      </c>
      <c r="G33" s="197">
        <v>69200</v>
      </c>
      <c r="H33" s="196">
        <v>-300</v>
      </c>
      <c r="I33" s="197">
        <v>30</v>
      </c>
      <c r="J33" s="268">
        <f t="shared" si="1"/>
        <v>-9000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44917</v>
      </c>
      <c r="D34" s="196" t="s">
        <v>23</v>
      </c>
      <c r="E34" s="196" t="s">
        <v>24</v>
      </c>
      <c r="F34" s="197">
        <v>54950</v>
      </c>
      <c r="G34" s="197">
        <v>54770</v>
      </c>
      <c r="H34" s="196">
        <f>54950-54770</f>
        <v>180</v>
      </c>
      <c r="I34" s="197">
        <v>100</v>
      </c>
      <c r="J34" s="268">
        <f t="shared" si="1"/>
        <v>18000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44917</v>
      </c>
      <c r="D35" s="196" t="s">
        <v>23</v>
      </c>
      <c r="E35" s="196" t="s">
        <v>22</v>
      </c>
      <c r="F35" s="197">
        <v>69050</v>
      </c>
      <c r="G35" s="197">
        <v>68750</v>
      </c>
      <c r="H35" s="196">
        <f>69050-68750</f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44918</v>
      </c>
      <c r="D36" s="196" t="s">
        <v>16</v>
      </c>
      <c r="E36" s="196" t="s">
        <v>24</v>
      </c>
      <c r="F36" s="197">
        <v>54630</v>
      </c>
      <c r="G36" s="197">
        <v>54680</v>
      </c>
      <c r="H36" s="196">
        <v>50</v>
      </c>
      <c r="I36" s="197">
        <v>100</v>
      </c>
      <c r="J36" s="268">
        <f t="shared" si="1"/>
        <v>5000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44918</v>
      </c>
      <c r="D37" s="196" t="s">
        <v>16</v>
      </c>
      <c r="E37" s="196" t="s">
        <v>22</v>
      </c>
      <c r="F37" s="197">
        <v>69100</v>
      </c>
      <c r="G37" s="197">
        <v>69220</v>
      </c>
      <c r="H37" s="196">
        <f>120</f>
        <v>120</v>
      </c>
      <c r="I37" s="197">
        <v>30</v>
      </c>
      <c r="J37" s="268">
        <f t="shared" si="1"/>
        <v>3600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44921</v>
      </c>
      <c r="D38" s="196" t="s">
        <v>16</v>
      </c>
      <c r="E38" s="196" t="s">
        <v>24</v>
      </c>
      <c r="F38" s="197">
        <v>54600</v>
      </c>
      <c r="G38" s="197">
        <v>54700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44921</v>
      </c>
      <c r="D39" s="196" t="s">
        <v>16</v>
      </c>
      <c r="E39" s="196" t="s">
        <v>22</v>
      </c>
      <c r="F39" s="197">
        <v>69000</v>
      </c>
      <c r="G39" s="197">
        <v>69230</v>
      </c>
      <c r="H39" s="196">
        <v>230</v>
      </c>
      <c r="I39" s="197">
        <v>30</v>
      </c>
      <c r="J39" s="268">
        <f t="shared" si="1"/>
        <v>6900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44922</v>
      </c>
      <c r="D40" s="196" t="s">
        <v>16</v>
      </c>
      <c r="E40" s="196" t="s">
        <v>24</v>
      </c>
      <c r="F40" s="197">
        <v>54780</v>
      </c>
      <c r="G40" s="197">
        <v>54920</v>
      </c>
      <c r="H40" s="196">
        <f>54920-54780</f>
        <v>140</v>
      </c>
      <c r="I40" s="197">
        <v>100</v>
      </c>
      <c r="J40" s="268">
        <f t="shared" si="1"/>
        <v>14000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44922</v>
      </c>
      <c r="D41" s="196" t="s">
        <v>16</v>
      </c>
      <c r="E41" s="196" t="s">
        <v>22</v>
      </c>
      <c r="F41" s="197">
        <v>70000</v>
      </c>
      <c r="G41" s="197">
        <v>70300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44923</v>
      </c>
      <c r="D42" s="196" t="s">
        <v>23</v>
      </c>
      <c r="E42" s="196" t="s">
        <v>24</v>
      </c>
      <c r="F42" s="197">
        <v>54680</v>
      </c>
      <c r="G42" s="197">
        <v>54630</v>
      </c>
      <c r="H42" s="196">
        <v>50</v>
      </c>
      <c r="I42" s="197">
        <v>100</v>
      </c>
      <c r="J42" s="268">
        <f t="shared" si="1"/>
        <v>5000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44923</v>
      </c>
      <c r="D43" s="196" t="s">
        <v>23</v>
      </c>
      <c r="E43" s="196" t="s">
        <v>22</v>
      </c>
      <c r="F43" s="197">
        <v>69050</v>
      </c>
      <c r="G43" s="197">
        <v>69350</v>
      </c>
      <c r="H43" s="196">
        <v>-300</v>
      </c>
      <c r="I43" s="197">
        <v>30</v>
      </c>
      <c r="J43" s="268">
        <f t="shared" si="1"/>
        <v>-9000</v>
      </c>
      <c r="K43" s="185"/>
      <c r="V43" s="183">
        <f t="shared" si="2"/>
        <v>0</v>
      </c>
      <c r="W43" s="183">
        <f t="shared" si="3"/>
        <v>1</v>
      </c>
    </row>
    <row r="44" spans="1:23" x14ac:dyDescent="0.3">
      <c r="A44" s="184"/>
      <c r="B44" s="194">
        <v>39</v>
      </c>
      <c r="C44" s="195">
        <v>44924</v>
      </c>
      <c r="D44" s="196" t="s">
        <v>16</v>
      </c>
      <c r="E44" s="196" t="s">
        <v>24</v>
      </c>
      <c r="F44" s="197">
        <v>54800</v>
      </c>
      <c r="G44" s="197">
        <v>55000</v>
      </c>
      <c r="H44" s="196">
        <v>200</v>
      </c>
      <c r="I44" s="197">
        <v>100</v>
      </c>
      <c r="J44" s="268">
        <f t="shared" si="1"/>
        <v>20000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44924</v>
      </c>
      <c r="D45" s="196" t="s">
        <v>16</v>
      </c>
      <c r="E45" s="196" t="s">
        <v>22</v>
      </c>
      <c r="F45" s="197">
        <v>68900</v>
      </c>
      <c r="G45" s="197">
        <v>69500</v>
      </c>
      <c r="H45" s="196">
        <v>600</v>
      </c>
      <c r="I45" s="197">
        <v>30</v>
      </c>
      <c r="J45" s="268">
        <f t="shared" si="1"/>
        <v>18000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44925</v>
      </c>
      <c r="D46" s="196" t="s">
        <v>23</v>
      </c>
      <c r="E46" s="196" t="s">
        <v>24</v>
      </c>
      <c r="F46" s="197">
        <v>54950</v>
      </c>
      <c r="G46" s="197">
        <v>54860</v>
      </c>
      <c r="H46" s="196">
        <f>54950-54860</f>
        <v>90</v>
      </c>
      <c r="I46" s="197">
        <v>100</v>
      </c>
      <c r="J46" s="268">
        <f t="shared" si="1"/>
        <v>9000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44925</v>
      </c>
      <c r="D47" s="196" t="s">
        <v>23</v>
      </c>
      <c r="E47" s="196" t="s">
        <v>22</v>
      </c>
      <c r="F47" s="197">
        <v>69300</v>
      </c>
      <c r="G47" s="197">
        <v>69600</v>
      </c>
      <c r="H47" s="196">
        <v>-300</v>
      </c>
      <c r="I47" s="197">
        <v>30</v>
      </c>
      <c r="J47" s="268">
        <f t="shared" si="1"/>
        <v>-9000</v>
      </c>
      <c r="K47" s="185"/>
      <c r="V47" s="183">
        <f t="shared" si="2"/>
        <v>0</v>
      </c>
      <c r="W47" s="183">
        <f t="shared" si="3"/>
        <v>1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226150</v>
      </c>
      <c r="K52" s="185"/>
      <c r="V52" s="183">
        <f>SUM(V6:V51)</f>
        <v>33</v>
      </c>
      <c r="W52" s="183">
        <f>SUM(W6:W51)</f>
        <v>9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44896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44896</v>
      </c>
      <c r="D60" s="192" t="s">
        <v>23</v>
      </c>
      <c r="E60" s="192" t="s">
        <v>25</v>
      </c>
      <c r="F60" s="193">
        <v>6600</v>
      </c>
      <c r="G60" s="193">
        <v>6537</v>
      </c>
      <c r="H60" s="192">
        <f>6600-6537</f>
        <v>63</v>
      </c>
      <c r="I60" s="193">
        <v>100</v>
      </c>
      <c r="J60" s="267">
        <f t="shared" ref="J60:J82" si="6">I60*H60</f>
        <v>6300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44897</v>
      </c>
      <c r="D61" s="196" t="s">
        <v>23</v>
      </c>
      <c r="E61" s="196" t="s">
        <v>25</v>
      </c>
      <c r="F61" s="197">
        <v>6595</v>
      </c>
      <c r="G61" s="197">
        <v>6635</v>
      </c>
      <c r="H61" s="196">
        <v>-40</v>
      </c>
      <c r="I61" s="197">
        <v>100</v>
      </c>
      <c r="J61" s="268">
        <f t="shared" si="6"/>
        <v>-4000</v>
      </c>
      <c r="K61" s="185"/>
      <c r="V61" s="183">
        <f t="shared" ref="V61:V82" si="7">IF($J61&gt;0,1,0)</f>
        <v>0</v>
      </c>
      <c r="W61" s="183">
        <f t="shared" ref="W61:W82" si="8">IF($J61&lt;0,1,0)</f>
        <v>1</v>
      </c>
    </row>
    <row r="62" spans="1:23" x14ac:dyDescent="0.3">
      <c r="A62" s="184"/>
      <c r="B62" s="194">
        <v>3</v>
      </c>
      <c r="C62" s="195">
        <v>44900</v>
      </c>
      <c r="D62" s="196" t="s">
        <v>23</v>
      </c>
      <c r="E62" s="196" t="s">
        <v>25</v>
      </c>
      <c r="F62" s="197">
        <v>6680</v>
      </c>
      <c r="G62" s="197">
        <v>6720</v>
      </c>
      <c r="H62" s="196">
        <f>6680-6720</f>
        <v>-40</v>
      </c>
      <c r="I62" s="197">
        <v>100</v>
      </c>
      <c r="J62" s="268">
        <f t="shared" si="6"/>
        <v>-4000</v>
      </c>
      <c r="K62" s="185"/>
      <c r="V62" s="183">
        <f t="shared" si="7"/>
        <v>0</v>
      </c>
      <c r="W62" s="183">
        <f t="shared" si="8"/>
        <v>1</v>
      </c>
    </row>
    <row r="63" spans="1:23" x14ac:dyDescent="0.3">
      <c r="A63" s="184"/>
      <c r="B63" s="194">
        <v>4</v>
      </c>
      <c r="C63" s="195">
        <v>44901</v>
      </c>
      <c r="D63" s="196" t="s">
        <v>23</v>
      </c>
      <c r="E63" s="196" t="s">
        <v>25</v>
      </c>
      <c r="F63" s="197">
        <v>6390</v>
      </c>
      <c r="G63" s="197">
        <v>6360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5</v>
      </c>
      <c r="C64" s="195">
        <v>44902</v>
      </c>
      <c r="D64" s="196" t="s">
        <v>23</v>
      </c>
      <c r="E64" s="196" t="s">
        <v>25</v>
      </c>
      <c r="F64" s="197">
        <v>6145</v>
      </c>
      <c r="G64" s="197">
        <v>6080</v>
      </c>
      <c r="H64" s="196">
        <f>6145-6080</f>
        <v>65</v>
      </c>
      <c r="I64" s="197">
        <v>100</v>
      </c>
      <c r="J64" s="268">
        <f t="shared" si="6"/>
        <v>6500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6</v>
      </c>
      <c r="C65" s="195">
        <v>44903</v>
      </c>
      <c r="D65" s="196" t="s">
        <v>23</v>
      </c>
      <c r="E65" s="196" t="s">
        <v>25</v>
      </c>
      <c r="F65" s="197">
        <v>6030</v>
      </c>
      <c r="G65" s="197">
        <v>6010</v>
      </c>
      <c r="H65" s="196">
        <v>20</v>
      </c>
      <c r="I65" s="197">
        <v>100</v>
      </c>
      <c r="J65" s="268">
        <f t="shared" si="6"/>
        <v>2000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7</v>
      </c>
      <c r="C66" s="195">
        <v>44904</v>
      </c>
      <c r="D66" s="196" t="s">
        <v>23</v>
      </c>
      <c r="E66" s="196" t="s">
        <v>25</v>
      </c>
      <c r="F66" s="222">
        <v>5930</v>
      </c>
      <c r="G66" s="222">
        <v>5915</v>
      </c>
      <c r="H66" s="196">
        <v>15</v>
      </c>
      <c r="I66" s="197">
        <v>100</v>
      </c>
      <c r="J66" s="268">
        <f t="shared" si="6"/>
        <v>1500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8</v>
      </c>
      <c r="C67" s="195">
        <v>44907</v>
      </c>
      <c r="D67" s="196" t="s">
        <v>23</v>
      </c>
      <c r="E67" s="196" t="s">
        <v>25</v>
      </c>
      <c r="F67" s="197">
        <v>5880</v>
      </c>
      <c r="G67" s="197">
        <v>5838</v>
      </c>
      <c r="H67" s="196">
        <f>5880-5838</f>
        <v>42</v>
      </c>
      <c r="I67" s="197">
        <v>100</v>
      </c>
      <c r="J67" s="268">
        <f t="shared" si="6"/>
        <v>4200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44908</v>
      </c>
      <c r="D68" s="196" t="s">
        <v>23</v>
      </c>
      <c r="E68" s="196" t="s">
        <v>25</v>
      </c>
      <c r="F68" s="197">
        <v>6155</v>
      </c>
      <c r="G68" s="197">
        <v>6085</v>
      </c>
      <c r="H68" s="196">
        <f>6155-6085</f>
        <v>70</v>
      </c>
      <c r="I68" s="197">
        <v>100</v>
      </c>
      <c r="J68" s="268">
        <f t="shared" si="6"/>
        <v>7000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44909</v>
      </c>
      <c r="D69" s="196" t="s">
        <v>23</v>
      </c>
      <c r="E69" s="196" t="s">
        <v>25</v>
      </c>
      <c r="F69" s="197">
        <v>6240</v>
      </c>
      <c r="G69" s="197">
        <v>6216</v>
      </c>
      <c r="H69" s="196">
        <f>6240-6216</f>
        <v>24</v>
      </c>
      <c r="I69" s="197">
        <v>100</v>
      </c>
      <c r="J69" s="268">
        <f t="shared" si="6"/>
        <v>2400</v>
      </c>
      <c r="K69" s="185"/>
      <c r="V69" s="183">
        <f t="shared" si="7"/>
        <v>1</v>
      </c>
      <c r="W69" s="183">
        <f t="shared" si="8"/>
        <v>0</v>
      </c>
    </row>
    <row r="70" spans="1:23" x14ac:dyDescent="0.3">
      <c r="A70" s="184"/>
      <c r="B70" s="194">
        <v>11</v>
      </c>
      <c r="C70" s="195">
        <v>44911</v>
      </c>
      <c r="D70" s="196" t="s">
        <v>23</v>
      </c>
      <c r="E70" s="196" t="s">
        <v>25</v>
      </c>
      <c r="F70" s="197">
        <v>6200</v>
      </c>
      <c r="G70" s="197">
        <v>6130</v>
      </c>
      <c r="H70" s="196">
        <f>6200-6130</f>
        <v>70</v>
      </c>
      <c r="I70" s="197">
        <v>100</v>
      </c>
      <c r="J70" s="268">
        <f t="shared" si="6"/>
        <v>7000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44914</v>
      </c>
      <c r="D71" s="196" t="s">
        <v>23</v>
      </c>
      <c r="E71" s="196" t="s">
        <v>25</v>
      </c>
      <c r="F71" s="197">
        <v>6200</v>
      </c>
      <c r="G71" s="197">
        <v>6160</v>
      </c>
      <c r="H71" s="196">
        <f>6200-6160</f>
        <v>40</v>
      </c>
      <c r="I71" s="197">
        <v>100</v>
      </c>
      <c r="J71" s="268">
        <f t="shared" si="6"/>
        <v>4000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44915</v>
      </c>
      <c r="D72" s="196" t="s">
        <v>23</v>
      </c>
      <c r="E72" s="196" t="s">
        <v>25</v>
      </c>
      <c r="F72" s="197">
        <v>6265</v>
      </c>
      <c r="G72" s="197">
        <v>6230</v>
      </c>
      <c r="H72" s="196">
        <v>35</v>
      </c>
      <c r="I72" s="197">
        <v>100</v>
      </c>
      <c r="J72" s="268">
        <f t="shared" si="6"/>
        <v>3500</v>
      </c>
      <c r="K72" s="185"/>
      <c r="V72" s="183">
        <f t="shared" si="7"/>
        <v>1</v>
      </c>
      <c r="W72" s="183">
        <f t="shared" si="8"/>
        <v>0</v>
      </c>
    </row>
    <row r="73" spans="1:23" x14ac:dyDescent="0.3">
      <c r="A73" s="184"/>
      <c r="B73" s="194">
        <v>14</v>
      </c>
      <c r="C73" s="195">
        <v>44916</v>
      </c>
      <c r="D73" s="196" t="s">
        <v>23</v>
      </c>
      <c r="E73" s="196" t="s">
        <v>25</v>
      </c>
      <c r="F73" s="197">
        <v>6400</v>
      </c>
      <c r="G73" s="197">
        <v>6440</v>
      </c>
      <c r="H73" s="196">
        <v>-40</v>
      </c>
      <c r="I73" s="197">
        <v>100</v>
      </c>
      <c r="J73" s="268">
        <f t="shared" si="6"/>
        <v>-4000</v>
      </c>
      <c r="K73" s="185"/>
      <c r="V73" s="183">
        <f t="shared" si="7"/>
        <v>0</v>
      </c>
      <c r="W73" s="183">
        <f t="shared" si="8"/>
        <v>1</v>
      </c>
    </row>
    <row r="74" spans="1:23" x14ac:dyDescent="0.3">
      <c r="A74" s="184"/>
      <c r="B74" s="194">
        <v>15</v>
      </c>
      <c r="C74" s="195">
        <v>44917</v>
      </c>
      <c r="D74" s="196" t="s">
        <v>23</v>
      </c>
      <c r="E74" s="196" t="s">
        <v>25</v>
      </c>
      <c r="F74" s="197">
        <v>6595</v>
      </c>
      <c r="G74" s="197">
        <v>6580</v>
      </c>
      <c r="H74" s="196">
        <f>6595-6580</f>
        <v>15</v>
      </c>
      <c r="I74" s="197">
        <v>100</v>
      </c>
      <c r="J74" s="268">
        <f t="shared" si="6"/>
        <v>1500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>
        <v>44918</v>
      </c>
      <c r="D75" s="196" t="s">
        <v>23</v>
      </c>
      <c r="E75" s="196" t="s">
        <v>25</v>
      </c>
      <c r="F75" s="197">
        <v>6575</v>
      </c>
      <c r="G75" s="197">
        <v>6550</v>
      </c>
      <c r="H75" s="196">
        <f>6575-6550</f>
        <v>25</v>
      </c>
      <c r="I75" s="197">
        <v>100</v>
      </c>
      <c r="J75" s="268">
        <f t="shared" si="6"/>
        <v>2500</v>
      </c>
      <c r="K75" s="185"/>
      <c r="V75" s="183">
        <f t="shared" si="7"/>
        <v>1</v>
      </c>
      <c r="W75" s="183">
        <f t="shared" si="8"/>
        <v>0</v>
      </c>
    </row>
    <row r="76" spans="1:23" x14ac:dyDescent="0.3">
      <c r="A76" s="184"/>
      <c r="B76" s="194">
        <v>17</v>
      </c>
      <c r="C76" s="195">
        <v>44921</v>
      </c>
      <c r="D76" s="196" t="s">
        <v>23</v>
      </c>
      <c r="E76" s="196" t="s">
        <v>25</v>
      </c>
      <c r="F76" s="197">
        <v>6670</v>
      </c>
      <c r="G76" s="197">
        <v>6630</v>
      </c>
      <c r="H76" s="196">
        <v>40</v>
      </c>
      <c r="I76" s="197">
        <v>100</v>
      </c>
      <c r="J76" s="268">
        <f t="shared" si="6"/>
        <v>4000</v>
      </c>
      <c r="K76" s="185"/>
      <c r="V76" s="183">
        <f t="shared" si="7"/>
        <v>1</v>
      </c>
      <c r="W76" s="183">
        <f t="shared" si="8"/>
        <v>0</v>
      </c>
    </row>
    <row r="77" spans="1:23" x14ac:dyDescent="0.3">
      <c r="A77" s="255"/>
      <c r="B77" s="194">
        <v>18</v>
      </c>
      <c r="C77" s="195">
        <v>44922</v>
      </c>
      <c r="D77" s="196" t="s">
        <v>23</v>
      </c>
      <c r="E77" s="196" t="s">
        <v>25</v>
      </c>
      <c r="F77" s="197">
        <v>6630</v>
      </c>
      <c r="G77" s="197">
        <v>6585</v>
      </c>
      <c r="H77" s="196">
        <v>45</v>
      </c>
      <c r="I77" s="197">
        <v>100</v>
      </c>
      <c r="J77" s="268">
        <f t="shared" si="6"/>
        <v>4500</v>
      </c>
      <c r="K77" s="185"/>
      <c r="V77" s="183">
        <f t="shared" si="7"/>
        <v>1</v>
      </c>
      <c r="W77" s="183">
        <f t="shared" si="8"/>
        <v>0</v>
      </c>
    </row>
    <row r="78" spans="1:23" x14ac:dyDescent="0.3">
      <c r="A78" s="184"/>
      <c r="B78" s="194">
        <v>19</v>
      </c>
      <c r="C78" s="195">
        <v>44923</v>
      </c>
      <c r="D78" s="196" t="s">
        <v>23</v>
      </c>
      <c r="E78" s="196" t="s">
        <v>25</v>
      </c>
      <c r="F78" s="197">
        <v>6570</v>
      </c>
      <c r="G78" s="197">
        <v>6540</v>
      </c>
      <c r="H78" s="196">
        <v>30</v>
      </c>
      <c r="I78" s="197">
        <v>100</v>
      </c>
      <c r="J78" s="268">
        <f t="shared" si="6"/>
        <v>3000</v>
      </c>
      <c r="K78" s="185"/>
      <c r="V78" s="183">
        <f t="shared" si="7"/>
        <v>1</v>
      </c>
      <c r="W78" s="183">
        <f t="shared" si="8"/>
        <v>0</v>
      </c>
    </row>
    <row r="79" spans="1:23" x14ac:dyDescent="0.3">
      <c r="A79" s="184"/>
      <c r="B79" s="194">
        <v>20</v>
      </c>
      <c r="C79" s="195">
        <v>44924</v>
      </c>
      <c r="D79" s="196" t="s">
        <v>23</v>
      </c>
      <c r="E79" s="196" t="s">
        <v>25</v>
      </c>
      <c r="F79" s="197">
        <v>6410</v>
      </c>
      <c r="G79" s="197">
        <v>6381</v>
      </c>
      <c r="H79" s="196">
        <f>6410-6381</f>
        <v>29</v>
      </c>
      <c r="I79" s="197">
        <v>100</v>
      </c>
      <c r="J79" s="268">
        <f t="shared" si="6"/>
        <v>2900</v>
      </c>
      <c r="K79" s="185"/>
      <c r="V79" s="183">
        <f t="shared" si="7"/>
        <v>1</v>
      </c>
      <c r="W79" s="183">
        <f t="shared" si="8"/>
        <v>0</v>
      </c>
    </row>
    <row r="80" spans="1:23" x14ac:dyDescent="0.3">
      <c r="A80" s="184"/>
      <c r="B80" s="194">
        <v>21</v>
      </c>
      <c r="C80" s="195">
        <v>44925</v>
      </c>
      <c r="D80" s="196" t="s">
        <v>23</v>
      </c>
      <c r="E80" s="196" t="s">
        <v>25</v>
      </c>
      <c r="F80" s="197">
        <v>6500</v>
      </c>
      <c r="G80" s="197">
        <v>6454</v>
      </c>
      <c r="H80" s="196">
        <f>6500-6454</f>
        <v>46</v>
      </c>
      <c r="I80" s="197">
        <v>100</v>
      </c>
      <c r="J80" s="268">
        <f t="shared" si="6"/>
        <v>4600</v>
      </c>
      <c r="K80" s="185"/>
      <c r="V80" s="183">
        <f t="shared" si="7"/>
        <v>1</v>
      </c>
      <c r="W80" s="183">
        <f t="shared" si="8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6"/>
        <v>0</v>
      </c>
      <c r="K81" s="185"/>
      <c r="V81" s="183">
        <f t="shared" si="7"/>
        <v>0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58400</v>
      </c>
      <c r="K83" s="185"/>
      <c r="V83" s="183">
        <f>SUM(V60:V82)</f>
        <v>18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44896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44896</v>
      </c>
      <c r="D91" s="216" t="s">
        <v>23</v>
      </c>
      <c r="E91" s="256" t="s">
        <v>28</v>
      </c>
      <c r="F91" s="256">
        <v>270</v>
      </c>
      <c r="G91" s="256">
        <v>269.5</v>
      </c>
      <c r="H91" s="256">
        <v>0.5</v>
      </c>
      <c r="I91" s="218">
        <v>5000</v>
      </c>
      <c r="J91" s="273">
        <f>I91*H91</f>
        <v>2500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44897</v>
      </c>
      <c r="D92" s="196" t="s">
        <v>23</v>
      </c>
      <c r="E92" s="222" t="s">
        <v>28</v>
      </c>
      <c r="F92" s="222">
        <v>271.8</v>
      </c>
      <c r="G92" s="222">
        <v>271.39999999999998</v>
      </c>
      <c r="H92" s="222">
        <v>0.4</v>
      </c>
      <c r="I92" s="197">
        <v>5000</v>
      </c>
      <c r="J92" s="268">
        <f t="shared" ref="J92:J111" si="9">I92*H92</f>
        <v>2000</v>
      </c>
      <c r="K92" s="185"/>
      <c r="V92" s="183">
        <f t="shared" ref="V92:V110" si="10">IF($J92&gt;0,1,0)</f>
        <v>1</v>
      </c>
      <c r="W92" s="183">
        <f t="shared" ref="W92:W110" si="11">IF($J92&lt;0,1,0)</f>
        <v>0</v>
      </c>
    </row>
    <row r="93" spans="1:23" x14ac:dyDescent="0.3">
      <c r="A93" s="184"/>
      <c r="B93" s="194">
        <v>3</v>
      </c>
      <c r="C93" s="195">
        <v>44900</v>
      </c>
      <c r="D93" s="196" t="s">
        <v>23</v>
      </c>
      <c r="E93" s="222" t="s">
        <v>28</v>
      </c>
      <c r="F93" s="222">
        <v>276.7</v>
      </c>
      <c r="G93" s="222">
        <v>275.14999999999998</v>
      </c>
      <c r="H93" s="222">
        <f>276.7-275.15</f>
        <v>1.5500000000000114</v>
      </c>
      <c r="I93" s="197">
        <v>5000</v>
      </c>
      <c r="J93" s="268">
        <f t="shared" si="9"/>
        <v>7750.0000000000564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44901</v>
      </c>
      <c r="D94" s="196" t="s">
        <v>23</v>
      </c>
      <c r="E94" s="222" t="s">
        <v>28</v>
      </c>
      <c r="F94" s="222">
        <v>277.60000000000002</v>
      </c>
      <c r="G94" s="222">
        <v>277</v>
      </c>
      <c r="H94" s="222">
        <v>0.6</v>
      </c>
      <c r="I94" s="197">
        <v>5000</v>
      </c>
      <c r="J94" s="268">
        <f t="shared" si="9"/>
        <v>3000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5</v>
      </c>
      <c r="C95" s="195">
        <v>44902</v>
      </c>
      <c r="D95" s="196" t="s">
        <v>16</v>
      </c>
      <c r="E95" s="222" t="s">
        <v>28</v>
      </c>
      <c r="F95" s="222">
        <v>277.8</v>
      </c>
      <c r="G95" s="222">
        <v>278.2</v>
      </c>
      <c r="H95" s="222">
        <f>278.2-277.8</f>
        <v>0.39999999999997726</v>
      </c>
      <c r="I95" s="197">
        <v>5000</v>
      </c>
      <c r="J95" s="268">
        <f t="shared" si="9"/>
        <v>1999.9999999998863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6</v>
      </c>
      <c r="C96" s="195">
        <v>44903</v>
      </c>
      <c r="D96" s="196" t="s">
        <v>23</v>
      </c>
      <c r="E96" s="222" t="s">
        <v>28</v>
      </c>
      <c r="F96" s="222">
        <v>285.7</v>
      </c>
      <c r="G96" s="222">
        <v>284.2</v>
      </c>
      <c r="H96" s="222">
        <f>285.7-284.2</f>
        <v>1.5</v>
      </c>
      <c r="I96" s="197">
        <v>5000</v>
      </c>
      <c r="J96" s="268">
        <f t="shared" si="9"/>
        <v>7500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7</v>
      </c>
      <c r="C97" s="195">
        <v>44904</v>
      </c>
      <c r="D97" s="196" t="s">
        <v>23</v>
      </c>
      <c r="E97" s="222" t="s">
        <v>28</v>
      </c>
      <c r="F97" s="222">
        <v>285.7</v>
      </c>
      <c r="G97" s="222">
        <v>283.7</v>
      </c>
      <c r="H97" s="274">
        <v>2</v>
      </c>
      <c r="I97" s="197">
        <v>5000</v>
      </c>
      <c r="J97" s="268">
        <f t="shared" si="9"/>
        <v>10000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8</v>
      </c>
      <c r="C98" s="195">
        <v>44907</v>
      </c>
      <c r="D98" s="196" t="s">
        <v>23</v>
      </c>
      <c r="E98" s="222" t="s">
        <v>28</v>
      </c>
      <c r="F98" s="222">
        <v>287.8</v>
      </c>
      <c r="G98" s="222">
        <v>286.8</v>
      </c>
      <c r="H98" s="222">
        <v>1</v>
      </c>
      <c r="I98" s="197">
        <v>5000</v>
      </c>
      <c r="J98" s="268">
        <f t="shared" si="9"/>
        <v>5000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44908</v>
      </c>
      <c r="D99" s="196" t="s">
        <v>23</v>
      </c>
      <c r="E99" s="222" t="s">
        <v>28</v>
      </c>
      <c r="F99" s="222">
        <v>289.60000000000002</v>
      </c>
      <c r="G99" s="222">
        <v>287.60000000000002</v>
      </c>
      <c r="H99" s="222">
        <f>289.6-287.6</f>
        <v>2</v>
      </c>
      <c r="I99" s="197">
        <v>5000</v>
      </c>
      <c r="J99" s="268">
        <f t="shared" si="9"/>
        <v>10000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44909</v>
      </c>
      <c r="D100" s="196" t="s">
        <v>23</v>
      </c>
      <c r="E100" s="222" t="s">
        <v>28</v>
      </c>
      <c r="F100" s="222">
        <v>291</v>
      </c>
      <c r="G100" s="222">
        <v>289</v>
      </c>
      <c r="H100" s="222">
        <v>2</v>
      </c>
      <c r="I100" s="197">
        <v>5000</v>
      </c>
      <c r="J100" s="268">
        <f t="shared" si="9"/>
        <v>10000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44911</v>
      </c>
      <c r="D101" s="196" t="s">
        <v>23</v>
      </c>
      <c r="E101" s="222" t="s">
        <v>28</v>
      </c>
      <c r="F101" s="222">
        <v>278.2</v>
      </c>
      <c r="G101" s="222">
        <v>276.2</v>
      </c>
      <c r="H101" s="274">
        <v>2</v>
      </c>
      <c r="I101" s="197">
        <v>5000</v>
      </c>
      <c r="J101" s="268">
        <f t="shared" si="9"/>
        <v>10000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44914</v>
      </c>
      <c r="D102" s="196" t="s">
        <v>23</v>
      </c>
      <c r="E102" s="222" t="s">
        <v>28</v>
      </c>
      <c r="F102" s="222">
        <v>273</v>
      </c>
      <c r="G102" s="222">
        <v>271</v>
      </c>
      <c r="H102" s="274">
        <v>2</v>
      </c>
      <c r="I102" s="197">
        <v>5000</v>
      </c>
      <c r="J102" s="268">
        <f t="shared" si="9"/>
        <v>10000</v>
      </c>
      <c r="K102" s="185"/>
      <c r="V102" s="183">
        <f t="shared" si="10"/>
        <v>1</v>
      </c>
      <c r="W102" s="183">
        <f t="shared" si="11"/>
        <v>0</v>
      </c>
    </row>
    <row r="103" spans="1:23" x14ac:dyDescent="0.3">
      <c r="A103" s="184"/>
      <c r="B103" s="194">
        <v>13</v>
      </c>
      <c r="C103" s="195">
        <v>44915</v>
      </c>
      <c r="D103" s="196" t="s">
        <v>23</v>
      </c>
      <c r="E103" s="222" t="s">
        <v>28</v>
      </c>
      <c r="F103" s="222">
        <v>270.5</v>
      </c>
      <c r="G103" s="222">
        <v>271.5</v>
      </c>
      <c r="H103" s="274">
        <v>-1</v>
      </c>
      <c r="I103" s="197">
        <v>5000</v>
      </c>
      <c r="J103" s="268">
        <f t="shared" si="9"/>
        <v>-5000</v>
      </c>
      <c r="K103" s="185"/>
      <c r="V103" s="183">
        <f t="shared" si="10"/>
        <v>0</v>
      </c>
      <c r="W103" s="183">
        <f t="shared" si="11"/>
        <v>1</v>
      </c>
    </row>
    <row r="104" spans="1:23" x14ac:dyDescent="0.3">
      <c r="A104" s="184"/>
      <c r="B104" s="194">
        <v>14</v>
      </c>
      <c r="C104" s="195">
        <v>44916</v>
      </c>
      <c r="D104" s="196" t="s">
        <v>23</v>
      </c>
      <c r="E104" s="222" t="s">
        <v>28</v>
      </c>
      <c r="F104" s="222">
        <v>274</v>
      </c>
      <c r="G104" s="222">
        <v>272.60000000000002</v>
      </c>
      <c r="H104" s="274">
        <f>274-272.6</f>
        <v>1.3999999999999773</v>
      </c>
      <c r="I104" s="197">
        <v>5000</v>
      </c>
      <c r="J104" s="268">
        <f t="shared" si="9"/>
        <v>6999.9999999998863</v>
      </c>
      <c r="K104" s="185"/>
      <c r="V104" s="183">
        <f t="shared" si="10"/>
        <v>1</v>
      </c>
      <c r="W104" s="183">
        <f t="shared" si="11"/>
        <v>0</v>
      </c>
    </row>
    <row r="105" spans="1:23" x14ac:dyDescent="0.3">
      <c r="A105" s="184"/>
      <c r="B105" s="194">
        <v>15</v>
      </c>
      <c r="C105" s="195">
        <v>44917</v>
      </c>
      <c r="D105" s="196" t="s">
        <v>23</v>
      </c>
      <c r="E105" s="196" t="s">
        <v>28</v>
      </c>
      <c r="F105" s="222">
        <v>269.3</v>
      </c>
      <c r="G105" s="222">
        <v>267.7</v>
      </c>
      <c r="H105" s="222">
        <f>269.3-267.7</f>
        <v>1.6000000000000227</v>
      </c>
      <c r="I105" s="197">
        <v>5000</v>
      </c>
      <c r="J105" s="268">
        <f t="shared" si="9"/>
        <v>8000.0000000001137</v>
      </c>
      <c r="K105" s="185"/>
      <c r="V105" s="183">
        <f t="shared" si="10"/>
        <v>1</v>
      </c>
      <c r="W105" s="183">
        <f t="shared" si="11"/>
        <v>0</v>
      </c>
    </row>
    <row r="106" spans="1:23" x14ac:dyDescent="0.3">
      <c r="A106" s="184"/>
      <c r="B106" s="194">
        <v>16</v>
      </c>
      <c r="C106" s="195">
        <v>44918</v>
      </c>
      <c r="D106" s="196" t="s">
        <v>23</v>
      </c>
      <c r="E106" s="196" t="s">
        <v>28</v>
      </c>
      <c r="F106" s="222">
        <v>267.2</v>
      </c>
      <c r="G106" s="197">
        <v>266.2</v>
      </c>
      <c r="H106" s="274">
        <v>1</v>
      </c>
      <c r="I106" s="197">
        <v>5000</v>
      </c>
      <c r="J106" s="268">
        <f t="shared" si="9"/>
        <v>5000</v>
      </c>
      <c r="K106" s="185"/>
      <c r="V106" s="183">
        <f t="shared" si="10"/>
        <v>1</v>
      </c>
      <c r="W106" s="183">
        <f t="shared" si="11"/>
        <v>0</v>
      </c>
    </row>
    <row r="107" spans="1:23" x14ac:dyDescent="0.3">
      <c r="A107" s="184"/>
      <c r="B107" s="194">
        <v>17</v>
      </c>
      <c r="C107" s="195">
        <v>44921</v>
      </c>
      <c r="D107" s="196" t="s">
        <v>23</v>
      </c>
      <c r="E107" s="196" t="s">
        <v>28</v>
      </c>
      <c r="F107" s="222">
        <v>267.7</v>
      </c>
      <c r="G107" s="222">
        <v>268.7</v>
      </c>
      <c r="H107" s="274">
        <v>-1</v>
      </c>
      <c r="I107" s="197">
        <v>5000</v>
      </c>
      <c r="J107" s="268">
        <f t="shared" si="9"/>
        <v>-5000</v>
      </c>
      <c r="K107" s="185"/>
      <c r="V107" s="183">
        <f t="shared" si="10"/>
        <v>0</v>
      </c>
      <c r="W107" s="183">
        <f t="shared" si="11"/>
        <v>1</v>
      </c>
    </row>
    <row r="108" spans="1:23" x14ac:dyDescent="0.3">
      <c r="A108" s="184"/>
      <c r="B108" s="194">
        <v>18</v>
      </c>
      <c r="C108" s="195">
        <v>44922</v>
      </c>
      <c r="D108" s="196" t="s">
        <v>23</v>
      </c>
      <c r="E108" s="196" t="s">
        <v>28</v>
      </c>
      <c r="F108" s="222">
        <v>271.2</v>
      </c>
      <c r="G108" s="222">
        <v>272.2</v>
      </c>
      <c r="H108" s="274">
        <v>-1</v>
      </c>
      <c r="I108" s="197">
        <v>5000</v>
      </c>
      <c r="J108" s="268">
        <f t="shared" si="9"/>
        <v>-5000</v>
      </c>
      <c r="K108" s="185"/>
      <c r="V108" s="183">
        <f t="shared" si="10"/>
        <v>0</v>
      </c>
      <c r="W108" s="183">
        <f t="shared" si="11"/>
        <v>1</v>
      </c>
    </row>
    <row r="109" spans="1:23" x14ac:dyDescent="0.3">
      <c r="A109" s="184"/>
      <c r="B109" s="194">
        <v>19</v>
      </c>
      <c r="C109" s="195">
        <v>44923</v>
      </c>
      <c r="D109" s="196" t="s">
        <v>23</v>
      </c>
      <c r="E109" s="196" t="s">
        <v>28</v>
      </c>
      <c r="F109" s="222">
        <v>273.60000000000002</v>
      </c>
      <c r="G109" s="222">
        <v>273.14999999999998</v>
      </c>
      <c r="H109" s="274">
        <f>273.6-273.15</f>
        <v>0.45000000000004547</v>
      </c>
      <c r="I109" s="197">
        <v>5000</v>
      </c>
      <c r="J109" s="268">
        <f t="shared" si="9"/>
        <v>2250.0000000002274</v>
      </c>
      <c r="K109" s="185"/>
      <c r="V109" s="183">
        <f t="shared" si="10"/>
        <v>1</v>
      </c>
      <c r="W109" s="183">
        <f t="shared" si="11"/>
        <v>0</v>
      </c>
    </row>
    <row r="110" spans="1:23" x14ac:dyDescent="0.3">
      <c r="A110" s="184"/>
      <c r="B110" s="194">
        <v>20</v>
      </c>
      <c r="C110" s="195">
        <v>44924</v>
      </c>
      <c r="D110" s="196" t="s">
        <v>23</v>
      </c>
      <c r="E110" s="222" t="s">
        <v>28</v>
      </c>
      <c r="F110" s="222">
        <v>271</v>
      </c>
      <c r="G110" s="222">
        <v>269.35000000000002</v>
      </c>
      <c r="H110" s="274">
        <f>271-269.35</f>
        <v>1.6499999999999773</v>
      </c>
      <c r="I110" s="197">
        <v>5000</v>
      </c>
      <c r="J110" s="268">
        <f t="shared" si="9"/>
        <v>8249.9999999998872</v>
      </c>
      <c r="K110" s="185"/>
      <c r="V110" s="183">
        <f t="shared" si="10"/>
        <v>1</v>
      </c>
      <c r="W110" s="183">
        <f t="shared" si="11"/>
        <v>0</v>
      </c>
    </row>
    <row r="111" spans="1:23" x14ac:dyDescent="0.3">
      <c r="A111" s="184"/>
      <c r="B111" s="194">
        <v>21</v>
      </c>
      <c r="C111" s="195">
        <v>44925</v>
      </c>
      <c r="D111" s="196" t="s">
        <v>23</v>
      </c>
      <c r="E111" s="222" t="s">
        <v>28</v>
      </c>
      <c r="F111" s="222">
        <v>269.60000000000002</v>
      </c>
      <c r="G111" s="222">
        <v>269</v>
      </c>
      <c r="H111" s="274">
        <v>0.6</v>
      </c>
      <c r="I111" s="197">
        <v>5000</v>
      </c>
      <c r="J111" s="268">
        <f t="shared" si="9"/>
        <v>3000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98250.000000000058</v>
      </c>
      <c r="K114" s="185"/>
      <c r="V114" s="183">
        <f>SUM(V91:V113)</f>
        <v>18</v>
      </c>
      <c r="W114" s="183">
        <f>SUM(W91:W113)</f>
        <v>3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7800-000000000000}"/>
    <hyperlink ref="B83" r:id="rId2" xr:uid="{00000000-0004-0000-7800-000001000000}"/>
    <hyperlink ref="M4:M5" location="'NOV 2022'!A1" display="BULLION" xr:uid="{00000000-0004-0000-7800-000002000000}"/>
    <hyperlink ref="B114" r:id="rId3" xr:uid="{00000000-0004-0000-7800-000003000000}"/>
    <hyperlink ref="M8:M9" location="'NOV 2022'!A86" display="BASE METAL" xr:uid="{00000000-0004-0000-7800-000004000000}"/>
    <hyperlink ref="M1" location="MASTER!A1" display="Back" xr:uid="{00000000-0004-0000-7800-000005000000}"/>
    <hyperlink ref="M6:M7" location="'NOV 2022'!A54" display="ENERGY" xr:uid="{00000000-0004-0000-7800-000006000000}"/>
  </hyperlinks>
  <pageMargins left="0" right="0" top="0" bottom="0" header="0" footer="0"/>
  <pageSetup paperSize="9" orientation="portrait" r:id="rId4"/>
  <drawing r:id="rId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W146"/>
  <sheetViews>
    <sheetView topLeftCell="A10"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44927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39</v>
      </c>
      <c r="P4" s="369">
        <f>W52</f>
        <v>3</v>
      </c>
      <c r="Q4" s="349">
        <f>N4-O4-P4</f>
        <v>0</v>
      </c>
      <c r="R4" s="343">
        <f>O4/N4</f>
        <v>0.9285714285714286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44928</v>
      </c>
      <c r="D6" s="192" t="s">
        <v>23</v>
      </c>
      <c r="E6" s="192" t="s">
        <v>24</v>
      </c>
      <c r="F6" s="193">
        <v>55130</v>
      </c>
      <c r="G6" s="193">
        <v>55230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COUNT(C60:C82)</f>
        <v>21</v>
      </c>
      <c r="O6" s="348">
        <f>V83</f>
        <v>17</v>
      </c>
      <c r="P6" s="348">
        <f>W83</f>
        <v>4</v>
      </c>
      <c r="Q6" s="349">
        <f>N6-O6-P6</f>
        <v>0</v>
      </c>
      <c r="R6" s="345">
        <f t="shared" ref="R6" si="0">O6/N6</f>
        <v>0.80952380952380953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44928</v>
      </c>
      <c r="D7" s="196" t="s">
        <v>23</v>
      </c>
      <c r="E7" s="196" t="s">
        <v>22</v>
      </c>
      <c r="F7" s="197">
        <v>69600</v>
      </c>
      <c r="G7" s="197">
        <v>69545</v>
      </c>
      <c r="H7" s="196">
        <f>69600-69545</f>
        <v>55</v>
      </c>
      <c r="I7" s="197">
        <v>30</v>
      </c>
      <c r="J7" s="268">
        <f t="shared" ref="J7:J51" si="1">H7*I7</f>
        <v>1650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44929</v>
      </c>
      <c r="D8" s="196" t="s">
        <v>23</v>
      </c>
      <c r="E8" s="196" t="s">
        <v>24</v>
      </c>
      <c r="F8" s="197">
        <v>55600</v>
      </c>
      <c r="G8" s="197">
        <v>55460</v>
      </c>
      <c r="H8" s="196">
        <f>55600-55460</f>
        <v>140</v>
      </c>
      <c r="I8" s="197">
        <v>100</v>
      </c>
      <c r="J8" s="268">
        <f t="shared" si="1"/>
        <v>14000</v>
      </c>
      <c r="K8" s="185"/>
      <c r="M8" s="362" t="s">
        <v>877</v>
      </c>
      <c r="N8" s="347">
        <f>COUNT(C91:C113)</f>
        <v>21</v>
      </c>
      <c r="O8" s="348">
        <f>V114</f>
        <v>19</v>
      </c>
      <c r="P8" s="348">
        <f>W114</f>
        <v>2</v>
      </c>
      <c r="Q8" s="349">
        <f>N8-O8-P8</f>
        <v>0</v>
      </c>
      <c r="R8" s="345">
        <f t="shared" ref="R8" si="4">O8/N8</f>
        <v>0.90476190476190477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44929</v>
      </c>
      <c r="D9" s="196" t="s">
        <v>23</v>
      </c>
      <c r="E9" s="196" t="s">
        <v>22</v>
      </c>
      <c r="F9" s="197">
        <v>70700</v>
      </c>
      <c r="G9" s="197">
        <v>70500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44930</v>
      </c>
      <c r="D10" s="196" t="s">
        <v>23</v>
      </c>
      <c r="E10" s="196" t="s">
        <v>24</v>
      </c>
      <c r="F10" s="197">
        <v>55980</v>
      </c>
      <c r="G10" s="197">
        <v>55780</v>
      </c>
      <c r="H10" s="196">
        <v>200</v>
      </c>
      <c r="I10" s="197">
        <v>100</v>
      </c>
      <c r="J10" s="268">
        <f t="shared" si="1"/>
        <v>20000</v>
      </c>
      <c r="K10" s="185"/>
      <c r="M10" s="364" t="s">
        <v>906</v>
      </c>
      <c r="N10" s="347">
        <f>COUNT(C122:C144)</f>
        <v>16</v>
      </c>
      <c r="O10" s="348">
        <f>V145</f>
        <v>13</v>
      </c>
      <c r="P10" s="348">
        <f>W145</f>
        <v>3</v>
      </c>
      <c r="Q10" s="349">
        <f>N10-O10-P10</f>
        <v>0</v>
      </c>
      <c r="R10" s="345">
        <f>O10/N10</f>
        <v>0.8125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44930</v>
      </c>
      <c r="D11" s="196" t="s">
        <v>23</v>
      </c>
      <c r="E11" s="196" t="s">
        <v>22</v>
      </c>
      <c r="F11" s="197">
        <v>70500</v>
      </c>
      <c r="G11" s="197">
        <v>69900</v>
      </c>
      <c r="H11" s="196">
        <f>70500-69900</f>
        <v>600</v>
      </c>
      <c r="I11" s="197">
        <v>30</v>
      </c>
      <c r="J11" s="268">
        <f t="shared" si="1"/>
        <v>18000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44931</v>
      </c>
      <c r="D12" s="196" t="s">
        <v>23</v>
      </c>
      <c r="E12" s="196" t="s">
        <v>24</v>
      </c>
      <c r="F12" s="197">
        <v>55650</v>
      </c>
      <c r="G12" s="197">
        <v>55450</v>
      </c>
      <c r="H12" s="196">
        <v>200</v>
      </c>
      <c r="I12" s="197">
        <v>100</v>
      </c>
      <c r="J12" s="268">
        <f t="shared" si="1"/>
        <v>20000</v>
      </c>
      <c r="K12" s="185"/>
      <c r="M12" s="319" t="s">
        <v>300</v>
      </c>
      <c r="N12" s="371">
        <f>SUM(N4:N11)</f>
        <v>100</v>
      </c>
      <c r="O12" s="371">
        <f>SUM(O4:O11)</f>
        <v>88</v>
      </c>
      <c r="P12" s="371">
        <f>SUM(P4:P11)</f>
        <v>12</v>
      </c>
      <c r="Q12" s="371">
        <f>SUM(Q4:Q11)</f>
        <v>0</v>
      </c>
      <c r="R12" s="343">
        <f>O12/N12</f>
        <v>0.88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44931</v>
      </c>
      <c r="D13" s="196" t="s">
        <v>23</v>
      </c>
      <c r="E13" s="196" t="s">
        <v>22</v>
      </c>
      <c r="F13" s="197">
        <v>68500</v>
      </c>
      <c r="G13" s="197">
        <v>68001</v>
      </c>
      <c r="H13" s="196">
        <f>68500-68001</f>
        <v>499</v>
      </c>
      <c r="I13" s="197">
        <v>30</v>
      </c>
      <c r="J13" s="268">
        <f t="shared" si="1"/>
        <v>14970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44932</v>
      </c>
      <c r="D14" s="196" t="s">
        <v>16</v>
      </c>
      <c r="E14" s="196" t="s">
        <v>24</v>
      </c>
      <c r="F14" s="197">
        <v>55350</v>
      </c>
      <c r="G14" s="197">
        <v>55550</v>
      </c>
      <c r="H14" s="196">
        <v>200</v>
      </c>
      <c r="I14" s="197">
        <v>100</v>
      </c>
      <c r="J14" s="268">
        <f t="shared" si="1"/>
        <v>20000</v>
      </c>
      <c r="K14" s="185"/>
      <c r="M14" s="323" t="s">
        <v>878</v>
      </c>
      <c r="N14" s="324"/>
      <c r="O14" s="325"/>
      <c r="P14" s="332">
        <f>R12</f>
        <v>0.88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44932</v>
      </c>
      <c r="D15" s="196" t="s">
        <v>16</v>
      </c>
      <c r="E15" s="196" t="s">
        <v>22</v>
      </c>
      <c r="F15" s="197">
        <v>68400</v>
      </c>
      <c r="G15" s="197">
        <v>69000</v>
      </c>
      <c r="H15" s="196">
        <f>69000-68400</f>
        <v>600</v>
      </c>
      <c r="I15" s="197">
        <v>30</v>
      </c>
      <c r="J15" s="268">
        <f t="shared" si="1"/>
        <v>18000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44935</v>
      </c>
      <c r="D16" s="196" t="s">
        <v>23</v>
      </c>
      <c r="E16" s="196" t="s">
        <v>24</v>
      </c>
      <c r="F16" s="197">
        <v>56100</v>
      </c>
      <c r="G16" s="197">
        <v>56000</v>
      </c>
      <c r="H16" s="196">
        <v>100</v>
      </c>
      <c r="I16" s="197">
        <v>100</v>
      </c>
      <c r="J16" s="268">
        <f t="shared" si="1"/>
        <v>10000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44935</v>
      </c>
      <c r="D17" s="196" t="s">
        <v>23</v>
      </c>
      <c r="E17" s="196" t="s">
        <v>22</v>
      </c>
      <c r="F17" s="197">
        <v>69600</v>
      </c>
      <c r="G17" s="197">
        <v>69300</v>
      </c>
      <c r="H17" s="196"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44936</v>
      </c>
      <c r="D18" s="196" t="s">
        <v>23</v>
      </c>
      <c r="E18" s="196" t="s">
        <v>24</v>
      </c>
      <c r="F18" s="197">
        <v>55800</v>
      </c>
      <c r="G18" s="197">
        <v>55700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44936</v>
      </c>
      <c r="D19" s="196" t="s">
        <v>23</v>
      </c>
      <c r="E19" s="196" t="s">
        <v>22</v>
      </c>
      <c r="F19" s="197">
        <v>68500</v>
      </c>
      <c r="G19" s="197">
        <v>68200</v>
      </c>
      <c r="H19" s="196">
        <v>300</v>
      </c>
      <c r="I19" s="197">
        <v>30</v>
      </c>
      <c r="J19" s="268">
        <f t="shared" si="1"/>
        <v>9000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44937</v>
      </c>
      <c r="D20" s="196" t="s">
        <v>23</v>
      </c>
      <c r="E20" s="196" t="s">
        <v>24</v>
      </c>
      <c r="F20" s="197">
        <v>55830</v>
      </c>
      <c r="G20" s="197">
        <v>55930</v>
      </c>
      <c r="H20" s="196">
        <v>-100</v>
      </c>
      <c r="I20" s="197">
        <v>100</v>
      </c>
      <c r="J20" s="268">
        <f t="shared" si="1"/>
        <v>-10000</v>
      </c>
      <c r="K20" s="185"/>
      <c r="M20" s="183" t="s">
        <v>870</v>
      </c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44937</v>
      </c>
      <c r="D21" s="196" t="s">
        <v>23</v>
      </c>
      <c r="E21" s="196" t="s">
        <v>22</v>
      </c>
      <c r="F21" s="197">
        <v>69000</v>
      </c>
      <c r="G21" s="197">
        <v>68400</v>
      </c>
      <c r="H21" s="196">
        <v>600</v>
      </c>
      <c r="I21" s="197">
        <v>30</v>
      </c>
      <c r="J21" s="268">
        <f t="shared" si="1"/>
        <v>18000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44938</v>
      </c>
      <c r="D22" s="196" t="s">
        <v>23</v>
      </c>
      <c r="E22" s="196" t="s">
        <v>24</v>
      </c>
      <c r="F22" s="197">
        <v>55840</v>
      </c>
      <c r="G22" s="197">
        <v>55640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44938</v>
      </c>
      <c r="D23" s="196" t="s">
        <v>23</v>
      </c>
      <c r="E23" s="196" t="s">
        <v>22</v>
      </c>
      <c r="F23" s="197">
        <v>68600</v>
      </c>
      <c r="G23" s="197">
        <v>68000</v>
      </c>
      <c r="H23" s="196"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44939</v>
      </c>
      <c r="D24" s="196" t="s">
        <v>16</v>
      </c>
      <c r="E24" s="196" t="s">
        <v>24</v>
      </c>
      <c r="F24" s="197">
        <v>56080</v>
      </c>
      <c r="G24" s="197">
        <v>56150</v>
      </c>
      <c r="H24" s="196">
        <f>56150-56080</f>
        <v>70</v>
      </c>
      <c r="I24" s="197">
        <v>100</v>
      </c>
      <c r="J24" s="268">
        <f t="shared" si="1"/>
        <v>7000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44939</v>
      </c>
      <c r="D25" s="196" t="s">
        <v>16</v>
      </c>
      <c r="E25" s="196" t="s">
        <v>22</v>
      </c>
      <c r="F25" s="197">
        <v>68650</v>
      </c>
      <c r="G25" s="197">
        <v>68900</v>
      </c>
      <c r="H25" s="196">
        <f>68900-68650</f>
        <v>250</v>
      </c>
      <c r="I25" s="197">
        <v>30</v>
      </c>
      <c r="J25" s="268">
        <f t="shared" si="1"/>
        <v>7500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44942</v>
      </c>
      <c r="D26" s="196" t="s">
        <v>23</v>
      </c>
      <c r="E26" s="196" t="s">
        <v>24</v>
      </c>
      <c r="F26" s="197">
        <v>56400</v>
      </c>
      <c r="G26" s="197">
        <v>56500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44942</v>
      </c>
      <c r="D27" s="196" t="s">
        <v>23</v>
      </c>
      <c r="E27" s="196" t="s">
        <v>22</v>
      </c>
      <c r="F27" s="197">
        <v>69600</v>
      </c>
      <c r="G27" s="197">
        <v>69300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44943</v>
      </c>
      <c r="D28" s="196" t="s">
        <v>16</v>
      </c>
      <c r="E28" s="196" t="s">
        <v>24</v>
      </c>
      <c r="F28" s="197">
        <v>56400</v>
      </c>
      <c r="G28" s="197">
        <v>56460</v>
      </c>
      <c r="H28" s="196">
        <v>60</v>
      </c>
      <c r="I28" s="197">
        <v>100</v>
      </c>
      <c r="J28" s="268">
        <f t="shared" si="1"/>
        <v>6000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44943</v>
      </c>
      <c r="D29" s="196" t="s">
        <v>16</v>
      </c>
      <c r="E29" s="196" t="s">
        <v>22</v>
      </c>
      <c r="F29" s="197">
        <v>69450</v>
      </c>
      <c r="G29" s="197">
        <v>69686</v>
      </c>
      <c r="H29" s="196">
        <f>69686-69450</f>
        <v>236</v>
      </c>
      <c r="I29" s="197">
        <v>30</v>
      </c>
      <c r="J29" s="268">
        <f t="shared" si="1"/>
        <v>7080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44944</v>
      </c>
      <c r="D30" s="196" t="s">
        <v>16</v>
      </c>
      <c r="E30" s="196" t="s">
        <v>24</v>
      </c>
      <c r="F30" s="197">
        <v>56350</v>
      </c>
      <c r="G30" s="197">
        <v>56450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44944</v>
      </c>
      <c r="D31" s="196" t="s">
        <v>16</v>
      </c>
      <c r="E31" s="196" t="s">
        <v>22</v>
      </c>
      <c r="F31" s="197">
        <v>69500</v>
      </c>
      <c r="G31" s="197">
        <v>69600</v>
      </c>
      <c r="H31" s="196">
        <v>100</v>
      </c>
      <c r="I31" s="197">
        <v>30</v>
      </c>
      <c r="J31" s="268">
        <f t="shared" si="1"/>
        <v>3000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44945</v>
      </c>
      <c r="D32" s="196" t="s">
        <v>23</v>
      </c>
      <c r="E32" s="196" t="s">
        <v>24</v>
      </c>
      <c r="F32" s="197">
        <v>56450</v>
      </c>
      <c r="G32" s="197">
        <v>56280</v>
      </c>
      <c r="H32" s="196">
        <f>56450-56280</f>
        <v>170</v>
      </c>
      <c r="I32" s="197">
        <v>100</v>
      </c>
      <c r="J32" s="268">
        <f t="shared" si="1"/>
        <v>17000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44945</v>
      </c>
      <c r="D33" s="196" t="s">
        <v>23</v>
      </c>
      <c r="E33" s="196" t="s">
        <v>22</v>
      </c>
      <c r="F33" s="197">
        <v>68000</v>
      </c>
      <c r="G33" s="197">
        <v>67425</v>
      </c>
      <c r="H33" s="196">
        <f>68000-67425</f>
        <v>575</v>
      </c>
      <c r="I33" s="197">
        <v>30</v>
      </c>
      <c r="J33" s="268">
        <f t="shared" si="1"/>
        <v>17250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44946</v>
      </c>
      <c r="D34" s="196" t="s">
        <v>23</v>
      </c>
      <c r="E34" s="196" t="s">
        <v>24</v>
      </c>
      <c r="F34" s="197">
        <v>56720</v>
      </c>
      <c r="G34" s="197">
        <v>56560</v>
      </c>
      <c r="H34" s="196">
        <f>56720-56560</f>
        <v>160</v>
      </c>
      <c r="I34" s="197">
        <v>100</v>
      </c>
      <c r="J34" s="268">
        <f t="shared" si="1"/>
        <v>16000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44946</v>
      </c>
      <c r="D35" s="196" t="s">
        <v>23</v>
      </c>
      <c r="E35" s="196" t="s">
        <v>22</v>
      </c>
      <c r="F35" s="197">
        <v>68800</v>
      </c>
      <c r="G35" s="197">
        <v>68340</v>
      </c>
      <c r="H35" s="196">
        <f>68800-68340</f>
        <v>460</v>
      </c>
      <c r="I35" s="197">
        <v>30</v>
      </c>
      <c r="J35" s="268">
        <f t="shared" si="1"/>
        <v>13800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44949</v>
      </c>
      <c r="D36" s="196" t="s">
        <v>23</v>
      </c>
      <c r="E36" s="196" t="s">
        <v>24</v>
      </c>
      <c r="F36" s="197">
        <v>56750</v>
      </c>
      <c r="G36" s="197">
        <v>56550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44949</v>
      </c>
      <c r="D37" s="196" t="s">
        <v>23</v>
      </c>
      <c r="E37" s="196" t="s">
        <v>22</v>
      </c>
      <c r="F37" s="197">
        <v>68800</v>
      </c>
      <c r="G37" s="197">
        <v>68200</v>
      </c>
      <c r="H37" s="196">
        <v>600</v>
      </c>
      <c r="I37" s="197">
        <v>30</v>
      </c>
      <c r="J37" s="268">
        <f t="shared" si="1"/>
        <v>18000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44950</v>
      </c>
      <c r="D38" s="196" t="s">
        <v>23</v>
      </c>
      <c r="E38" s="196" t="s">
        <v>24</v>
      </c>
      <c r="F38" s="197">
        <v>57070</v>
      </c>
      <c r="G38" s="197">
        <v>56970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44950</v>
      </c>
      <c r="D39" s="196" t="s">
        <v>23</v>
      </c>
      <c r="E39" s="196" t="s">
        <v>22</v>
      </c>
      <c r="F39" s="197">
        <v>68500</v>
      </c>
      <c r="G39" s="197">
        <v>68100</v>
      </c>
      <c r="H39" s="196">
        <v>400</v>
      </c>
      <c r="I39" s="197">
        <v>30</v>
      </c>
      <c r="J39" s="268">
        <f t="shared" si="1"/>
        <v>12000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44951</v>
      </c>
      <c r="D40" s="196" t="s">
        <v>23</v>
      </c>
      <c r="E40" s="196" t="s">
        <v>24</v>
      </c>
      <c r="F40" s="197">
        <v>56860</v>
      </c>
      <c r="G40" s="197">
        <v>56720</v>
      </c>
      <c r="H40" s="196">
        <f>56860-56720</f>
        <v>140</v>
      </c>
      <c r="I40" s="197">
        <v>100</v>
      </c>
      <c r="J40" s="268">
        <f t="shared" si="1"/>
        <v>14000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44951</v>
      </c>
      <c r="D41" s="196" t="s">
        <v>23</v>
      </c>
      <c r="E41" s="196" t="s">
        <v>22</v>
      </c>
      <c r="F41" s="197">
        <v>68400</v>
      </c>
      <c r="G41" s="197">
        <v>68100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44953</v>
      </c>
      <c r="D42" s="196" t="s">
        <v>23</v>
      </c>
      <c r="E42" s="196" t="s">
        <v>24</v>
      </c>
      <c r="F42" s="197">
        <v>56760</v>
      </c>
      <c r="G42" s="197">
        <v>56660</v>
      </c>
      <c r="H42" s="196">
        <v>100</v>
      </c>
      <c r="I42" s="197">
        <v>100</v>
      </c>
      <c r="J42" s="268">
        <f t="shared" si="1"/>
        <v>10000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44953</v>
      </c>
      <c r="D43" s="196" t="s">
        <v>23</v>
      </c>
      <c r="E43" s="196" t="s">
        <v>22</v>
      </c>
      <c r="F43" s="197">
        <v>68700</v>
      </c>
      <c r="G43" s="197">
        <v>68150</v>
      </c>
      <c r="H43" s="196">
        <v>600</v>
      </c>
      <c r="I43" s="197">
        <v>30</v>
      </c>
      <c r="J43" s="268">
        <f t="shared" si="1"/>
        <v>18000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44956</v>
      </c>
      <c r="D44" s="196" t="s">
        <v>23</v>
      </c>
      <c r="E44" s="196" t="s">
        <v>24</v>
      </c>
      <c r="F44" s="197">
        <v>56830</v>
      </c>
      <c r="G44" s="197">
        <v>56730</v>
      </c>
      <c r="H44" s="196"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44956</v>
      </c>
      <c r="D45" s="196" t="s">
        <v>23</v>
      </c>
      <c r="E45" s="196" t="s">
        <v>22</v>
      </c>
      <c r="F45" s="197">
        <v>68600</v>
      </c>
      <c r="G45" s="197">
        <v>68380</v>
      </c>
      <c r="H45" s="196">
        <f>68600-68380</f>
        <v>220</v>
      </c>
      <c r="I45" s="197">
        <v>30</v>
      </c>
      <c r="J45" s="268">
        <f t="shared" si="1"/>
        <v>6600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44957</v>
      </c>
      <c r="D46" s="196" t="s">
        <v>23</v>
      </c>
      <c r="E46" s="196" t="s">
        <v>24</v>
      </c>
      <c r="F46" s="197">
        <v>56900</v>
      </c>
      <c r="G46" s="197">
        <v>56700</v>
      </c>
      <c r="H46" s="196">
        <v>200</v>
      </c>
      <c r="I46" s="197">
        <v>100</v>
      </c>
      <c r="J46" s="268">
        <f t="shared" si="1"/>
        <v>20000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44957</v>
      </c>
      <c r="D47" s="196" t="s">
        <v>23</v>
      </c>
      <c r="E47" s="196" t="s">
        <v>22</v>
      </c>
      <c r="F47" s="197">
        <v>68000</v>
      </c>
      <c r="G47" s="197">
        <v>67700</v>
      </c>
      <c r="H47" s="196">
        <v>300</v>
      </c>
      <c r="I47" s="197">
        <v>30</v>
      </c>
      <c r="J47" s="268">
        <f t="shared" si="1"/>
        <v>9000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466850</v>
      </c>
      <c r="K52" s="185"/>
      <c r="V52" s="183">
        <f>SUM(V6:V51)</f>
        <v>39</v>
      </c>
      <c r="W52" s="183">
        <f>SUM(W6:W51)</f>
        <v>3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44927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44928</v>
      </c>
      <c r="D60" s="192" t="s">
        <v>23</v>
      </c>
      <c r="E60" s="192" t="s">
        <v>25</v>
      </c>
      <c r="F60" s="193">
        <v>6630</v>
      </c>
      <c r="G60" s="193">
        <v>6580</v>
      </c>
      <c r="H60" s="192">
        <f>6630-6580</f>
        <v>50</v>
      </c>
      <c r="I60" s="193">
        <v>100</v>
      </c>
      <c r="J60" s="267">
        <f t="shared" ref="J60:J82" si="5">I60*H60</f>
        <v>5000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44929</v>
      </c>
      <c r="D61" s="196" t="s">
        <v>23</v>
      </c>
      <c r="E61" s="196" t="s">
        <v>25</v>
      </c>
      <c r="F61" s="197">
        <v>6700</v>
      </c>
      <c r="G61" s="197">
        <v>6630</v>
      </c>
      <c r="H61" s="196">
        <f>6700-6630</f>
        <v>70</v>
      </c>
      <c r="I61" s="197">
        <v>100</v>
      </c>
      <c r="J61" s="268">
        <f t="shared" si="5"/>
        <v>7000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44930</v>
      </c>
      <c r="D62" s="196" t="s">
        <v>23</v>
      </c>
      <c r="E62" s="196" t="s">
        <v>25</v>
      </c>
      <c r="F62" s="197">
        <v>6270</v>
      </c>
      <c r="G62" s="197">
        <v>6200</v>
      </c>
      <c r="H62" s="196">
        <v>70</v>
      </c>
      <c r="I62" s="197">
        <v>100</v>
      </c>
      <c r="J62" s="268">
        <f t="shared" si="5"/>
        <v>7000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44931</v>
      </c>
      <c r="D63" s="196" t="s">
        <v>23</v>
      </c>
      <c r="E63" s="196" t="s">
        <v>25</v>
      </c>
      <c r="F63" s="197">
        <v>6190</v>
      </c>
      <c r="G63" s="197">
        <v>6120</v>
      </c>
      <c r="H63" s="196">
        <f>6190-6120</f>
        <v>70</v>
      </c>
      <c r="I63" s="197">
        <v>100</v>
      </c>
      <c r="J63" s="268">
        <f t="shared" si="5"/>
        <v>7000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44932</v>
      </c>
      <c r="D64" s="196" t="s">
        <v>23</v>
      </c>
      <c r="E64" s="196" t="s">
        <v>25</v>
      </c>
      <c r="F64" s="197">
        <v>6110</v>
      </c>
      <c r="G64" s="197">
        <v>6085</v>
      </c>
      <c r="H64" s="196">
        <f>6110-6085</f>
        <v>25</v>
      </c>
      <c r="I64" s="197">
        <v>100</v>
      </c>
      <c r="J64" s="268">
        <f t="shared" si="5"/>
        <v>2500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44935</v>
      </c>
      <c r="D65" s="196" t="s">
        <v>23</v>
      </c>
      <c r="E65" s="196" t="s">
        <v>25</v>
      </c>
      <c r="F65" s="197">
        <v>6270</v>
      </c>
      <c r="G65" s="197">
        <v>6310</v>
      </c>
      <c r="H65" s="196">
        <v>-40</v>
      </c>
      <c r="I65" s="197">
        <v>100</v>
      </c>
      <c r="J65" s="268">
        <f t="shared" si="5"/>
        <v>-4000</v>
      </c>
      <c r="K65" s="185"/>
      <c r="V65" s="183">
        <f t="shared" si="6"/>
        <v>0</v>
      </c>
      <c r="W65" s="183">
        <f t="shared" si="7"/>
        <v>1</v>
      </c>
    </row>
    <row r="66" spans="1:23" x14ac:dyDescent="0.3">
      <c r="A66" s="184"/>
      <c r="B66" s="194">
        <v>7</v>
      </c>
      <c r="C66" s="195">
        <v>44936</v>
      </c>
      <c r="D66" s="196" t="s">
        <v>23</v>
      </c>
      <c r="E66" s="196" t="s">
        <v>25</v>
      </c>
      <c r="F66" s="222">
        <v>6135</v>
      </c>
      <c r="G66" s="222">
        <v>6180</v>
      </c>
      <c r="H66" s="196">
        <f>6180-6135</f>
        <v>45</v>
      </c>
      <c r="I66" s="197">
        <v>100</v>
      </c>
      <c r="J66" s="268">
        <f t="shared" si="5"/>
        <v>4500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44937</v>
      </c>
      <c r="D67" s="196" t="s">
        <v>23</v>
      </c>
      <c r="E67" s="196" t="s">
        <v>25</v>
      </c>
      <c r="F67" s="197">
        <v>6180</v>
      </c>
      <c r="G67" s="197">
        <v>6162</v>
      </c>
      <c r="H67" s="196">
        <f>6180-6162</f>
        <v>18</v>
      </c>
      <c r="I67" s="197">
        <v>100</v>
      </c>
      <c r="J67" s="268">
        <f t="shared" si="5"/>
        <v>1800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44938</v>
      </c>
      <c r="D68" s="196" t="s">
        <v>23</v>
      </c>
      <c r="E68" s="196" t="s">
        <v>25</v>
      </c>
      <c r="F68" s="197">
        <v>6320</v>
      </c>
      <c r="G68" s="197">
        <v>6360</v>
      </c>
      <c r="H68" s="196">
        <v>-30</v>
      </c>
      <c r="I68" s="197">
        <v>100</v>
      </c>
      <c r="J68" s="268">
        <f t="shared" si="5"/>
        <v>-3000</v>
      </c>
      <c r="K68" s="185"/>
      <c r="V68" s="183">
        <f t="shared" si="6"/>
        <v>0</v>
      </c>
      <c r="W68" s="183">
        <f t="shared" si="7"/>
        <v>1</v>
      </c>
    </row>
    <row r="69" spans="1:23" x14ac:dyDescent="0.3">
      <c r="A69" s="184"/>
      <c r="B69" s="194">
        <v>10</v>
      </c>
      <c r="C69" s="195">
        <v>44939</v>
      </c>
      <c r="D69" s="196" t="s">
        <v>23</v>
      </c>
      <c r="E69" s="196" t="s">
        <v>25</v>
      </c>
      <c r="F69" s="197">
        <v>6395</v>
      </c>
      <c r="G69" s="197">
        <v>6435</v>
      </c>
      <c r="H69" s="196">
        <v>-30</v>
      </c>
      <c r="I69" s="197">
        <v>100</v>
      </c>
      <c r="J69" s="268">
        <f t="shared" si="5"/>
        <v>-3000</v>
      </c>
      <c r="K69" s="185"/>
      <c r="V69" s="183">
        <f t="shared" si="6"/>
        <v>0</v>
      </c>
      <c r="W69" s="183">
        <f t="shared" si="7"/>
        <v>1</v>
      </c>
    </row>
    <row r="70" spans="1:23" x14ac:dyDescent="0.3">
      <c r="A70" s="184"/>
      <c r="B70" s="194">
        <v>11</v>
      </c>
      <c r="C70" s="195">
        <v>44942</v>
      </c>
      <c r="D70" s="196" t="s">
        <v>23</v>
      </c>
      <c r="E70" s="196" t="s">
        <v>25</v>
      </c>
      <c r="F70" s="197">
        <v>6500</v>
      </c>
      <c r="G70" s="197">
        <v>6430</v>
      </c>
      <c r="H70" s="196">
        <f>6500-6430</f>
        <v>70</v>
      </c>
      <c r="I70" s="197">
        <v>100</v>
      </c>
      <c r="J70" s="268">
        <f t="shared" si="5"/>
        <v>7000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44943</v>
      </c>
      <c r="D71" s="196" t="s">
        <v>23</v>
      </c>
      <c r="E71" s="196" t="s">
        <v>25</v>
      </c>
      <c r="F71" s="197">
        <v>6520</v>
      </c>
      <c r="G71" s="197">
        <v>6480</v>
      </c>
      <c r="H71" s="196">
        <f>6520-6480</f>
        <v>40</v>
      </c>
      <c r="I71" s="197">
        <v>100</v>
      </c>
      <c r="J71" s="268">
        <f t="shared" si="5"/>
        <v>4000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44944</v>
      </c>
      <c r="D72" s="196" t="s">
        <v>23</v>
      </c>
      <c r="E72" s="196" t="s">
        <v>25</v>
      </c>
      <c r="F72" s="197">
        <v>6590</v>
      </c>
      <c r="G72" s="197">
        <v>6565</v>
      </c>
      <c r="H72" s="196">
        <f>6590-6565</f>
        <v>25</v>
      </c>
      <c r="I72" s="197">
        <v>100</v>
      </c>
      <c r="J72" s="268">
        <f t="shared" si="5"/>
        <v>2500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44945</v>
      </c>
      <c r="D73" s="196" t="s">
        <v>23</v>
      </c>
      <c r="E73" s="196" t="s">
        <v>25</v>
      </c>
      <c r="F73" s="197">
        <v>6390</v>
      </c>
      <c r="G73" s="197">
        <v>6430</v>
      </c>
      <c r="H73" s="196">
        <v>-30</v>
      </c>
      <c r="I73" s="197">
        <v>100</v>
      </c>
      <c r="J73" s="268">
        <f t="shared" si="5"/>
        <v>-3000</v>
      </c>
      <c r="K73" s="185"/>
      <c r="V73" s="183">
        <f t="shared" si="6"/>
        <v>0</v>
      </c>
      <c r="W73" s="183">
        <f t="shared" si="7"/>
        <v>1</v>
      </c>
    </row>
    <row r="74" spans="1:23" x14ac:dyDescent="0.3">
      <c r="A74" s="184"/>
      <c r="B74" s="194">
        <v>15</v>
      </c>
      <c r="C74" s="195">
        <v>44946</v>
      </c>
      <c r="D74" s="196" t="s">
        <v>23</v>
      </c>
      <c r="E74" s="196" t="s">
        <v>25</v>
      </c>
      <c r="F74" s="197">
        <v>6600</v>
      </c>
      <c r="G74" s="197">
        <v>6530</v>
      </c>
      <c r="H74" s="196">
        <f>6600-6530</f>
        <v>70</v>
      </c>
      <c r="I74" s="197">
        <v>100</v>
      </c>
      <c r="J74" s="268">
        <f t="shared" si="5"/>
        <v>7000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44949</v>
      </c>
      <c r="D75" s="196" t="s">
        <v>23</v>
      </c>
      <c r="E75" s="196" t="s">
        <v>25</v>
      </c>
      <c r="F75" s="197">
        <v>6680</v>
      </c>
      <c r="G75" s="197">
        <v>6673</v>
      </c>
      <c r="H75" s="196">
        <f>6680-6673</f>
        <v>7</v>
      </c>
      <c r="I75" s="197">
        <v>100</v>
      </c>
      <c r="J75" s="268">
        <f t="shared" si="5"/>
        <v>700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44950</v>
      </c>
      <c r="D76" s="196" t="s">
        <v>16</v>
      </c>
      <c r="E76" s="196" t="s">
        <v>25</v>
      </c>
      <c r="F76" s="197">
        <v>6680</v>
      </c>
      <c r="G76" s="197">
        <v>6610</v>
      </c>
      <c r="H76" s="196">
        <f>6680-6610</f>
        <v>70</v>
      </c>
      <c r="I76" s="197">
        <v>100</v>
      </c>
      <c r="J76" s="268">
        <f t="shared" si="5"/>
        <v>7000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44951</v>
      </c>
      <c r="D77" s="196" t="s">
        <v>23</v>
      </c>
      <c r="E77" s="196" t="s">
        <v>25</v>
      </c>
      <c r="F77" s="197">
        <v>6560</v>
      </c>
      <c r="G77" s="197">
        <v>6530</v>
      </c>
      <c r="H77" s="196">
        <v>30</v>
      </c>
      <c r="I77" s="197">
        <v>100</v>
      </c>
      <c r="J77" s="268">
        <f t="shared" si="5"/>
        <v>3000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44953</v>
      </c>
      <c r="D78" s="196" t="s">
        <v>23</v>
      </c>
      <c r="E78" s="196" t="s">
        <v>25</v>
      </c>
      <c r="F78" s="197">
        <v>6710</v>
      </c>
      <c r="G78" s="197">
        <v>6640</v>
      </c>
      <c r="H78" s="196">
        <f>6710-6640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44956</v>
      </c>
      <c r="D79" s="196" t="s">
        <v>23</v>
      </c>
      <c r="E79" s="196" t="s">
        <v>25</v>
      </c>
      <c r="F79" s="197">
        <v>6490</v>
      </c>
      <c r="G79" s="197">
        <v>6420</v>
      </c>
      <c r="H79" s="196">
        <v>60</v>
      </c>
      <c r="I79" s="197">
        <v>100</v>
      </c>
      <c r="J79" s="268">
        <f t="shared" si="5"/>
        <v>6000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44957</v>
      </c>
      <c r="D80" s="196" t="s">
        <v>23</v>
      </c>
      <c r="E80" s="196" t="s">
        <v>25</v>
      </c>
      <c r="F80" s="197">
        <v>6340</v>
      </c>
      <c r="G80" s="197">
        <v>6310</v>
      </c>
      <c r="H80" s="196">
        <f>6340-6310</f>
        <v>30</v>
      </c>
      <c r="I80" s="197">
        <v>100</v>
      </c>
      <c r="J80" s="268">
        <f t="shared" si="5"/>
        <v>3000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69000</v>
      </c>
      <c r="K83" s="185"/>
      <c r="V83" s="183">
        <f>SUM(V60:V82)</f>
        <v>17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44927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44928</v>
      </c>
      <c r="D91" s="216" t="s">
        <v>23</v>
      </c>
      <c r="E91" s="256" t="s">
        <v>28</v>
      </c>
      <c r="F91" s="256">
        <v>269.2</v>
      </c>
      <c r="G91" s="256">
        <v>270.2</v>
      </c>
      <c r="H91" s="256">
        <v>-1</v>
      </c>
      <c r="I91" s="218">
        <v>5000</v>
      </c>
      <c r="J91" s="273">
        <f>I91*H91</f>
        <v>-5000</v>
      </c>
      <c r="K91" s="185"/>
      <c r="V91" s="183">
        <f>IF($J91&gt;0,1,0)</f>
        <v>0</v>
      </c>
      <c r="W91" s="183">
        <f>IF($J91&lt;0,1,0)</f>
        <v>1</v>
      </c>
    </row>
    <row r="92" spans="1:23" x14ac:dyDescent="0.3">
      <c r="A92" s="184"/>
      <c r="B92" s="194">
        <v>2</v>
      </c>
      <c r="C92" s="195">
        <v>44929</v>
      </c>
      <c r="D92" s="196" t="s">
        <v>23</v>
      </c>
      <c r="E92" s="222" t="s">
        <v>28</v>
      </c>
      <c r="F92" s="222">
        <v>269.5</v>
      </c>
      <c r="G92" s="222">
        <v>268.5</v>
      </c>
      <c r="H92" s="222">
        <v>1</v>
      </c>
      <c r="I92" s="197">
        <v>5000</v>
      </c>
      <c r="J92" s="268">
        <f t="shared" ref="J92:J111" si="8">I92*H92</f>
        <v>5000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44930</v>
      </c>
      <c r="D93" s="196" t="s">
        <v>23</v>
      </c>
      <c r="E93" s="222" t="s">
        <v>28</v>
      </c>
      <c r="F93" s="222">
        <v>267</v>
      </c>
      <c r="G93" s="222">
        <v>265.55</v>
      </c>
      <c r="H93" s="222">
        <f>267-265.55</f>
        <v>1.4499999999999886</v>
      </c>
      <c r="I93" s="197">
        <v>5000</v>
      </c>
      <c r="J93" s="268">
        <f t="shared" si="8"/>
        <v>7249.9999999999436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44931</v>
      </c>
      <c r="D94" s="196" t="s">
        <v>23</v>
      </c>
      <c r="E94" s="222" t="s">
        <v>28</v>
      </c>
      <c r="F94" s="222">
        <v>271.60000000000002</v>
      </c>
      <c r="G94" s="222">
        <v>270.60000000000002</v>
      </c>
      <c r="H94" s="222">
        <v>1</v>
      </c>
      <c r="I94" s="197">
        <v>5000</v>
      </c>
      <c r="J94" s="268">
        <f t="shared" si="8"/>
        <v>5000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44932</v>
      </c>
      <c r="D95" s="196" t="s">
        <v>23</v>
      </c>
      <c r="E95" s="222" t="s">
        <v>28</v>
      </c>
      <c r="F95" s="222">
        <v>269.5</v>
      </c>
      <c r="G95" s="222">
        <v>267.5</v>
      </c>
      <c r="H95" s="222">
        <v>2</v>
      </c>
      <c r="I95" s="197">
        <v>5000</v>
      </c>
      <c r="J95" s="268">
        <f t="shared" si="8"/>
        <v>10000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44935</v>
      </c>
      <c r="D96" s="196" t="s">
        <v>23</v>
      </c>
      <c r="E96" s="222" t="s">
        <v>28</v>
      </c>
      <c r="F96" s="222">
        <v>278.5</v>
      </c>
      <c r="G96" s="222">
        <v>277.8</v>
      </c>
      <c r="H96" s="222">
        <f>278.5-277.8</f>
        <v>0.69999999999998863</v>
      </c>
      <c r="I96" s="197">
        <v>5000</v>
      </c>
      <c r="J96" s="268">
        <f t="shared" si="8"/>
        <v>3499.9999999999432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44936</v>
      </c>
      <c r="D97" s="196" t="s">
        <v>23</v>
      </c>
      <c r="E97" s="222" t="s">
        <v>28</v>
      </c>
      <c r="F97" s="222">
        <v>279.10000000000002</v>
      </c>
      <c r="G97" s="222">
        <v>280.10000000000002</v>
      </c>
      <c r="H97" s="274">
        <v>-1</v>
      </c>
      <c r="I97" s="197">
        <v>5000</v>
      </c>
      <c r="J97" s="268">
        <f t="shared" si="8"/>
        <v>-5000</v>
      </c>
      <c r="K97" s="185"/>
      <c r="V97" s="183">
        <f t="shared" si="9"/>
        <v>0</v>
      </c>
      <c r="W97" s="183">
        <f t="shared" si="10"/>
        <v>1</v>
      </c>
    </row>
    <row r="98" spans="1:23" x14ac:dyDescent="0.3">
      <c r="A98" s="184"/>
      <c r="B98" s="194">
        <v>8</v>
      </c>
      <c r="C98" s="195">
        <v>44937</v>
      </c>
      <c r="D98" s="196" t="s">
        <v>23</v>
      </c>
      <c r="E98" s="222" t="s">
        <v>28</v>
      </c>
      <c r="F98" s="222">
        <v>279.60000000000002</v>
      </c>
      <c r="G98" s="222">
        <v>278.60000000000002</v>
      </c>
      <c r="H98" s="222">
        <v>1</v>
      </c>
      <c r="I98" s="197">
        <v>5000</v>
      </c>
      <c r="J98" s="268">
        <f t="shared" si="8"/>
        <v>5000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44938</v>
      </c>
      <c r="D99" s="196" t="s">
        <v>23</v>
      </c>
      <c r="E99" s="222" t="s">
        <v>28</v>
      </c>
      <c r="F99" s="222">
        <v>279</v>
      </c>
      <c r="G99" s="222">
        <v>278.60000000000002</v>
      </c>
      <c r="H99" s="222">
        <f>279-278.6</f>
        <v>0.39999999999997726</v>
      </c>
      <c r="I99" s="197">
        <v>5000</v>
      </c>
      <c r="J99" s="268">
        <f t="shared" si="8"/>
        <v>1999.9999999998863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44939</v>
      </c>
      <c r="D100" s="196" t="s">
        <v>23</v>
      </c>
      <c r="E100" s="222" t="s">
        <v>28</v>
      </c>
      <c r="F100" s="222">
        <v>287</v>
      </c>
      <c r="G100" s="222">
        <v>289</v>
      </c>
      <c r="H100" s="222">
        <v>1</v>
      </c>
      <c r="I100" s="197">
        <v>5000</v>
      </c>
      <c r="J100" s="268">
        <f t="shared" si="8"/>
        <v>5000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44942</v>
      </c>
      <c r="D101" s="196" t="s">
        <v>23</v>
      </c>
      <c r="E101" s="222" t="s">
        <v>28</v>
      </c>
      <c r="F101" s="222">
        <v>289.5</v>
      </c>
      <c r="G101" s="222">
        <v>288.5</v>
      </c>
      <c r="H101" s="274">
        <v>1</v>
      </c>
      <c r="I101" s="197">
        <v>5000</v>
      </c>
      <c r="J101" s="268">
        <f t="shared" si="8"/>
        <v>5000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44943</v>
      </c>
      <c r="D102" s="196" t="s">
        <v>23</v>
      </c>
      <c r="E102" s="222" t="s">
        <v>28</v>
      </c>
      <c r="F102" s="222">
        <v>285.8</v>
      </c>
      <c r="G102" s="222">
        <v>285.2</v>
      </c>
      <c r="H102" s="274">
        <f>285.8-285.2</f>
        <v>0.60000000000002274</v>
      </c>
      <c r="I102" s="197">
        <v>5000</v>
      </c>
      <c r="J102" s="268">
        <f t="shared" si="8"/>
        <v>3000.0000000001137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44944</v>
      </c>
      <c r="D103" s="196" t="s">
        <v>23</v>
      </c>
      <c r="E103" s="222" t="s">
        <v>28</v>
      </c>
      <c r="F103" s="222">
        <v>291.5</v>
      </c>
      <c r="G103" s="222">
        <v>290</v>
      </c>
      <c r="H103" s="274">
        <f>291.5-290</f>
        <v>1.5</v>
      </c>
      <c r="I103" s="197">
        <v>5000</v>
      </c>
      <c r="J103" s="268">
        <f t="shared" si="8"/>
        <v>7500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44945</v>
      </c>
      <c r="D104" s="196" t="s">
        <v>23</v>
      </c>
      <c r="E104" s="222" t="s">
        <v>28</v>
      </c>
      <c r="F104" s="222">
        <v>289.7</v>
      </c>
      <c r="G104" s="222">
        <v>288.10000000000002</v>
      </c>
      <c r="H104" s="274">
        <v>1.6</v>
      </c>
      <c r="I104" s="197">
        <v>5000</v>
      </c>
      <c r="J104" s="268">
        <f t="shared" si="8"/>
        <v>8000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44946</v>
      </c>
      <c r="D105" s="196" t="s">
        <v>23</v>
      </c>
      <c r="E105" s="196" t="s">
        <v>28</v>
      </c>
      <c r="F105" s="222">
        <v>295.5</v>
      </c>
      <c r="G105" s="222">
        <v>295</v>
      </c>
      <c r="H105" s="222">
        <v>0.5</v>
      </c>
      <c r="I105" s="197">
        <v>5000</v>
      </c>
      <c r="J105" s="268">
        <f t="shared" si="8"/>
        <v>2500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44949</v>
      </c>
      <c r="D106" s="196" t="s">
        <v>23</v>
      </c>
      <c r="E106" s="196" t="s">
        <v>28</v>
      </c>
      <c r="F106" s="222">
        <v>298.2</v>
      </c>
      <c r="G106" s="274">
        <v>296.75</v>
      </c>
      <c r="H106" s="274">
        <v>1.45</v>
      </c>
      <c r="I106" s="197">
        <v>5000</v>
      </c>
      <c r="J106" s="268">
        <f t="shared" si="8"/>
        <v>7250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44950</v>
      </c>
      <c r="D107" s="196" t="s">
        <v>23</v>
      </c>
      <c r="E107" s="196" t="s">
        <v>28</v>
      </c>
      <c r="F107" s="222">
        <v>297.5</v>
      </c>
      <c r="G107" s="222">
        <v>296.89999999999998</v>
      </c>
      <c r="H107" s="274">
        <v>0.4</v>
      </c>
      <c r="I107" s="197">
        <v>5000</v>
      </c>
      <c r="J107" s="268">
        <f t="shared" si="8"/>
        <v>2000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44951</v>
      </c>
      <c r="D108" s="196" t="s">
        <v>23</v>
      </c>
      <c r="E108" s="196" t="s">
        <v>28</v>
      </c>
      <c r="F108" s="222">
        <v>298</v>
      </c>
      <c r="G108" s="222">
        <v>297.39999999999998</v>
      </c>
      <c r="H108" s="274">
        <v>0.6</v>
      </c>
      <c r="I108" s="197">
        <v>5000</v>
      </c>
      <c r="J108" s="268">
        <f t="shared" si="8"/>
        <v>3000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44953</v>
      </c>
      <c r="D109" s="196" t="s">
        <v>23</v>
      </c>
      <c r="E109" s="196" t="s">
        <v>28</v>
      </c>
      <c r="F109" s="222">
        <v>303</v>
      </c>
      <c r="G109" s="222">
        <v>302.55</v>
      </c>
      <c r="H109" s="274">
        <f>303-302.55</f>
        <v>0.44999999999998863</v>
      </c>
      <c r="I109" s="197">
        <v>5000</v>
      </c>
      <c r="J109" s="268">
        <f t="shared" si="8"/>
        <v>2249.9999999999432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>
        <v>44956</v>
      </c>
      <c r="D110" s="196" t="s">
        <v>23</v>
      </c>
      <c r="E110" s="222" t="s">
        <v>28</v>
      </c>
      <c r="F110" s="222">
        <v>298.39999999999998</v>
      </c>
      <c r="G110" s="222">
        <v>297</v>
      </c>
      <c r="H110" s="274">
        <f>298.4-297</f>
        <v>1.3999999999999773</v>
      </c>
      <c r="I110" s="197">
        <v>5000</v>
      </c>
      <c r="J110" s="268">
        <f t="shared" si="8"/>
        <v>6999.9999999998863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>
        <v>44957</v>
      </c>
      <c r="D111" s="196" t="s">
        <v>23</v>
      </c>
      <c r="E111" s="222" t="s">
        <v>28</v>
      </c>
      <c r="F111" s="222">
        <v>295.8</v>
      </c>
      <c r="G111" s="222">
        <v>294.8</v>
      </c>
      <c r="H111" s="274">
        <v>1</v>
      </c>
      <c r="I111" s="197">
        <v>5000</v>
      </c>
      <c r="J111" s="268">
        <f t="shared" si="8"/>
        <v>5000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85249.999999999709</v>
      </c>
      <c r="K114" s="185"/>
      <c r="V114" s="183">
        <f>SUM(V91:V113)</f>
        <v>19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07" t="s">
        <v>873</v>
      </c>
      <c r="C118" s="308"/>
      <c r="D118" s="308"/>
      <c r="E118" s="308"/>
      <c r="F118" s="308"/>
      <c r="G118" s="308"/>
      <c r="H118" s="308"/>
      <c r="I118" s="308"/>
      <c r="J118" s="309"/>
      <c r="K118" s="185"/>
    </row>
    <row r="119" spans="1:23" ht="16.2" thickBot="1" x14ac:dyDescent="0.35">
      <c r="A119" s="184"/>
      <c r="B119" s="310">
        <v>44927</v>
      </c>
      <c r="C119" s="311"/>
      <c r="D119" s="311"/>
      <c r="E119" s="311"/>
      <c r="F119" s="311"/>
      <c r="G119" s="311"/>
      <c r="H119" s="311"/>
      <c r="I119" s="311"/>
      <c r="J119" s="312"/>
      <c r="K119" s="185"/>
    </row>
    <row r="120" spans="1:23" ht="16.2" thickBot="1" x14ac:dyDescent="0.35">
      <c r="A120" s="184"/>
      <c r="B120" s="313" t="s">
        <v>905</v>
      </c>
      <c r="C120" s="314"/>
      <c r="D120" s="314"/>
      <c r="E120" s="314"/>
      <c r="F120" s="314"/>
      <c r="G120" s="314"/>
      <c r="H120" s="314"/>
      <c r="I120" s="314"/>
      <c r="J120" s="315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44935</v>
      </c>
      <c r="D122" s="216" t="s">
        <v>16</v>
      </c>
      <c r="E122" s="256" t="s">
        <v>907</v>
      </c>
      <c r="F122" s="256">
        <v>200</v>
      </c>
      <c r="G122" s="256">
        <v>170</v>
      </c>
      <c r="H122" s="256">
        <v>-30</v>
      </c>
      <c r="I122" s="218">
        <v>100</v>
      </c>
      <c r="J122" s="273">
        <f>I122*H122</f>
        <v>-3000</v>
      </c>
      <c r="K122" s="185"/>
      <c r="V122" s="183">
        <f>IF($J122&gt;0,1,0)</f>
        <v>0</v>
      </c>
      <c r="W122" s="183">
        <f>IF($J122&lt;0,1,0)</f>
        <v>1</v>
      </c>
    </row>
    <row r="123" spans="1:23" x14ac:dyDescent="0.3">
      <c r="A123" s="184"/>
      <c r="B123" s="194">
        <v>2</v>
      </c>
      <c r="C123" s="195">
        <v>44936</v>
      </c>
      <c r="D123" s="196" t="s">
        <v>16</v>
      </c>
      <c r="E123" s="222" t="s">
        <v>908</v>
      </c>
      <c r="F123" s="222">
        <v>200</v>
      </c>
      <c r="G123" s="222">
        <v>175</v>
      </c>
      <c r="H123" s="222">
        <v>-25</v>
      </c>
      <c r="I123" s="218">
        <v>100</v>
      </c>
      <c r="J123" s="268">
        <f t="shared" ref="J123:J142" si="11">I123*H123</f>
        <v>-2500</v>
      </c>
      <c r="K123" s="185"/>
      <c r="V123" s="183">
        <f t="shared" ref="V123:V144" si="12">IF($J123&gt;0,1,0)</f>
        <v>0</v>
      </c>
      <c r="W123" s="183">
        <f t="shared" ref="W123:W144" si="13">IF($J123&lt;0,1,0)</f>
        <v>1</v>
      </c>
    </row>
    <row r="124" spans="1:23" x14ac:dyDescent="0.3">
      <c r="A124" s="184"/>
      <c r="B124" s="194">
        <v>3</v>
      </c>
      <c r="C124" s="195">
        <v>44937</v>
      </c>
      <c r="D124" s="196" t="s">
        <v>16</v>
      </c>
      <c r="E124" s="222" t="s">
        <v>909</v>
      </c>
      <c r="F124" s="222">
        <v>170</v>
      </c>
      <c r="G124" s="222">
        <v>220</v>
      </c>
      <c r="H124" s="222">
        <f>220-170</f>
        <v>50</v>
      </c>
      <c r="I124" s="218">
        <v>100</v>
      </c>
      <c r="J124" s="268">
        <f t="shared" si="11"/>
        <v>5000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44938</v>
      </c>
      <c r="D125" s="196" t="s">
        <v>16</v>
      </c>
      <c r="E125" s="222" t="s">
        <v>910</v>
      </c>
      <c r="F125" s="222">
        <v>175</v>
      </c>
      <c r="G125" s="222">
        <v>185</v>
      </c>
      <c r="H125" s="222">
        <v>10</v>
      </c>
      <c r="I125" s="218">
        <v>100</v>
      </c>
      <c r="J125" s="268">
        <f t="shared" si="11"/>
        <v>1000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44939</v>
      </c>
      <c r="D126" s="196" t="s">
        <v>16</v>
      </c>
      <c r="E126" s="222" t="s">
        <v>911</v>
      </c>
      <c r="F126" s="222">
        <v>145</v>
      </c>
      <c r="G126" s="222">
        <v>168</v>
      </c>
      <c r="H126" s="222">
        <f>168-145</f>
        <v>23</v>
      </c>
      <c r="I126" s="218">
        <v>100</v>
      </c>
      <c r="J126" s="268">
        <f t="shared" si="11"/>
        <v>2300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44942</v>
      </c>
      <c r="D127" s="196" t="s">
        <v>16</v>
      </c>
      <c r="E127" s="222" t="s">
        <v>912</v>
      </c>
      <c r="F127" s="222">
        <v>140</v>
      </c>
      <c r="G127" s="222">
        <v>190</v>
      </c>
      <c r="H127" s="222">
        <v>50</v>
      </c>
      <c r="I127" s="218">
        <v>100</v>
      </c>
      <c r="J127" s="268">
        <f t="shared" si="11"/>
        <v>5000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44943</v>
      </c>
      <c r="D128" s="196" t="s">
        <v>16</v>
      </c>
      <c r="E128" s="222" t="s">
        <v>913</v>
      </c>
      <c r="F128" s="222">
        <v>310</v>
      </c>
      <c r="G128" s="222">
        <v>280</v>
      </c>
      <c r="H128" s="274">
        <f>310-280</f>
        <v>30</v>
      </c>
      <c r="I128" s="218">
        <v>100</v>
      </c>
      <c r="J128" s="268">
        <f t="shared" si="11"/>
        <v>3000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44944</v>
      </c>
      <c r="D129" s="196" t="s">
        <v>16</v>
      </c>
      <c r="E129" s="222" t="s">
        <v>913</v>
      </c>
      <c r="F129" s="222">
        <v>245</v>
      </c>
      <c r="G129" s="222">
        <v>268</v>
      </c>
      <c r="H129" s="222">
        <f>268-245</f>
        <v>23</v>
      </c>
      <c r="I129" s="218">
        <v>100</v>
      </c>
      <c r="J129" s="268">
        <f t="shared" si="11"/>
        <v>2300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44945</v>
      </c>
      <c r="D130" s="196" t="s">
        <v>16</v>
      </c>
      <c r="E130" s="222" t="s">
        <v>910</v>
      </c>
      <c r="F130" s="222">
        <v>290</v>
      </c>
      <c r="G130" s="222">
        <v>265</v>
      </c>
      <c r="H130" s="222">
        <v>-25</v>
      </c>
      <c r="I130" s="218">
        <v>100</v>
      </c>
      <c r="J130" s="268">
        <f t="shared" si="11"/>
        <v>-2500</v>
      </c>
      <c r="K130" s="185"/>
      <c r="V130" s="183">
        <f t="shared" si="12"/>
        <v>0</v>
      </c>
      <c r="W130" s="183">
        <f t="shared" si="13"/>
        <v>1</v>
      </c>
    </row>
    <row r="131" spans="1:23" x14ac:dyDescent="0.3">
      <c r="A131" s="184"/>
      <c r="B131" s="194">
        <v>10</v>
      </c>
      <c r="C131" s="195">
        <v>44946</v>
      </c>
      <c r="D131" s="196" t="s">
        <v>16</v>
      </c>
      <c r="E131" s="222" t="s">
        <v>913</v>
      </c>
      <c r="F131" s="222">
        <v>300</v>
      </c>
      <c r="G131" s="222">
        <v>325</v>
      </c>
      <c r="H131" s="222">
        <v>25</v>
      </c>
      <c r="I131" s="218">
        <v>100</v>
      </c>
      <c r="J131" s="268">
        <f t="shared" si="11"/>
        <v>2500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44949</v>
      </c>
      <c r="D132" s="196" t="s">
        <v>16</v>
      </c>
      <c r="E132" s="222" t="s">
        <v>912</v>
      </c>
      <c r="F132" s="222">
        <v>232</v>
      </c>
      <c r="G132" s="222">
        <v>240</v>
      </c>
      <c r="H132" s="274">
        <v>8</v>
      </c>
      <c r="I132" s="218">
        <v>100</v>
      </c>
      <c r="J132" s="268">
        <f t="shared" si="11"/>
        <v>800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44950</v>
      </c>
      <c r="D133" s="196" t="s">
        <v>16</v>
      </c>
      <c r="E133" s="222" t="s">
        <v>912</v>
      </c>
      <c r="F133" s="222">
        <v>230</v>
      </c>
      <c r="G133" s="222">
        <v>280</v>
      </c>
      <c r="H133" s="274">
        <v>50</v>
      </c>
      <c r="I133" s="218">
        <v>100</v>
      </c>
      <c r="J133" s="268">
        <f t="shared" si="11"/>
        <v>5000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44951</v>
      </c>
      <c r="D134" s="196" t="s">
        <v>16</v>
      </c>
      <c r="E134" s="222" t="s">
        <v>912</v>
      </c>
      <c r="F134" s="222">
        <v>280</v>
      </c>
      <c r="G134" s="222">
        <v>295</v>
      </c>
      <c r="H134" s="274">
        <v>15</v>
      </c>
      <c r="I134" s="218">
        <v>100</v>
      </c>
      <c r="J134" s="268">
        <f t="shared" si="11"/>
        <v>1500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44953</v>
      </c>
      <c r="D135" s="196" t="s">
        <v>16</v>
      </c>
      <c r="E135" s="222" t="s">
        <v>914</v>
      </c>
      <c r="F135" s="222">
        <v>250</v>
      </c>
      <c r="G135" s="222">
        <v>300</v>
      </c>
      <c r="H135" s="274">
        <v>50</v>
      </c>
      <c r="I135" s="218">
        <v>100</v>
      </c>
      <c r="J135" s="268">
        <f t="shared" si="11"/>
        <v>5000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44956</v>
      </c>
      <c r="D136" s="196" t="s">
        <v>16</v>
      </c>
      <c r="E136" s="196" t="s">
        <v>913</v>
      </c>
      <c r="F136" s="222">
        <v>250</v>
      </c>
      <c r="G136" s="222">
        <v>300</v>
      </c>
      <c r="H136" s="222">
        <v>50</v>
      </c>
      <c r="I136" s="218">
        <v>100</v>
      </c>
      <c r="J136" s="268">
        <f t="shared" si="11"/>
        <v>5000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44957</v>
      </c>
      <c r="D137" s="196" t="s">
        <v>16</v>
      </c>
      <c r="E137" s="196" t="s">
        <v>907</v>
      </c>
      <c r="F137" s="222">
        <v>225</v>
      </c>
      <c r="G137" s="274">
        <v>240</v>
      </c>
      <c r="H137" s="274">
        <f>240-225</f>
        <v>15</v>
      </c>
      <c r="I137" s="218">
        <v>100</v>
      </c>
      <c r="J137" s="268">
        <f t="shared" si="11"/>
        <v>1500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/>
      <c r="D138" s="196"/>
      <c r="E138" s="196"/>
      <c r="F138" s="222"/>
      <c r="G138" s="222"/>
      <c r="H138" s="274"/>
      <c r="I138" s="218"/>
      <c r="J138" s="268">
        <f t="shared" si="11"/>
        <v>0</v>
      </c>
      <c r="K138" s="185"/>
      <c r="V138" s="183">
        <f t="shared" si="12"/>
        <v>0</v>
      </c>
      <c r="W138" s="183">
        <f t="shared" si="13"/>
        <v>0</v>
      </c>
    </row>
    <row r="139" spans="1:23" x14ac:dyDescent="0.3">
      <c r="A139" s="184"/>
      <c r="B139" s="194">
        <v>18</v>
      </c>
      <c r="C139" s="195"/>
      <c r="D139" s="196"/>
      <c r="E139" s="196"/>
      <c r="F139" s="222"/>
      <c r="G139" s="222"/>
      <c r="H139" s="274"/>
      <c r="I139" s="218"/>
      <c r="J139" s="268">
        <f t="shared" si="11"/>
        <v>0</v>
      </c>
      <c r="K139" s="185"/>
      <c r="V139" s="183">
        <f t="shared" si="12"/>
        <v>0</v>
      </c>
      <c r="W139" s="183">
        <f t="shared" si="13"/>
        <v>0</v>
      </c>
    </row>
    <row r="140" spans="1:23" x14ac:dyDescent="0.3">
      <c r="A140" s="184"/>
      <c r="B140" s="194">
        <v>19</v>
      </c>
      <c r="C140" s="195"/>
      <c r="D140" s="196"/>
      <c r="E140" s="196"/>
      <c r="F140" s="222"/>
      <c r="G140" s="222"/>
      <c r="H140" s="274"/>
      <c r="I140" s="218"/>
      <c r="J140" s="268">
        <f t="shared" si="11"/>
        <v>0</v>
      </c>
      <c r="K140" s="185"/>
      <c r="V140" s="183">
        <f t="shared" si="12"/>
        <v>0</v>
      </c>
      <c r="W140" s="183">
        <f t="shared" si="13"/>
        <v>0</v>
      </c>
    </row>
    <row r="141" spans="1:23" x14ac:dyDescent="0.3">
      <c r="A141" s="184"/>
      <c r="B141" s="194">
        <v>20</v>
      </c>
      <c r="C141" s="195"/>
      <c r="D141" s="196"/>
      <c r="E141" s="222"/>
      <c r="F141" s="222"/>
      <c r="G141" s="222"/>
      <c r="H141" s="274"/>
      <c r="I141" s="218"/>
      <c r="J141" s="268">
        <f t="shared" si="11"/>
        <v>0</v>
      </c>
      <c r="K141" s="185"/>
      <c r="V141" s="183">
        <f t="shared" si="12"/>
        <v>0</v>
      </c>
      <c r="W141" s="183">
        <f t="shared" si="13"/>
        <v>0</v>
      </c>
    </row>
    <row r="142" spans="1:23" x14ac:dyDescent="0.3">
      <c r="A142" s="184"/>
      <c r="B142" s="194">
        <v>21</v>
      </c>
      <c r="C142" s="195"/>
      <c r="D142" s="196"/>
      <c r="E142" s="222"/>
      <c r="F142" s="222"/>
      <c r="G142" s="222"/>
      <c r="H142" s="274"/>
      <c r="I142" s="218"/>
      <c r="J142" s="268">
        <f t="shared" si="11"/>
        <v>0</v>
      </c>
      <c r="K142" s="185"/>
      <c r="V142" s="183">
        <f t="shared" si="12"/>
        <v>0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04" t="s">
        <v>879</v>
      </c>
      <c r="C145" s="305"/>
      <c r="D145" s="305"/>
      <c r="E145" s="305"/>
      <c r="F145" s="305"/>
      <c r="G145" s="305"/>
      <c r="H145" s="306"/>
      <c r="I145" s="203" t="s">
        <v>880</v>
      </c>
      <c r="J145" s="204">
        <f>SUM(J122:J144)</f>
        <v>31900</v>
      </c>
      <c r="K145" s="185"/>
      <c r="V145" s="183">
        <f>SUM(V122:V144)</f>
        <v>13</v>
      </c>
      <c r="W145" s="183">
        <f>SUM(W122:W144)</f>
        <v>3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N10:N11"/>
    <mergeCell ref="O10:O11"/>
    <mergeCell ref="P10:P11"/>
    <mergeCell ref="Q10:Q11"/>
    <mergeCell ref="R10:R11"/>
    <mergeCell ref="B118:J118"/>
    <mergeCell ref="B119:J119"/>
    <mergeCell ref="B120:J120"/>
    <mergeCell ref="B145:H145"/>
    <mergeCell ref="M10:M11"/>
    <mergeCell ref="B58:J58"/>
    <mergeCell ref="M12:M13"/>
    <mergeCell ref="B52:H52"/>
    <mergeCell ref="B56:J56"/>
    <mergeCell ref="B57:J57"/>
    <mergeCell ref="B83:H83"/>
    <mergeCell ref="B87:J87"/>
    <mergeCell ref="B88:J88"/>
    <mergeCell ref="B89:J89"/>
    <mergeCell ref="B114:H114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2:N13"/>
    <mergeCell ref="O12:O13"/>
    <mergeCell ref="P12:P13"/>
    <mergeCell ref="M14:O16"/>
    <mergeCell ref="P14:R16"/>
    <mergeCell ref="Q12:Q13"/>
    <mergeCell ref="R12:R13"/>
  </mergeCells>
  <hyperlinks>
    <hyperlink ref="B52" r:id="rId1" xr:uid="{00000000-0004-0000-7900-000000000000}"/>
    <hyperlink ref="B83" r:id="rId2" xr:uid="{00000000-0004-0000-7900-000001000000}"/>
    <hyperlink ref="M4:M5" location="'JAN 2023'!A1" display="BULLION" xr:uid="{00000000-0004-0000-7900-000002000000}"/>
    <hyperlink ref="B114" r:id="rId3" xr:uid="{00000000-0004-0000-7900-000003000000}"/>
    <hyperlink ref="M8:M9" location="'JAN 2023'!A86" display="BASE METAL" xr:uid="{00000000-0004-0000-7900-000004000000}"/>
    <hyperlink ref="M1" location="MASTER!A1" display="Back" xr:uid="{00000000-0004-0000-7900-000005000000}"/>
    <hyperlink ref="M6:M7" location="'JAN 2023'!A55" display="ENERGY" xr:uid="{00000000-0004-0000-7900-000006000000}"/>
    <hyperlink ref="B145" r:id="rId4" xr:uid="{00000000-0004-0000-7900-000007000000}"/>
    <hyperlink ref="M10:M11" location="'JAN 2023'!A117" display="CRUDEOIL OPTION" xr:uid="{00000000-0004-0000-7900-000008000000}"/>
  </hyperlinks>
  <pageMargins left="0" right="0" top="0" bottom="0" header="0" footer="0"/>
  <pageSetup paperSize="9" orientation="portrait" r:id="rId5"/>
  <drawing r:id="rId6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W146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44958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40</v>
      </c>
      <c r="O4" s="369">
        <f>V52</f>
        <v>36</v>
      </c>
      <c r="P4" s="369">
        <f>W52</f>
        <v>4</v>
      </c>
      <c r="Q4" s="349">
        <f>N4-O4-P4</f>
        <v>0</v>
      </c>
      <c r="R4" s="343">
        <f>O4/N4</f>
        <v>0.9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44958</v>
      </c>
      <c r="D6" s="192" t="s">
        <v>23</v>
      </c>
      <c r="E6" s="192" t="s">
        <v>24</v>
      </c>
      <c r="F6" s="193">
        <v>57850</v>
      </c>
      <c r="G6" s="193">
        <v>57710</v>
      </c>
      <c r="H6" s="192">
        <f>57850-57710</f>
        <v>140</v>
      </c>
      <c r="I6" s="193">
        <v>100</v>
      </c>
      <c r="J6" s="267">
        <f>H6*I6</f>
        <v>14000</v>
      </c>
      <c r="K6" s="185"/>
      <c r="M6" s="364" t="s">
        <v>258</v>
      </c>
      <c r="N6" s="347">
        <f>COUNT(C60:C82)</f>
        <v>20</v>
      </c>
      <c r="O6" s="348">
        <f>V83</f>
        <v>18</v>
      </c>
      <c r="P6" s="348">
        <f>W83</f>
        <v>2</v>
      </c>
      <c r="Q6" s="349">
        <f>N6-O6-P6</f>
        <v>0</v>
      </c>
      <c r="R6" s="345">
        <f t="shared" ref="R6" si="0">O6/N6</f>
        <v>0.9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44958</v>
      </c>
      <c r="D7" s="196" t="s">
        <v>23</v>
      </c>
      <c r="E7" s="196" t="s">
        <v>22</v>
      </c>
      <c r="F7" s="197">
        <v>69850</v>
      </c>
      <c r="G7" s="197">
        <v>69750</v>
      </c>
      <c r="H7" s="196">
        <v>100</v>
      </c>
      <c r="I7" s="197">
        <v>30</v>
      </c>
      <c r="J7" s="268">
        <f t="shared" ref="J7:J51" si="1">H7*I7</f>
        <v>3000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44959</v>
      </c>
      <c r="D8" s="196" t="s">
        <v>23</v>
      </c>
      <c r="E8" s="196" t="s">
        <v>24</v>
      </c>
      <c r="F8" s="197">
        <v>58800</v>
      </c>
      <c r="G8" s="197">
        <v>58600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COUNT(C91:C113)</f>
        <v>20</v>
      </c>
      <c r="O8" s="348">
        <f>V114</f>
        <v>16</v>
      </c>
      <c r="P8" s="348">
        <f>W114</f>
        <v>4</v>
      </c>
      <c r="Q8" s="349">
        <f>N8-O8-P8</f>
        <v>0</v>
      </c>
      <c r="R8" s="345">
        <f t="shared" ref="R8" si="4">O8/N8</f>
        <v>0.8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44959</v>
      </c>
      <c r="D9" s="196" t="s">
        <v>23</v>
      </c>
      <c r="E9" s="196" t="s">
        <v>22</v>
      </c>
      <c r="F9" s="197">
        <v>71800</v>
      </c>
      <c r="G9" s="197">
        <v>71500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44960</v>
      </c>
      <c r="D10" s="196" t="s">
        <v>23</v>
      </c>
      <c r="E10" s="196" t="s">
        <v>24</v>
      </c>
      <c r="F10" s="197">
        <v>57850</v>
      </c>
      <c r="G10" s="197">
        <v>57700</v>
      </c>
      <c r="H10" s="196">
        <f>57850-57700</f>
        <v>150</v>
      </c>
      <c r="I10" s="197">
        <v>100</v>
      </c>
      <c r="J10" s="268">
        <f t="shared" si="1"/>
        <v>15000</v>
      </c>
      <c r="K10" s="185"/>
      <c r="M10" s="364" t="s">
        <v>906</v>
      </c>
      <c r="N10" s="347">
        <f>COUNT(C122:C144)</f>
        <v>20</v>
      </c>
      <c r="O10" s="348">
        <f>V145</f>
        <v>16</v>
      </c>
      <c r="P10" s="348">
        <f>W145</f>
        <v>4</v>
      </c>
      <c r="Q10" s="349">
        <f>N10-O10-P10</f>
        <v>0</v>
      </c>
      <c r="R10" s="345">
        <f>O10/N10</f>
        <v>0.8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44960</v>
      </c>
      <c r="D11" s="196" t="s">
        <v>23</v>
      </c>
      <c r="E11" s="196" t="s">
        <v>22</v>
      </c>
      <c r="F11" s="197">
        <v>69950</v>
      </c>
      <c r="G11" s="197">
        <v>69755</v>
      </c>
      <c r="H11" s="196">
        <f>69950-69755</f>
        <v>195</v>
      </c>
      <c r="I11" s="197">
        <v>30</v>
      </c>
      <c r="J11" s="268">
        <f t="shared" si="1"/>
        <v>5850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44963</v>
      </c>
      <c r="D12" s="196" t="s">
        <v>23</v>
      </c>
      <c r="E12" s="196" t="s">
        <v>24</v>
      </c>
      <c r="F12" s="197">
        <v>57020</v>
      </c>
      <c r="G12" s="197">
        <v>56925</v>
      </c>
      <c r="H12" s="196">
        <f>57020-56925</f>
        <v>95</v>
      </c>
      <c r="I12" s="197">
        <v>100</v>
      </c>
      <c r="J12" s="268">
        <f t="shared" si="1"/>
        <v>9500</v>
      </c>
      <c r="K12" s="185"/>
      <c r="M12" s="319" t="s">
        <v>300</v>
      </c>
      <c r="N12" s="371">
        <f>SUM(N4:N11)</f>
        <v>100</v>
      </c>
      <c r="O12" s="371">
        <f>SUM(O4:O11)</f>
        <v>86</v>
      </c>
      <c r="P12" s="371">
        <f>SUM(P4:P11)</f>
        <v>14</v>
      </c>
      <c r="Q12" s="371">
        <f>SUM(Q4:Q11)</f>
        <v>0</v>
      </c>
      <c r="R12" s="343">
        <f>O12/N12</f>
        <v>0.86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44963</v>
      </c>
      <c r="D13" s="196" t="s">
        <v>23</v>
      </c>
      <c r="E13" s="196" t="s">
        <v>22</v>
      </c>
      <c r="F13" s="197">
        <v>67800</v>
      </c>
      <c r="G13" s="197">
        <v>67500</v>
      </c>
      <c r="H13" s="196">
        <v>300</v>
      </c>
      <c r="I13" s="197">
        <v>30</v>
      </c>
      <c r="J13" s="268">
        <f t="shared" si="1"/>
        <v>9000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44964</v>
      </c>
      <c r="D14" s="196" t="s">
        <v>23</v>
      </c>
      <c r="E14" s="196" t="s">
        <v>24</v>
      </c>
      <c r="F14" s="197">
        <v>57150</v>
      </c>
      <c r="G14" s="197">
        <v>56990</v>
      </c>
      <c r="H14" s="196">
        <f>57150-56990</f>
        <v>160</v>
      </c>
      <c r="I14" s="197">
        <v>100</v>
      </c>
      <c r="J14" s="268">
        <f t="shared" si="1"/>
        <v>16000</v>
      </c>
      <c r="K14" s="185"/>
      <c r="M14" s="323" t="s">
        <v>878</v>
      </c>
      <c r="N14" s="324"/>
      <c r="O14" s="325"/>
      <c r="P14" s="332">
        <f>R12</f>
        <v>0.86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44964</v>
      </c>
      <c r="D15" s="196" t="s">
        <v>23</v>
      </c>
      <c r="E15" s="196" t="s">
        <v>22</v>
      </c>
      <c r="F15" s="197">
        <v>67700</v>
      </c>
      <c r="G15" s="197">
        <v>67300</v>
      </c>
      <c r="H15" s="196">
        <v>400</v>
      </c>
      <c r="I15" s="197">
        <v>30</v>
      </c>
      <c r="J15" s="268">
        <f t="shared" si="1"/>
        <v>12000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44965</v>
      </c>
      <c r="D16" s="196" t="s">
        <v>23</v>
      </c>
      <c r="E16" s="196" t="s">
        <v>24</v>
      </c>
      <c r="F16" s="197">
        <v>57350</v>
      </c>
      <c r="G16" s="197">
        <v>57200</v>
      </c>
      <c r="H16" s="196">
        <v>150</v>
      </c>
      <c r="I16" s="197">
        <v>100</v>
      </c>
      <c r="J16" s="268">
        <f t="shared" si="1"/>
        <v>15000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44965</v>
      </c>
      <c r="D17" s="196" t="s">
        <v>23</v>
      </c>
      <c r="E17" s="196" t="s">
        <v>22</v>
      </c>
      <c r="F17" s="197">
        <v>67750</v>
      </c>
      <c r="G17" s="197">
        <v>67450</v>
      </c>
      <c r="H17" s="196"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44966</v>
      </c>
      <c r="D18" s="196" t="s">
        <v>23</v>
      </c>
      <c r="E18" s="196" t="s">
        <v>24</v>
      </c>
      <c r="F18" s="197">
        <v>57320</v>
      </c>
      <c r="G18" s="197">
        <v>57120</v>
      </c>
      <c r="H18" s="196">
        <v>200</v>
      </c>
      <c r="I18" s="197">
        <v>100</v>
      </c>
      <c r="J18" s="268">
        <f t="shared" si="1"/>
        <v>20000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44966</v>
      </c>
      <c r="D19" s="196" t="s">
        <v>23</v>
      </c>
      <c r="E19" s="196" t="s">
        <v>22</v>
      </c>
      <c r="F19" s="197">
        <v>67850</v>
      </c>
      <c r="G19" s="197">
        <v>67250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44967</v>
      </c>
      <c r="D20" s="196" t="s">
        <v>23</v>
      </c>
      <c r="E20" s="196" t="s">
        <v>24</v>
      </c>
      <c r="F20" s="197">
        <v>56750</v>
      </c>
      <c r="G20" s="197">
        <v>56680</v>
      </c>
      <c r="H20" s="196">
        <f>56750-56680</f>
        <v>70</v>
      </c>
      <c r="I20" s="197">
        <v>100</v>
      </c>
      <c r="J20" s="268">
        <f t="shared" si="1"/>
        <v>7000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44967</v>
      </c>
      <c r="D21" s="196" t="s">
        <v>23</v>
      </c>
      <c r="E21" s="196" t="s">
        <v>22</v>
      </c>
      <c r="F21" s="197">
        <v>66900</v>
      </c>
      <c r="G21" s="197">
        <v>66780</v>
      </c>
      <c r="H21" s="196">
        <f>66900-66780</f>
        <v>120</v>
      </c>
      <c r="I21" s="197">
        <v>30</v>
      </c>
      <c r="J21" s="268">
        <f t="shared" si="1"/>
        <v>3600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44970</v>
      </c>
      <c r="D22" s="196" t="s">
        <v>23</v>
      </c>
      <c r="E22" s="196" t="s">
        <v>24</v>
      </c>
      <c r="F22" s="197">
        <v>56770</v>
      </c>
      <c r="G22" s="197">
        <v>56570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44970</v>
      </c>
      <c r="D23" s="196" t="s">
        <v>23</v>
      </c>
      <c r="E23" s="196" t="s">
        <v>22</v>
      </c>
      <c r="F23" s="197">
        <v>66400</v>
      </c>
      <c r="G23" s="197">
        <v>66200</v>
      </c>
      <c r="H23" s="196">
        <v>200</v>
      </c>
      <c r="I23" s="197">
        <v>30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44971</v>
      </c>
      <c r="D24" s="196" t="s">
        <v>23</v>
      </c>
      <c r="E24" s="196" t="s">
        <v>24</v>
      </c>
      <c r="F24" s="197">
        <v>56800</v>
      </c>
      <c r="G24" s="197">
        <v>56700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44971</v>
      </c>
      <c r="D25" s="196" t="s">
        <v>23</v>
      </c>
      <c r="E25" s="196" t="s">
        <v>22</v>
      </c>
      <c r="F25" s="197">
        <v>66200</v>
      </c>
      <c r="G25" s="197">
        <v>65900</v>
      </c>
      <c r="H25" s="196">
        <f>66200-65900</f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44972</v>
      </c>
      <c r="D26" s="196" t="s">
        <v>23</v>
      </c>
      <c r="E26" s="196" t="s">
        <v>24</v>
      </c>
      <c r="F26" s="197">
        <v>56140</v>
      </c>
      <c r="G26" s="197">
        <v>56100</v>
      </c>
      <c r="H26" s="196">
        <v>40</v>
      </c>
      <c r="I26" s="197">
        <v>100</v>
      </c>
      <c r="J26" s="268">
        <f t="shared" si="1"/>
        <v>4000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44972</v>
      </c>
      <c r="D27" s="196" t="s">
        <v>23</v>
      </c>
      <c r="E27" s="196" t="s">
        <v>22</v>
      </c>
      <c r="F27" s="197">
        <v>65400</v>
      </c>
      <c r="G27" s="197">
        <v>65200</v>
      </c>
      <c r="H27" s="196"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44973</v>
      </c>
      <c r="D28" s="196" t="s">
        <v>23</v>
      </c>
      <c r="E28" s="196" t="s">
        <v>24</v>
      </c>
      <c r="F28" s="197">
        <v>56100</v>
      </c>
      <c r="G28" s="197">
        <v>55910</v>
      </c>
      <c r="H28" s="196">
        <f>56100-55910</f>
        <v>190</v>
      </c>
      <c r="I28" s="197">
        <v>100</v>
      </c>
      <c r="J28" s="268">
        <f t="shared" si="1"/>
        <v>19000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44973</v>
      </c>
      <c r="D29" s="196" t="s">
        <v>23</v>
      </c>
      <c r="E29" s="196" t="s">
        <v>22</v>
      </c>
      <c r="F29" s="197">
        <v>65450</v>
      </c>
      <c r="G29" s="197">
        <v>65007</v>
      </c>
      <c r="H29" s="196">
        <v>443</v>
      </c>
      <c r="I29" s="197">
        <v>30</v>
      </c>
      <c r="J29" s="268">
        <f t="shared" si="1"/>
        <v>13290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44974</v>
      </c>
      <c r="D30" s="196" t="s">
        <v>23</v>
      </c>
      <c r="E30" s="196" t="s">
        <v>24</v>
      </c>
      <c r="F30" s="197">
        <v>55730</v>
      </c>
      <c r="G30" s="197">
        <v>55830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44974</v>
      </c>
      <c r="D31" s="196" t="s">
        <v>23</v>
      </c>
      <c r="E31" s="196" t="s">
        <v>22</v>
      </c>
      <c r="F31" s="197">
        <v>64500</v>
      </c>
      <c r="G31" s="197">
        <v>64800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44977</v>
      </c>
      <c r="D32" s="196" t="s">
        <v>23</v>
      </c>
      <c r="E32" s="196" t="s">
        <v>24</v>
      </c>
      <c r="F32" s="197">
        <v>56300</v>
      </c>
      <c r="G32" s="197">
        <v>56260</v>
      </c>
      <c r="H32" s="196">
        <f>56300-56260</f>
        <v>40</v>
      </c>
      <c r="I32" s="197">
        <v>100</v>
      </c>
      <c r="J32" s="268">
        <f t="shared" si="1"/>
        <v>4000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44977</v>
      </c>
      <c r="D33" s="196" t="s">
        <v>23</v>
      </c>
      <c r="E33" s="196" t="s">
        <v>22</v>
      </c>
      <c r="F33" s="197">
        <v>65900</v>
      </c>
      <c r="G33" s="197">
        <v>65600</v>
      </c>
      <c r="H33" s="196">
        <v>300</v>
      </c>
      <c r="I33" s="197">
        <v>30</v>
      </c>
      <c r="J33" s="268">
        <f t="shared" si="1"/>
        <v>9000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44978</v>
      </c>
      <c r="D34" s="196" t="s">
        <v>23</v>
      </c>
      <c r="E34" s="196" t="s">
        <v>24</v>
      </c>
      <c r="F34" s="197">
        <v>56140</v>
      </c>
      <c r="G34" s="197">
        <v>56040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44978</v>
      </c>
      <c r="D35" s="196" t="s">
        <v>23</v>
      </c>
      <c r="E35" s="196" t="s">
        <v>22</v>
      </c>
      <c r="F35" s="197">
        <v>65500</v>
      </c>
      <c r="G35" s="197">
        <v>65800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>
        <v>44979</v>
      </c>
      <c r="D36" s="196" t="s">
        <v>23</v>
      </c>
      <c r="E36" s="196" t="s">
        <v>24</v>
      </c>
      <c r="F36" s="197">
        <v>56150</v>
      </c>
      <c r="G36" s="197">
        <v>56100</v>
      </c>
      <c r="H36" s="196">
        <v>50</v>
      </c>
      <c r="I36" s="197">
        <v>100</v>
      </c>
      <c r="J36" s="268">
        <f t="shared" si="1"/>
        <v>5000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44979</v>
      </c>
      <c r="D37" s="196" t="s">
        <v>23</v>
      </c>
      <c r="E37" s="196" t="s">
        <v>22</v>
      </c>
      <c r="F37" s="197">
        <v>65750</v>
      </c>
      <c r="G37" s="197">
        <v>66050</v>
      </c>
      <c r="H37" s="196">
        <f>65750-66050</f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44980</v>
      </c>
      <c r="D38" s="196" t="s">
        <v>23</v>
      </c>
      <c r="E38" s="196" t="s">
        <v>24</v>
      </c>
      <c r="F38" s="197">
        <v>55900</v>
      </c>
      <c r="G38" s="197">
        <v>55700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44980</v>
      </c>
      <c r="D39" s="196" t="s">
        <v>23</v>
      </c>
      <c r="E39" s="196" t="s">
        <v>22</v>
      </c>
      <c r="F39" s="197">
        <v>65100</v>
      </c>
      <c r="G39" s="197">
        <v>64540</v>
      </c>
      <c r="H39" s="196">
        <f>65100-64540</f>
        <v>560</v>
      </c>
      <c r="I39" s="197">
        <v>30</v>
      </c>
      <c r="J39" s="268">
        <f t="shared" si="1"/>
        <v>16800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44981</v>
      </c>
      <c r="D40" s="196" t="s">
        <v>23</v>
      </c>
      <c r="E40" s="196" t="s">
        <v>24</v>
      </c>
      <c r="F40" s="197">
        <v>55750</v>
      </c>
      <c r="G40" s="197">
        <v>55550</v>
      </c>
      <c r="H40" s="196">
        <v>200</v>
      </c>
      <c r="I40" s="197">
        <v>100</v>
      </c>
      <c r="J40" s="268">
        <f t="shared" si="1"/>
        <v>20000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44981</v>
      </c>
      <c r="D41" s="196" t="s">
        <v>23</v>
      </c>
      <c r="E41" s="196" t="s">
        <v>22</v>
      </c>
      <c r="F41" s="197">
        <v>64200</v>
      </c>
      <c r="G41" s="197">
        <v>63800</v>
      </c>
      <c r="H41" s="196">
        <v>400</v>
      </c>
      <c r="I41" s="197">
        <v>30</v>
      </c>
      <c r="J41" s="268">
        <f t="shared" si="1"/>
        <v>12000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44984</v>
      </c>
      <c r="D42" s="196" t="s">
        <v>23</v>
      </c>
      <c r="E42" s="196" t="s">
        <v>24</v>
      </c>
      <c r="F42" s="197">
        <v>55350</v>
      </c>
      <c r="G42" s="197">
        <v>55320</v>
      </c>
      <c r="H42" s="196">
        <v>30</v>
      </c>
      <c r="I42" s="197">
        <v>100</v>
      </c>
      <c r="J42" s="268">
        <f t="shared" si="1"/>
        <v>3000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44984</v>
      </c>
      <c r="D43" s="196" t="s">
        <v>23</v>
      </c>
      <c r="E43" s="196" t="s">
        <v>22</v>
      </c>
      <c r="F43" s="197">
        <v>63200</v>
      </c>
      <c r="G43" s="197">
        <v>62900</v>
      </c>
      <c r="H43" s="196">
        <v>300</v>
      </c>
      <c r="I43" s="197">
        <v>30</v>
      </c>
      <c r="J43" s="268">
        <f t="shared" si="1"/>
        <v>9000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44985</v>
      </c>
      <c r="D44" s="196" t="s">
        <v>23</v>
      </c>
      <c r="E44" s="196" t="s">
        <v>24</v>
      </c>
      <c r="F44" s="197">
        <v>55280</v>
      </c>
      <c r="G44" s="197">
        <v>55180</v>
      </c>
      <c r="H44" s="196"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44985</v>
      </c>
      <c r="D45" s="196" t="s">
        <v>23</v>
      </c>
      <c r="E45" s="196" t="s">
        <v>22</v>
      </c>
      <c r="F45" s="197">
        <v>63500</v>
      </c>
      <c r="G45" s="197">
        <v>63200</v>
      </c>
      <c r="H45" s="196">
        <f>63500-63200</f>
        <v>300</v>
      </c>
      <c r="I45" s="197">
        <v>30</v>
      </c>
      <c r="J45" s="268">
        <f t="shared" si="1"/>
        <v>9000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364040</v>
      </c>
      <c r="K52" s="185"/>
      <c r="V52" s="183">
        <f>SUM(V6:V51)</f>
        <v>36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44958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44958</v>
      </c>
      <c r="D60" s="192" t="s">
        <v>23</v>
      </c>
      <c r="E60" s="192" t="s">
        <v>25</v>
      </c>
      <c r="F60" s="193">
        <v>6490</v>
      </c>
      <c r="G60" s="193">
        <v>6466</v>
      </c>
      <c r="H60" s="192">
        <f>6490-6466</f>
        <v>24</v>
      </c>
      <c r="I60" s="193">
        <v>100</v>
      </c>
      <c r="J60" s="267">
        <f t="shared" ref="J60:J82" si="5">I60*H60</f>
        <v>2400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44959</v>
      </c>
      <c r="D61" s="196" t="s">
        <v>23</v>
      </c>
      <c r="E61" s="196" t="s">
        <v>25</v>
      </c>
      <c r="F61" s="197">
        <v>6300</v>
      </c>
      <c r="G61" s="197">
        <v>6230</v>
      </c>
      <c r="H61" s="196">
        <f>6300-6230</f>
        <v>70</v>
      </c>
      <c r="I61" s="197">
        <v>100</v>
      </c>
      <c r="J61" s="268">
        <f t="shared" si="5"/>
        <v>7000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44960</v>
      </c>
      <c r="D62" s="196" t="s">
        <v>23</v>
      </c>
      <c r="E62" s="196" t="s">
        <v>25</v>
      </c>
      <c r="F62" s="197">
        <v>6250</v>
      </c>
      <c r="G62" s="197">
        <v>6225</v>
      </c>
      <c r="H62" s="196">
        <v>25</v>
      </c>
      <c r="I62" s="197">
        <v>100</v>
      </c>
      <c r="J62" s="268">
        <f t="shared" si="5"/>
        <v>2500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44963</v>
      </c>
      <c r="D63" s="196" t="s">
        <v>23</v>
      </c>
      <c r="E63" s="196" t="s">
        <v>25</v>
      </c>
      <c r="F63" s="197">
        <v>6100</v>
      </c>
      <c r="G63" s="197">
        <v>6140</v>
      </c>
      <c r="H63" s="196">
        <v>-40</v>
      </c>
      <c r="I63" s="197">
        <v>100</v>
      </c>
      <c r="J63" s="268">
        <f t="shared" si="5"/>
        <v>-4000</v>
      </c>
      <c r="K63" s="185"/>
      <c r="V63" s="183">
        <f t="shared" si="6"/>
        <v>0</v>
      </c>
      <c r="W63" s="183">
        <f t="shared" si="7"/>
        <v>1</v>
      </c>
    </row>
    <row r="64" spans="1:23" x14ac:dyDescent="0.3">
      <c r="A64" s="184"/>
      <c r="B64" s="194">
        <v>5</v>
      </c>
      <c r="C64" s="195">
        <v>44964</v>
      </c>
      <c r="D64" s="196" t="s">
        <v>23</v>
      </c>
      <c r="E64" s="196" t="s">
        <v>25</v>
      </c>
      <c r="F64" s="197">
        <v>6280</v>
      </c>
      <c r="G64" s="197">
        <v>6210</v>
      </c>
      <c r="H64" s="196">
        <v>70</v>
      </c>
      <c r="I64" s="197">
        <v>100</v>
      </c>
      <c r="J64" s="268">
        <f t="shared" si="5"/>
        <v>7000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44965</v>
      </c>
      <c r="D65" s="196" t="s">
        <v>23</v>
      </c>
      <c r="E65" s="196" t="s">
        <v>25</v>
      </c>
      <c r="F65" s="197">
        <v>6470</v>
      </c>
      <c r="G65" s="197">
        <v>6430</v>
      </c>
      <c r="H65" s="196">
        <v>40</v>
      </c>
      <c r="I65" s="197">
        <v>100</v>
      </c>
      <c r="J65" s="268">
        <f t="shared" si="5"/>
        <v>4000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44966</v>
      </c>
      <c r="D66" s="196" t="s">
        <v>23</v>
      </c>
      <c r="E66" s="196" t="s">
        <v>25</v>
      </c>
      <c r="F66" s="222">
        <v>6500</v>
      </c>
      <c r="G66" s="222">
        <v>6430</v>
      </c>
      <c r="H66" s="196">
        <f>6500-6430</f>
        <v>70</v>
      </c>
      <c r="I66" s="197">
        <v>100</v>
      </c>
      <c r="J66" s="268">
        <f t="shared" si="5"/>
        <v>7000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44967</v>
      </c>
      <c r="D67" s="196" t="s">
        <v>23</v>
      </c>
      <c r="E67" s="196" t="s">
        <v>25</v>
      </c>
      <c r="F67" s="197">
        <v>6610</v>
      </c>
      <c r="G67" s="197">
        <v>6575</v>
      </c>
      <c r="H67" s="196">
        <f>6610-6575</f>
        <v>35</v>
      </c>
      <c r="I67" s="197">
        <v>100</v>
      </c>
      <c r="J67" s="268">
        <f t="shared" si="5"/>
        <v>3500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44970</v>
      </c>
      <c r="D68" s="196" t="s">
        <v>23</v>
      </c>
      <c r="E68" s="196" t="s">
        <v>25</v>
      </c>
      <c r="F68" s="197">
        <v>6540</v>
      </c>
      <c r="G68" s="197">
        <v>6495</v>
      </c>
      <c r="H68" s="196">
        <f>6540-6495</f>
        <v>45</v>
      </c>
      <c r="I68" s="197">
        <v>100</v>
      </c>
      <c r="J68" s="268">
        <f t="shared" si="5"/>
        <v>4500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44971</v>
      </c>
      <c r="D69" s="196" t="s">
        <v>23</v>
      </c>
      <c r="E69" s="196" t="s">
        <v>25</v>
      </c>
      <c r="F69" s="197">
        <v>6570</v>
      </c>
      <c r="G69" s="197">
        <v>6521</v>
      </c>
      <c r="H69" s="196">
        <f>6570-6521</f>
        <v>49</v>
      </c>
      <c r="I69" s="197">
        <v>100</v>
      </c>
      <c r="J69" s="268">
        <f t="shared" si="5"/>
        <v>4900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44972</v>
      </c>
      <c r="D70" s="196" t="s">
        <v>23</v>
      </c>
      <c r="E70" s="196" t="s">
        <v>25</v>
      </c>
      <c r="F70" s="197">
        <v>6450</v>
      </c>
      <c r="G70" s="197">
        <v>6435</v>
      </c>
      <c r="H70" s="196">
        <f>6450-6435</f>
        <v>15</v>
      </c>
      <c r="I70" s="197">
        <v>100</v>
      </c>
      <c r="J70" s="268">
        <f t="shared" si="5"/>
        <v>1500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44973</v>
      </c>
      <c r="D71" s="196" t="s">
        <v>23</v>
      </c>
      <c r="E71" s="196" t="s">
        <v>25</v>
      </c>
      <c r="F71" s="197">
        <v>6515</v>
      </c>
      <c r="G71" s="197">
        <v>6475</v>
      </c>
      <c r="H71" s="196">
        <f>6515-6475</f>
        <v>40</v>
      </c>
      <c r="I71" s="197">
        <v>100</v>
      </c>
      <c r="J71" s="268">
        <f t="shared" si="5"/>
        <v>4000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44974</v>
      </c>
      <c r="D72" s="196" t="s">
        <v>23</v>
      </c>
      <c r="E72" s="196" t="s">
        <v>25</v>
      </c>
      <c r="F72" s="197">
        <v>6420</v>
      </c>
      <c r="G72" s="197">
        <v>6350</v>
      </c>
      <c r="H72" s="196">
        <v>70</v>
      </c>
      <c r="I72" s="197">
        <v>100</v>
      </c>
      <c r="J72" s="268">
        <f t="shared" si="5"/>
        <v>7000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44977</v>
      </c>
      <c r="D73" s="196" t="s">
        <v>23</v>
      </c>
      <c r="E73" s="196" t="s">
        <v>25</v>
      </c>
      <c r="F73" s="197">
        <v>6420</v>
      </c>
      <c r="G73" s="197">
        <v>6390</v>
      </c>
      <c r="H73" s="196">
        <v>30</v>
      </c>
      <c r="I73" s="197">
        <v>100</v>
      </c>
      <c r="J73" s="268">
        <f t="shared" si="5"/>
        <v>3000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44978</v>
      </c>
      <c r="D74" s="196" t="s">
        <v>23</v>
      </c>
      <c r="E74" s="196" t="s">
        <v>25</v>
      </c>
      <c r="F74" s="197">
        <v>6350</v>
      </c>
      <c r="G74" s="197">
        <v>6332</v>
      </c>
      <c r="H74" s="196">
        <f>6350-6332</f>
        <v>18</v>
      </c>
      <c r="I74" s="197">
        <v>100</v>
      </c>
      <c r="J74" s="268">
        <f t="shared" si="5"/>
        <v>1800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44979</v>
      </c>
      <c r="D75" s="196" t="s">
        <v>23</v>
      </c>
      <c r="E75" s="196" t="s">
        <v>25</v>
      </c>
      <c r="F75" s="197">
        <v>6275</v>
      </c>
      <c r="G75" s="197">
        <v>6245</v>
      </c>
      <c r="H75" s="196">
        <v>30</v>
      </c>
      <c r="I75" s="197">
        <v>100</v>
      </c>
      <c r="J75" s="268">
        <f t="shared" si="5"/>
        <v>3000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44980</v>
      </c>
      <c r="D76" s="196" t="s">
        <v>23</v>
      </c>
      <c r="E76" s="196" t="s">
        <v>25</v>
      </c>
      <c r="F76" s="197">
        <v>6160</v>
      </c>
      <c r="G76" s="197">
        <v>6200</v>
      </c>
      <c r="H76" s="196">
        <v>-40</v>
      </c>
      <c r="I76" s="197">
        <v>100</v>
      </c>
      <c r="J76" s="268">
        <f t="shared" si="5"/>
        <v>-4000</v>
      </c>
      <c r="K76" s="185"/>
      <c r="V76" s="183">
        <f t="shared" si="6"/>
        <v>0</v>
      </c>
      <c r="W76" s="183">
        <f t="shared" si="7"/>
        <v>1</v>
      </c>
    </row>
    <row r="77" spans="1:23" x14ac:dyDescent="0.3">
      <c r="A77" s="255"/>
      <c r="B77" s="194">
        <v>18</v>
      </c>
      <c r="C77" s="195">
        <v>44981</v>
      </c>
      <c r="D77" s="196" t="s">
        <v>23</v>
      </c>
      <c r="E77" s="196" t="s">
        <v>25</v>
      </c>
      <c r="F77" s="197">
        <v>6320</v>
      </c>
      <c r="G77" s="197">
        <v>6281</v>
      </c>
      <c r="H77" s="196">
        <f>6320-6281</f>
        <v>39</v>
      </c>
      <c r="I77" s="197">
        <v>100</v>
      </c>
      <c r="J77" s="268">
        <f t="shared" si="5"/>
        <v>3900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44984</v>
      </c>
      <c r="D78" s="196" t="s">
        <v>23</v>
      </c>
      <c r="E78" s="196" t="s">
        <v>25</v>
      </c>
      <c r="F78" s="197">
        <v>6380</v>
      </c>
      <c r="G78" s="197">
        <v>6310</v>
      </c>
      <c r="H78" s="196"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44985</v>
      </c>
      <c r="D79" s="196" t="s">
        <v>23</v>
      </c>
      <c r="E79" s="196" t="s">
        <v>25</v>
      </c>
      <c r="F79" s="197">
        <v>6340</v>
      </c>
      <c r="G79" s="197">
        <v>6320</v>
      </c>
      <c r="H79" s="196">
        <f>6340-6320</f>
        <v>20</v>
      </c>
      <c r="I79" s="197">
        <v>100</v>
      </c>
      <c r="J79" s="268">
        <f t="shared" si="5"/>
        <v>2000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5"/>
        <v>0</v>
      </c>
      <c r="K80" s="185"/>
      <c r="V80" s="183">
        <f t="shared" si="6"/>
        <v>0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68000</v>
      </c>
      <c r="K83" s="185"/>
      <c r="V83" s="183">
        <f>SUM(V60:V82)</f>
        <v>18</v>
      </c>
      <c r="W83" s="183">
        <f>SUM(W60:W82)</f>
        <v>2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44958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44958</v>
      </c>
      <c r="D91" s="216" t="s">
        <v>23</v>
      </c>
      <c r="E91" s="256" t="s">
        <v>28</v>
      </c>
      <c r="F91" s="256">
        <v>295.5</v>
      </c>
      <c r="G91" s="256">
        <v>296.5</v>
      </c>
      <c r="H91" s="256">
        <v>-1</v>
      </c>
      <c r="I91" s="218">
        <v>5000</v>
      </c>
      <c r="J91" s="273">
        <f>I91*H91</f>
        <v>-5000</v>
      </c>
      <c r="K91" s="185"/>
      <c r="V91" s="183">
        <f>IF($J91&gt;0,1,0)</f>
        <v>0</v>
      </c>
      <c r="W91" s="183">
        <f>IF($J91&lt;0,1,0)</f>
        <v>1</v>
      </c>
    </row>
    <row r="92" spans="1:23" x14ac:dyDescent="0.3">
      <c r="A92" s="184"/>
      <c r="B92" s="194">
        <v>2</v>
      </c>
      <c r="C92" s="195">
        <v>44959</v>
      </c>
      <c r="D92" s="196" t="s">
        <v>23</v>
      </c>
      <c r="E92" s="222" t="s">
        <v>28</v>
      </c>
      <c r="F92" s="222">
        <v>291</v>
      </c>
      <c r="G92" s="222">
        <v>290.5</v>
      </c>
      <c r="H92" s="222">
        <v>0.5</v>
      </c>
      <c r="I92" s="197">
        <v>5000</v>
      </c>
      <c r="J92" s="268">
        <f t="shared" ref="J92:J111" si="8">I92*H92</f>
        <v>2500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44960</v>
      </c>
      <c r="D93" s="196" t="s">
        <v>23</v>
      </c>
      <c r="E93" s="222" t="s">
        <v>28</v>
      </c>
      <c r="F93" s="222">
        <v>292.8</v>
      </c>
      <c r="G93" s="222">
        <v>290.8</v>
      </c>
      <c r="H93" s="222">
        <v>2</v>
      </c>
      <c r="I93" s="197">
        <v>5000</v>
      </c>
      <c r="J93" s="268">
        <f t="shared" si="8"/>
        <v>10000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44963</v>
      </c>
      <c r="D94" s="196" t="s">
        <v>23</v>
      </c>
      <c r="E94" s="222" t="s">
        <v>28</v>
      </c>
      <c r="F94" s="222">
        <v>281.5</v>
      </c>
      <c r="G94" s="222">
        <v>279.5</v>
      </c>
      <c r="H94" s="222">
        <v>2</v>
      </c>
      <c r="I94" s="197">
        <v>5000</v>
      </c>
      <c r="J94" s="268">
        <f t="shared" si="8"/>
        <v>10000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44964</v>
      </c>
      <c r="D95" s="196" t="s">
        <v>23</v>
      </c>
      <c r="E95" s="222" t="s">
        <v>28</v>
      </c>
      <c r="F95" s="222">
        <v>275.60000000000002</v>
      </c>
      <c r="G95" s="222">
        <v>274.60000000000002</v>
      </c>
      <c r="H95" s="222">
        <v>1</v>
      </c>
      <c r="I95" s="197">
        <v>5000</v>
      </c>
      <c r="J95" s="268">
        <f t="shared" si="8"/>
        <v>5000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44965</v>
      </c>
      <c r="D96" s="196" t="s">
        <v>23</v>
      </c>
      <c r="E96" s="222" t="s">
        <v>28</v>
      </c>
      <c r="F96" s="222">
        <v>279.8</v>
      </c>
      <c r="G96" s="222">
        <v>278.8</v>
      </c>
      <c r="H96" s="222">
        <v>1</v>
      </c>
      <c r="I96" s="197">
        <v>5000</v>
      </c>
      <c r="J96" s="268">
        <f t="shared" si="8"/>
        <v>5000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44966</v>
      </c>
      <c r="D97" s="196" t="s">
        <v>23</v>
      </c>
      <c r="E97" s="222" t="s">
        <v>28</v>
      </c>
      <c r="F97" s="222">
        <v>278.8</v>
      </c>
      <c r="G97" s="222">
        <v>277.8</v>
      </c>
      <c r="H97" s="274">
        <v>1</v>
      </c>
      <c r="I97" s="197">
        <v>5000</v>
      </c>
      <c r="J97" s="268">
        <f t="shared" si="8"/>
        <v>5000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44967</v>
      </c>
      <c r="D98" s="196" t="s">
        <v>23</v>
      </c>
      <c r="E98" s="222" t="s">
        <v>28</v>
      </c>
      <c r="F98" s="222">
        <v>274.5</v>
      </c>
      <c r="G98" s="222">
        <v>274.10000000000002</v>
      </c>
      <c r="H98" s="222">
        <f>274.5-274.1</f>
        <v>0.39999999999997726</v>
      </c>
      <c r="I98" s="197">
        <v>5000</v>
      </c>
      <c r="J98" s="268">
        <f t="shared" si="8"/>
        <v>1999.9999999998863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44970</v>
      </c>
      <c r="D99" s="196" t="s">
        <v>23</v>
      </c>
      <c r="E99" s="222" t="s">
        <v>28</v>
      </c>
      <c r="F99" s="222">
        <v>269</v>
      </c>
      <c r="G99" s="222">
        <v>268</v>
      </c>
      <c r="H99" s="222">
        <v>1</v>
      </c>
      <c r="I99" s="197">
        <v>5000</v>
      </c>
      <c r="J99" s="268">
        <f t="shared" si="8"/>
        <v>5000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44971</v>
      </c>
      <c r="D100" s="196" t="s">
        <v>23</v>
      </c>
      <c r="E100" s="222" t="s">
        <v>28</v>
      </c>
      <c r="F100" s="222">
        <v>276</v>
      </c>
      <c r="G100" s="222">
        <v>277</v>
      </c>
      <c r="H100" s="222">
        <v>-1</v>
      </c>
      <c r="I100" s="197">
        <v>5000</v>
      </c>
      <c r="J100" s="268">
        <f t="shared" si="8"/>
        <v>-5000</v>
      </c>
      <c r="K100" s="185"/>
      <c r="V100" s="183">
        <f t="shared" si="9"/>
        <v>0</v>
      </c>
      <c r="W100" s="183">
        <f t="shared" si="10"/>
        <v>1</v>
      </c>
    </row>
    <row r="101" spans="1:23" x14ac:dyDescent="0.3">
      <c r="A101" s="184"/>
      <c r="B101" s="194">
        <v>11</v>
      </c>
      <c r="C101" s="195">
        <v>44972</v>
      </c>
      <c r="D101" s="196" t="s">
        <v>23</v>
      </c>
      <c r="E101" s="222" t="s">
        <v>28</v>
      </c>
      <c r="F101" s="222">
        <v>270</v>
      </c>
      <c r="G101" s="222">
        <v>269</v>
      </c>
      <c r="H101" s="274">
        <v>1</v>
      </c>
      <c r="I101" s="197">
        <v>5000</v>
      </c>
      <c r="J101" s="268">
        <f t="shared" si="8"/>
        <v>5000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44973</v>
      </c>
      <c r="D102" s="196" t="s">
        <v>23</v>
      </c>
      <c r="E102" s="222" t="s">
        <v>28</v>
      </c>
      <c r="F102" s="222">
        <v>269.3</v>
      </c>
      <c r="G102" s="222">
        <v>268.3</v>
      </c>
      <c r="H102" s="274">
        <v>1</v>
      </c>
      <c r="I102" s="197">
        <v>5000</v>
      </c>
      <c r="J102" s="268">
        <f t="shared" si="8"/>
        <v>5000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44974</v>
      </c>
      <c r="D103" s="196" t="s">
        <v>23</v>
      </c>
      <c r="E103" s="222" t="s">
        <v>28</v>
      </c>
      <c r="F103" s="222">
        <v>267.60000000000002</v>
      </c>
      <c r="G103" s="222">
        <v>268.60000000000002</v>
      </c>
      <c r="H103" s="274">
        <v>-1</v>
      </c>
      <c r="I103" s="197">
        <v>5000</v>
      </c>
      <c r="J103" s="268">
        <f t="shared" si="8"/>
        <v>-5000</v>
      </c>
      <c r="K103" s="185"/>
      <c r="V103" s="183">
        <f t="shared" si="9"/>
        <v>0</v>
      </c>
      <c r="W103" s="183">
        <f t="shared" si="10"/>
        <v>1</v>
      </c>
    </row>
    <row r="104" spans="1:23" x14ac:dyDescent="0.3">
      <c r="A104" s="184"/>
      <c r="B104" s="194">
        <v>14</v>
      </c>
      <c r="C104" s="195">
        <v>44977</v>
      </c>
      <c r="D104" s="196" t="s">
        <v>23</v>
      </c>
      <c r="E104" s="222" t="s">
        <v>28</v>
      </c>
      <c r="F104" s="222">
        <v>273.2</v>
      </c>
      <c r="G104" s="222">
        <v>271.8</v>
      </c>
      <c r="H104" s="274">
        <f>273.2-271.8</f>
        <v>1.3999999999999773</v>
      </c>
      <c r="I104" s="197">
        <v>5000</v>
      </c>
      <c r="J104" s="268">
        <f t="shared" si="8"/>
        <v>6999.9999999998863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44978</v>
      </c>
      <c r="D105" s="196" t="s">
        <v>23</v>
      </c>
      <c r="E105" s="196" t="s">
        <v>28</v>
      </c>
      <c r="F105" s="222">
        <v>274.3</v>
      </c>
      <c r="G105" s="222">
        <v>273.8</v>
      </c>
      <c r="H105" s="222">
        <f>274.3-273.8</f>
        <v>0.5</v>
      </c>
      <c r="I105" s="197">
        <v>5000</v>
      </c>
      <c r="J105" s="268">
        <f t="shared" si="8"/>
        <v>2500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44979</v>
      </c>
      <c r="D106" s="196" t="s">
        <v>23</v>
      </c>
      <c r="E106" s="196" t="s">
        <v>28</v>
      </c>
      <c r="F106" s="222">
        <v>271.5</v>
      </c>
      <c r="G106" s="274">
        <v>270.5</v>
      </c>
      <c r="H106" s="274">
        <v>0.5</v>
      </c>
      <c r="I106" s="197">
        <v>5000</v>
      </c>
      <c r="J106" s="268">
        <f t="shared" si="8"/>
        <v>2500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44980</v>
      </c>
      <c r="D107" s="196" t="s">
        <v>23</v>
      </c>
      <c r="E107" s="196" t="s">
        <v>28</v>
      </c>
      <c r="F107" s="222">
        <v>272.2</v>
      </c>
      <c r="G107" s="222">
        <v>271.60000000000002</v>
      </c>
      <c r="H107" s="274">
        <f>272.2-271.6</f>
        <v>0.59999999999996589</v>
      </c>
      <c r="I107" s="197">
        <v>5000</v>
      </c>
      <c r="J107" s="268">
        <f t="shared" si="8"/>
        <v>2999.9999999998295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44981</v>
      </c>
      <c r="D108" s="196" t="s">
        <v>23</v>
      </c>
      <c r="E108" s="196" t="s">
        <v>28</v>
      </c>
      <c r="F108" s="222">
        <v>269</v>
      </c>
      <c r="G108" s="222">
        <v>267.5</v>
      </c>
      <c r="H108" s="274">
        <f>269-267.5</f>
        <v>1.5</v>
      </c>
      <c r="I108" s="197">
        <v>5000</v>
      </c>
      <c r="J108" s="268">
        <f t="shared" si="8"/>
        <v>7500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44984</v>
      </c>
      <c r="D109" s="196" t="s">
        <v>23</v>
      </c>
      <c r="E109" s="196" t="s">
        <v>28</v>
      </c>
      <c r="F109" s="222">
        <v>268</v>
      </c>
      <c r="G109" s="222">
        <v>269</v>
      </c>
      <c r="H109" s="274">
        <v>-1</v>
      </c>
      <c r="I109" s="197">
        <v>5000</v>
      </c>
      <c r="J109" s="268">
        <f t="shared" si="8"/>
        <v>-5000</v>
      </c>
      <c r="K109" s="185"/>
      <c r="V109" s="183">
        <f t="shared" si="9"/>
        <v>0</v>
      </c>
      <c r="W109" s="183">
        <f t="shared" si="10"/>
        <v>1</v>
      </c>
    </row>
    <row r="110" spans="1:23" x14ac:dyDescent="0.3">
      <c r="A110" s="184"/>
      <c r="B110" s="194">
        <v>20</v>
      </c>
      <c r="C110" s="195">
        <v>44985</v>
      </c>
      <c r="D110" s="196" t="s">
        <v>23</v>
      </c>
      <c r="E110" s="222" t="s">
        <v>28</v>
      </c>
      <c r="F110" s="222">
        <v>265</v>
      </c>
      <c r="G110" s="222">
        <v>264</v>
      </c>
      <c r="H110" s="274">
        <v>1</v>
      </c>
      <c r="I110" s="197">
        <v>5000</v>
      </c>
      <c r="J110" s="268">
        <f t="shared" si="8"/>
        <v>5000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8"/>
        <v>0</v>
      </c>
      <c r="K111" s="185"/>
      <c r="V111" s="183">
        <f>IF($J111&gt;0,1,0)</f>
        <v>0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61999.9999999996</v>
      </c>
      <c r="K114" s="185"/>
      <c r="V114" s="183">
        <f>SUM(V91:V113)</f>
        <v>16</v>
      </c>
      <c r="W114" s="183">
        <f>SUM(W91:W113)</f>
        <v>4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07" t="s">
        <v>873</v>
      </c>
      <c r="C118" s="308"/>
      <c r="D118" s="308"/>
      <c r="E118" s="308"/>
      <c r="F118" s="308"/>
      <c r="G118" s="308"/>
      <c r="H118" s="308"/>
      <c r="I118" s="308"/>
      <c r="J118" s="309"/>
      <c r="K118" s="185"/>
    </row>
    <row r="119" spans="1:23" ht="16.2" thickBot="1" x14ac:dyDescent="0.35">
      <c r="A119" s="184"/>
      <c r="B119" s="310">
        <v>44958</v>
      </c>
      <c r="C119" s="311"/>
      <c r="D119" s="311"/>
      <c r="E119" s="311"/>
      <c r="F119" s="311"/>
      <c r="G119" s="311"/>
      <c r="H119" s="311"/>
      <c r="I119" s="311"/>
      <c r="J119" s="312"/>
      <c r="K119" s="185"/>
    </row>
    <row r="120" spans="1:23" ht="16.2" thickBot="1" x14ac:dyDescent="0.35">
      <c r="A120" s="184"/>
      <c r="B120" s="313" t="s">
        <v>905</v>
      </c>
      <c r="C120" s="314"/>
      <c r="D120" s="314"/>
      <c r="E120" s="314"/>
      <c r="F120" s="314"/>
      <c r="G120" s="314"/>
      <c r="H120" s="314"/>
      <c r="I120" s="314"/>
      <c r="J120" s="315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44958</v>
      </c>
      <c r="D122" s="216" t="s">
        <v>16</v>
      </c>
      <c r="E122" s="256" t="s">
        <v>913</v>
      </c>
      <c r="F122" s="256">
        <v>225</v>
      </c>
      <c r="G122" s="256">
        <v>250</v>
      </c>
      <c r="H122" s="256">
        <v>25</v>
      </c>
      <c r="I122" s="218">
        <v>100</v>
      </c>
      <c r="J122" s="273">
        <f>I122*H122</f>
        <v>2500</v>
      </c>
      <c r="K122" s="185"/>
      <c r="V122" s="183">
        <f>IF($J122&gt;0,1,0)</f>
        <v>1</v>
      </c>
      <c r="W122" s="183">
        <f>IF($J122&lt;0,1,0)</f>
        <v>0</v>
      </c>
    </row>
    <row r="123" spans="1:23" x14ac:dyDescent="0.3">
      <c r="A123" s="184"/>
      <c r="B123" s="194">
        <v>2</v>
      </c>
      <c r="C123" s="195">
        <v>44959</v>
      </c>
      <c r="D123" s="196" t="s">
        <v>16</v>
      </c>
      <c r="E123" s="222" t="s">
        <v>907</v>
      </c>
      <c r="F123" s="222">
        <v>210</v>
      </c>
      <c r="G123" s="222">
        <v>250</v>
      </c>
      <c r="H123" s="222">
        <v>40</v>
      </c>
      <c r="I123" s="218">
        <v>100</v>
      </c>
      <c r="J123" s="268">
        <f t="shared" ref="J123:J142" si="11">I123*H123</f>
        <v>4000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44960</v>
      </c>
      <c r="D124" s="196" t="s">
        <v>16</v>
      </c>
      <c r="E124" s="222" t="s">
        <v>908</v>
      </c>
      <c r="F124" s="222">
        <v>190</v>
      </c>
      <c r="G124" s="222">
        <v>165</v>
      </c>
      <c r="H124" s="222">
        <v>-25</v>
      </c>
      <c r="I124" s="218">
        <v>100</v>
      </c>
      <c r="J124" s="268">
        <f t="shared" si="11"/>
        <v>-2500</v>
      </c>
      <c r="K124" s="185"/>
      <c r="M124" s="183" t="s">
        <v>870</v>
      </c>
      <c r="V124" s="183">
        <f t="shared" si="12"/>
        <v>0</v>
      </c>
      <c r="W124" s="183">
        <f t="shared" si="13"/>
        <v>1</v>
      </c>
    </row>
    <row r="125" spans="1:23" x14ac:dyDescent="0.3">
      <c r="A125" s="184"/>
      <c r="B125" s="194">
        <v>4</v>
      </c>
      <c r="C125" s="195">
        <v>44963</v>
      </c>
      <c r="D125" s="196" t="s">
        <v>16</v>
      </c>
      <c r="E125" s="222" t="s">
        <v>915</v>
      </c>
      <c r="F125" s="222">
        <v>200</v>
      </c>
      <c r="G125" s="222">
        <v>175</v>
      </c>
      <c r="H125" s="222">
        <v>-25</v>
      </c>
      <c r="I125" s="218">
        <v>100</v>
      </c>
      <c r="J125" s="268">
        <f t="shared" si="11"/>
        <v>-2500</v>
      </c>
      <c r="K125" s="185"/>
      <c r="V125" s="183">
        <f t="shared" si="12"/>
        <v>0</v>
      </c>
      <c r="W125" s="183">
        <f t="shared" si="13"/>
        <v>1</v>
      </c>
    </row>
    <row r="126" spans="1:23" x14ac:dyDescent="0.3">
      <c r="A126" s="184"/>
      <c r="B126" s="194">
        <v>5</v>
      </c>
      <c r="C126" s="195">
        <v>44964</v>
      </c>
      <c r="D126" s="196" t="s">
        <v>16</v>
      </c>
      <c r="E126" s="222" t="s">
        <v>907</v>
      </c>
      <c r="F126" s="222">
        <v>180</v>
      </c>
      <c r="G126" s="222">
        <v>200</v>
      </c>
      <c r="H126" s="222">
        <v>20</v>
      </c>
      <c r="I126" s="218">
        <v>100</v>
      </c>
      <c r="J126" s="268">
        <f t="shared" si="11"/>
        <v>2000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44965</v>
      </c>
      <c r="D127" s="196" t="s">
        <v>16</v>
      </c>
      <c r="E127" s="222" t="s">
        <v>913</v>
      </c>
      <c r="F127" s="222">
        <v>180</v>
      </c>
      <c r="G127" s="222">
        <v>196</v>
      </c>
      <c r="H127" s="222">
        <v>16</v>
      </c>
      <c r="I127" s="218">
        <v>100</v>
      </c>
      <c r="J127" s="268">
        <f t="shared" si="11"/>
        <v>1600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44966</v>
      </c>
      <c r="D128" s="196" t="s">
        <v>16</v>
      </c>
      <c r="E128" s="222" t="s">
        <v>913</v>
      </c>
      <c r="F128" s="222">
        <v>145</v>
      </c>
      <c r="G128" s="222">
        <v>185</v>
      </c>
      <c r="H128" s="274">
        <v>40</v>
      </c>
      <c r="I128" s="218">
        <v>100</v>
      </c>
      <c r="J128" s="268">
        <f t="shared" si="11"/>
        <v>4000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44967</v>
      </c>
      <c r="D129" s="196" t="s">
        <v>16</v>
      </c>
      <c r="E129" s="222" t="s">
        <v>912</v>
      </c>
      <c r="F129" s="222">
        <v>130</v>
      </c>
      <c r="G129" s="222">
        <v>150</v>
      </c>
      <c r="H129" s="222">
        <v>20</v>
      </c>
      <c r="I129" s="218">
        <v>100</v>
      </c>
      <c r="J129" s="268">
        <f t="shared" si="11"/>
        <v>2000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44970</v>
      </c>
      <c r="D130" s="196" t="s">
        <v>16</v>
      </c>
      <c r="E130" s="222" t="s">
        <v>912</v>
      </c>
      <c r="F130" s="222">
        <v>145</v>
      </c>
      <c r="G130" s="222">
        <v>164</v>
      </c>
      <c r="H130" s="222">
        <f>164-145</f>
        <v>19</v>
      </c>
      <c r="I130" s="218">
        <v>100</v>
      </c>
      <c r="J130" s="268">
        <f t="shared" si="11"/>
        <v>1900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44971</v>
      </c>
      <c r="D131" s="196" t="s">
        <v>16</v>
      </c>
      <c r="E131" s="222" t="s">
        <v>912</v>
      </c>
      <c r="F131" s="222">
        <v>110</v>
      </c>
      <c r="G131" s="222">
        <v>130</v>
      </c>
      <c r="H131" s="222">
        <v>20</v>
      </c>
      <c r="I131" s="218">
        <v>100</v>
      </c>
      <c r="J131" s="268">
        <f t="shared" si="11"/>
        <v>2000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44972</v>
      </c>
      <c r="D132" s="196" t="s">
        <v>16</v>
      </c>
      <c r="E132" s="222" t="s">
        <v>910</v>
      </c>
      <c r="F132" s="222">
        <v>245</v>
      </c>
      <c r="G132" s="222">
        <v>270</v>
      </c>
      <c r="H132" s="274">
        <f>270-245</f>
        <v>25</v>
      </c>
      <c r="I132" s="218">
        <v>100</v>
      </c>
      <c r="J132" s="268">
        <f t="shared" si="11"/>
        <v>2500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44973</v>
      </c>
      <c r="D133" s="196" t="s">
        <v>16</v>
      </c>
      <c r="E133" s="222" t="s">
        <v>910</v>
      </c>
      <c r="F133" s="222">
        <v>215</v>
      </c>
      <c r="G133" s="222">
        <v>235</v>
      </c>
      <c r="H133" s="274">
        <f>235-215</f>
        <v>20</v>
      </c>
      <c r="I133" s="218">
        <v>100</v>
      </c>
      <c r="J133" s="268">
        <f t="shared" si="11"/>
        <v>2000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44974</v>
      </c>
      <c r="D134" s="196" t="s">
        <v>16</v>
      </c>
      <c r="E134" s="222" t="s">
        <v>910</v>
      </c>
      <c r="F134" s="222">
        <v>265</v>
      </c>
      <c r="G134" s="222">
        <v>273</v>
      </c>
      <c r="H134" s="274">
        <f>273-265</f>
        <v>8</v>
      </c>
      <c r="I134" s="218">
        <v>100</v>
      </c>
      <c r="J134" s="268">
        <f t="shared" si="11"/>
        <v>800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44977</v>
      </c>
      <c r="D135" s="196" t="s">
        <v>16</v>
      </c>
      <c r="E135" s="222" t="s">
        <v>910</v>
      </c>
      <c r="F135" s="222">
        <v>255</v>
      </c>
      <c r="G135" s="222">
        <v>265</v>
      </c>
      <c r="H135" s="274">
        <v>10</v>
      </c>
      <c r="I135" s="218">
        <v>100</v>
      </c>
      <c r="J135" s="268">
        <f t="shared" si="11"/>
        <v>1000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44978</v>
      </c>
      <c r="D136" s="196" t="s">
        <v>16</v>
      </c>
      <c r="E136" s="196" t="s">
        <v>907</v>
      </c>
      <c r="F136" s="222">
        <v>235</v>
      </c>
      <c r="G136" s="222">
        <v>215</v>
      </c>
      <c r="H136" s="222">
        <v>-20</v>
      </c>
      <c r="I136" s="218">
        <v>100</v>
      </c>
      <c r="J136" s="268">
        <f t="shared" si="11"/>
        <v>-2000</v>
      </c>
      <c r="K136" s="185"/>
      <c r="V136" s="183">
        <f t="shared" si="12"/>
        <v>0</v>
      </c>
      <c r="W136" s="183">
        <f t="shared" si="13"/>
        <v>1</v>
      </c>
    </row>
    <row r="137" spans="1:23" x14ac:dyDescent="0.3">
      <c r="A137" s="184"/>
      <c r="B137" s="194">
        <v>16</v>
      </c>
      <c r="C137" s="195">
        <v>44979</v>
      </c>
      <c r="D137" s="196" t="s">
        <v>16</v>
      </c>
      <c r="E137" s="196" t="s">
        <v>908</v>
      </c>
      <c r="F137" s="222">
        <v>213</v>
      </c>
      <c r="G137" s="274">
        <v>233</v>
      </c>
      <c r="H137" s="274">
        <f>233-213</f>
        <v>20</v>
      </c>
      <c r="I137" s="218">
        <v>100</v>
      </c>
      <c r="J137" s="268">
        <f t="shared" si="11"/>
        <v>2000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44980</v>
      </c>
      <c r="D138" s="196" t="s">
        <v>16</v>
      </c>
      <c r="E138" s="196" t="s">
        <v>915</v>
      </c>
      <c r="F138" s="222">
        <v>220</v>
      </c>
      <c r="G138" s="222">
        <v>200</v>
      </c>
      <c r="H138" s="274">
        <v>-20</v>
      </c>
      <c r="I138" s="218">
        <v>100</v>
      </c>
      <c r="J138" s="268">
        <f t="shared" si="11"/>
        <v>-2000</v>
      </c>
      <c r="K138" s="185"/>
      <c r="V138" s="183">
        <f t="shared" si="12"/>
        <v>0</v>
      </c>
      <c r="W138" s="183">
        <f t="shared" si="13"/>
        <v>1</v>
      </c>
    </row>
    <row r="139" spans="1:23" x14ac:dyDescent="0.3">
      <c r="A139" s="184"/>
      <c r="B139" s="194">
        <v>18</v>
      </c>
      <c r="C139" s="195">
        <v>44981</v>
      </c>
      <c r="D139" s="196" t="s">
        <v>16</v>
      </c>
      <c r="E139" s="196" t="s">
        <v>907</v>
      </c>
      <c r="F139" s="222">
        <v>225</v>
      </c>
      <c r="G139" s="222">
        <v>238</v>
      </c>
      <c r="H139" s="274">
        <f>238-225</f>
        <v>13</v>
      </c>
      <c r="I139" s="218">
        <v>100</v>
      </c>
      <c r="J139" s="268">
        <f t="shared" si="11"/>
        <v>1300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19</v>
      </c>
      <c r="C140" s="195">
        <v>44984</v>
      </c>
      <c r="D140" s="196" t="s">
        <v>16</v>
      </c>
      <c r="E140" s="196" t="s">
        <v>907</v>
      </c>
      <c r="F140" s="222">
        <v>190</v>
      </c>
      <c r="G140" s="222">
        <v>219.4</v>
      </c>
      <c r="H140" s="274">
        <f>219.4-190</f>
        <v>29.400000000000006</v>
      </c>
      <c r="I140" s="218">
        <v>100</v>
      </c>
      <c r="J140" s="268">
        <f t="shared" si="11"/>
        <v>2940.0000000000005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44985</v>
      </c>
      <c r="D141" s="196" t="s">
        <v>16</v>
      </c>
      <c r="E141" s="222" t="s">
        <v>907</v>
      </c>
      <c r="F141" s="222">
        <v>190</v>
      </c>
      <c r="G141" s="222">
        <v>197</v>
      </c>
      <c r="H141" s="274">
        <v>7</v>
      </c>
      <c r="I141" s="218">
        <v>100</v>
      </c>
      <c r="J141" s="268">
        <f t="shared" si="11"/>
        <v>700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/>
      <c r="D142" s="196"/>
      <c r="E142" s="222"/>
      <c r="F142" s="222"/>
      <c r="G142" s="222"/>
      <c r="H142" s="274"/>
      <c r="I142" s="218"/>
      <c r="J142" s="268">
        <f t="shared" si="11"/>
        <v>0</v>
      </c>
      <c r="K142" s="185"/>
      <c r="V142" s="183">
        <f t="shared" si="12"/>
        <v>0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04" t="s">
        <v>879</v>
      </c>
      <c r="C145" s="305"/>
      <c r="D145" s="305"/>
      <c r="E145" s="305"/>
      <c r="F145" s="305"/>
      <c r="G145" s="305"/>
      <c r="H145" s="306"/>
      <c r="I145" s="203" t="s">
        <v>880</v>
      </c>
      <c r="J145" s="204">
        <f>SUM(J122:J144)</f>
        <v>24240</v>
      </c>
      <c r="K145" s="185"/>
      <c r="V145" s="183">
        <f>SUM(V122:V144)</f>
        <v>16</v>
      </c>
      <c r="W145" s="183">
        <f>SUM(W122:W144)</f>
        <v>4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</mergeCells>
  <hyperlinks>
    <hyperlink ref="B52" r:id="rId1" xr:uid="{00000000-0004-0000-7A00-000000000000}"/>
    <hyperlink ref="B83" r:id="rId2" xr:uid="{00000000-0004-0000-7A00-000001000000}"/>
    <hyperlink ref="M4:M5" location="'FEB 2023'!A1" display="BULLION" xr:uid="{00000000-0004-0000-7A00-000002000000}"/>
    <hyperlink ref="B114" r:id="rId3" xr:uid="{00000000-0004-0000-7A00-000003000000}"/>
    <hyperlink ref="M8:M9" location="'FEB 2023'!A86" display="BASE METAL" xr:uid="{00000000-0004-0000-7A00-000004000000}"/>
    <hyperlink ref="M1" location="MASTER!A1" display="Back" xr:uid="{00000000-0004-0000-7A00-000005000000}"/>
    <hyperlink ref="M6:M7" location="'FEB 2023'!A55" display="ENERGY" xr:uid="{00000000-0004-0000-7A00-000006000000}"/>
    <hyperlink ref="B145" r:id="rId4" xr:uid="{00000000-0004-0000-7A00-000007000000}"/>
    <hyperlink ref="M10:M11" location="'FEB 2023'!A117" display="CRUDEOIL OPTION" xr:uid="{00000000-0004-0000-7A00-000008000000}"/>
  </hyperlinks>
  <pageMargins left="0" right="0" top="0" bottom="0" header="0" footer="0"/>
  <pageSetup paperSize="9" orientation="portrait" r:id="rId5"/>
  <drawing r:id="rId6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W146"/>
  <sheetViews>
    <sheetView topLeftCell="A127" zoomScaleNormal="100" workbookViewId="0">
      <selection activeCell="N118" sqref="N1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44986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33</v>
      </c>
      <c r="P4" s="369">
        <f>W52</f>
        <v>9</v>
      </c>
      <c r="Q4" s="349">
        <f>N4-O4-P4</f>
        <v>0</v>
      </c>
      <c r="R4" s="343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44986</v>
      </c>
      <c r="D6" s="192" t="s">
        <v>23</v>
      </c>
      <c r="E6" s="192" t="s">
        <v>24</v>
      </c>
      <c r="F6" s="193">
        <v>55770</v>
      </c>
      <c r="G6" s="193">
        <v>55710</v>
      </c>
      <c r="H6" s="192">
        <v>60</v>
      </c>
      <c r="I6" s="193">
        <v>100</v>
      </c>
      <c r="J6" s="267">
        <f>H6*I6</f>
        <v>6000</v>
      </c>
      <c r="K6" s="185"/>
      <c r="M6" s="364" t="s">
        <v>258</v>
      </c>
      <c r="N6" s="347">
        <f>COUNT(C60:C82)</f>
        <v>20</v>
      </c>
      <c r="O6" s="348">
        <f>V83</f>
        <v>18</v>
      </c>
      <c r="P6" s="348">
        <f>W83</f>
        <v>3</v>
      </c>
      <c r="Q6" s="349">
        <v>0</v>
      </c>
      <c r="R6" s="345">
        <f t="shared" ref="R6" si="0">O6/N6</f>
        <v>0.9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44986</v>
      </c>
      <c r="D7" s="196" t="s">
        <v>23</v>
      </c>
      <c r="E7" s="196" t="s">
        <v>22</v>
      </c>
      <c r="F7" s="197">
        <v>64800</v>
      </c>
      <c r="G7" s="197">
        <v>64500</v>
      </c>
      <c r="H7" s="196">
        <v>300</v>
      </c>
      <c r="I7" s="197">
        <v>30</v>
      </c>
      <c r="J7" s="268">
        <f t="shared" ref="J7:J51" si="1">H7*I7</f>
        <v>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44987</v>
      </c>
      <c r="D8" s="196" t="s">
        <v>23</v>
      </c>
      <c r="E8" s="196" t="s">
        <v>24</v>
      </c>
      <c r="F8" s="197">
        <v>55800</v>
      </c>
      <c r="G8" s="197">
        <v>55740</v>
      </c>
      <c r="H8" s="196">
        <f>55800-55740</f>
        <v>60</v>
      </c>
      <c r="I8" s="197">
        <v>100</v>
      </c>
      <c r="J8" s="268">
        <f t="shared" si="1"/>
        <v>6000</v>
      </c>
      <c r="K8" s="185"/>
      <c r="M8" s="362" t="s">
        <v>877</v>
      </c>
      <c r="N8" s="347">
        <f>COUNT(C91:C113)</f>
        <v>21</v>
      </c>
      <c r="O8" s="348">
        <f>V114</f>
        <v>19</v>
      </c>
      <c r="P8" s="348">
        <f>W114</f>
        <v>2</v>
      </c>
      <c r="Q8" s="349">
        <f>N8-O8-P8</f>
        <v>0</v>
      </c>
      <c r="R8" s="345">
        <f t="shared" ref="R8" si="4">O8/N8</f>
        <v>0.90476190476190477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44987</v>
      </c>
      <c r="D9" s="196" t="s">
        <v>23</v>
      </c>
      <c r="E9" s="196" t="s">
        <v>22</v>
      </c>
      <c r="F9" s="197">
        <v>64300</v>
      </c>
      <c r="G9" s="197">
        <v>64000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44988</v>
      </c>
      <c r="D10" s="196" t="s">
        <v>23</v>
      </c>
      <c r="E10" s="196" t="s">
        <v>24</v>
      </c>
      <c r="F10" s="197">
        <v>55820</v>
      </c>
      <c r="G10" s="197">
        <v>55750</v>
      </c>
      <c r="H10" s="196">
        <f>55820-55750</f>
        <v>70</v>
      </c>
      <c r="I10" s="197">
        <v>100</v>
      </c>
      <c r="J10" s="268">
        <f t="shared" si="1"/>
        <v>7000</v>
      </c>
      <c r="K10" s="185"/>
      <c r="M10" s="364" t="s">
        <v>906</v>
      </c>
      <c r="N10" s="347">
        <f>COUNT(C122:C144)</f>
        <v>21</v>
      </c>
      <c r="O10" s="348">
        <f>V145</f>
        <v>21</v>
      </c>
      <c r="P10" s="348">
        <f>W145</f>
        <v>0</v>
      </c>
      <c r="Q10" s="349">
        <f>N10-O10-P10</f>
        <v>0</v>
      </c>
      <c r="R10" s="345">
        <f>O10/N10</f>
        <v>1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44988</v>
      </c>
      <c r="D11" s="196" t="s">
        <v>23</v>
      </c>
      <c r="E11" s="196" t="s">
        <v>22</v>
      </c>
      <c r="F11" s="197">
        <v>64500</v>
      </c>
      <c r="G11" s="197">
        <v>64800</v>
      </c>
      <c r="H11" s="196">
        <v>-300</v>
      </c>
      <c r="I11" s="197">
        <v>30</v>
      </c>
      <c r="J11" s="268">
        <f t="shared" si="1"/>
        <v>-9000</v>
      </c>
      <c r="K11" s="185"/>
      <c r="M11" s="365"/>
      <c r="N11" s="347"/>
      <c r="O11" s="348"/>
      <c r="P11" s="348"/>
      <c r="Q11" s="350"/>
      <c r="R11" s="345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44991</v>
      </c>
      <c r="D12" s="196" t="s">
        <v>23</v>
      </c>
      <c r="E12" s="196" t="s">
        <v>24</v>
      </c>
      <c r="F12" s="197">
        <v>55870</v>
      </c>
      <c r="G12" s="197">
        <v>55970</v>
      </c>
      <c r="H12" s="196">
        <f>55970-55870</f>
        <v>100</v>
      </c>
      <c r="I12" s="197">
        <v>100</v>
      </c>
      <c r="J12" s="268">
        <f t="shared" si="1"/>
        <v>10000</v>
      </c>
      <c r="K12" s="185"/>
      <c r="M12" s="319" t="s">
        <v>300</v>
      </c>
      <c r="N12" s="371">
        <f>SUM(N4:N11)</f>
        <v>104</v>
      </c>
      <c r="O12" s="371">
        <f>SUM(O4:O11)</f>
        <v>91</v>
      </c>
      <c r="P12" s="371">
        <f>SUM(P4:P11)</f>
        <v>14</v>
      </c>
      <c r="Q12" s="371">
        <f>SUM(Q4:Q11)</f>
        <v>0</v>
      </c>
      <c r="R12" s="343">
        <f>O12/N12</f>
        <v>0.875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44991</v>
      </c>
      <c r="D13" s="196" t="s">
        <v>23</v>
      </c>
      <c r="E13" s="196" t="s">
        <v>22</v>
      </c>
      <c r="F13" s="197">
        <v>64550</v>
      </c>
      <c r="G13" s="197">
        <v>64850</v>
      </c>
      <c r="H13" s="196">
        <v>-300</v>
      </c>
      <c r="I13" s="197">
        <v>30</v>
      </c>
      <c r="J13" s="268">
        <f t="shared" si="1"/>
        <v>-9000</v>
      </c>
      <c r="K13" s="185"/>
      <c r="M13" s="320"/>
      <c r="N13" s="372"/>
      <c r="O13" s="372"/>
      <c r="P13" s="372"/>
      <c r="Q13" s="372"/>
      <c r="R13" s="344"/>
      <c r="V13" s="183">
        <f t="shared" si="2"/>
        <v>0</v>
      </c>
      <c r="W13" s="183">
        <f t="shared" si="3"/>
        <v>1</v>
      </c>
    </row>
    <row r="14" spans="1:23" x14ac:dyDescent="0.3">
      <c r="A14" s="184"/>
      <c r="B14" s="194">
        <v>9</v>
      </c>
      <c r="C14" s="195">
        <v>44993</v>
      </c>
      <c r="D14" s="196" t="s">
        <v>23</v>
      </c>
      <c r="E14" s="196" t="s">
        <v>24</v>
      </c>
      <c r="F14" s="197">
        <v>54970</v>
      </c>
      <c r="G14" s="197">
        <v>54920</v>
      </c>
      <c r="H14" s="196">
        <v>50</v>
      </c>
      <c r="I14" s="197">
        <v>100</v>
      </c>
      <c r="J14" s="268">
        <f t="shared" si="1"/>
        <v>5000</v>
      </c>
      <c r="K14" s="185"/>
      <c r="M14" s="323" t="s">
        <v>878</v>
      </c>
      <c r="N14" s="324"/>
      <c r="O14" s="325"/>
      <c r="P14" s="332">
        <f>R12</f>
        <v>0.875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44993</v>
      </c>
      <c r="D15" s="196" t="s">
        <v>23</v>
      </c>
      <c r="E15" s="196" t="s">
        <v>22</v>
      </c>
      <c r="F15" s="197">
        <v>61900</v>
      </c>
      <c r="G15" s="197">
        <v>61600</v>
      </c>
      <c r="H15" s="196">
        <v>-300</v>
      </c>
      <c r="I15" s="197">
        <v>30</v>
      </c>
      <c r="J15" s="268">
        <f t="shared" si="1"/>
        <v>-9000</v>
      </c>
      <c r="K15" s="185"/>
      <c r="M15" s="326"/>
      <c r="N15" s="327"/>
      <c r="O15" s="328"/>
      <c r="P15" s="335"/>
      <c r="Q15" s="336"/>
      <c r="R15" s="337"/>
      <c r="V15" s="183">
        <f t="shared" si="2"/>
        <v>0</v>
      </c>
      <c r="W15" s="183">
        <f t="shared" si="3"/>
        <v>1</v>
      </c>
    </row>
    <row r="16" spans="1:23" ht="15" thickBot="1" x14ac:dyDescent="0.35">
      <c r="A16" s="184"/>
      <c r="B16" s="194">
        <v>11</v>
      </c>
      <c r="C16" s="195">
        <v>44994</v>
      </c>
      <c r="D16" s="196" t="s">
        <v>23</v>
      </c>
      <c r="E16" s="196" t="s">
        <v>24</v>
      </c>
      <c r="F16" s="197">
        <v>54950</v>
      </c>
      <c r="G16" s="197">
        <v>55050</v>
      </c>
      <c r="H16" s="196">
        <v>-100</v>
      </c>
      <c r="I16" s="197">
        <v>100</v>
      </c>
      <c r="J16" s="268">
        <f t="shared" si="1"/>
        <v>-10000</v>
      </c>
      <c r="K16" s="185"/>
      <c r="M16" s="329"/>
      <c r="N16" s="330"/>
      <c r="O16" s="331"/>
      <c r="P16" s="338"/>
      <c r="Q16" s="339"/>
      <c r="R16" s="340"/>
      <c r="V16" s="183">
        <f t="shared" si="2"/>
        <v>0</v>
      </c>
      <c r="W16" s="183">
        <f t="shared" si="3"/>
        <v>1</v>
      </c>
    </row>
    <row r="17" spans="1:23" x14ac:dyDescent="0.3">
      <c r="A17" s="184"/>
      <c r="B17" s="194">
        <v>12</v>
      </c>
      <c r="C17" s="195">
        <v>44994</v>
      </c>
      <c r="D17" s="196" t="s">
        <v>23</v>
      </c>
      <c r="E17" s="196" t="s">
        <v>22</v>
      </c>
      <c r="F17" s="197">
        <v>61850</v>
      </c>
      <c r="G17" s="197">
        <v>62150</v>
      </c>
      <c r="H17" s="196">
        <f>62150-61850</f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44995</v>
      </c>
      <c r="D18" s="196" t="s">
        <v>23</v>
      </c>
      <c r="E18" s="196" t="s">
        <v>24</v>
      </c>
      <c r="F18" s="197">
        <v>55460</v>
      </c>
      <c r="G18" s="197">
        <v>55360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44995</v>
      </c>
      <c r="D19" s="196" t="s">
        <v>23</v>
      </c>
      <c r="E19" s="196" t="s">
        <v>22</v>
      </c>
      <c r="F19" s="197">
        <v>62000</v>
      </c>
      <c r="G19" s="197">
        <v>61800</v>
      </c>
      <c r="H19" s="196">
        <v>200</v>
      </c>
      <c r="I19" s="197">
        <v>30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44998</v>
      </c>
      <c r="D20" s="196" t="s">
        <v>23</v>
      </c>
      <c r="E20" s="196" t="s">
        <v>24</v>
      </c>
      <c r="F20" s="197">
        <v>57020</v>
      </c>
      <c r="G20" s="197">
        <v>56820</v>
      </c>
      <c r="H20" s="196">
        <v>200</v>
      </c>
      <c r="I20" s="197">
        <v>100</v>
      </c>
      <c r="J20" s="268">
        <f t="shared" si="1"/>
        <v>20000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44998</v>
      </c>
      <c r="D21" s="196" t="s">
        <v>23</v>
      </c>
      <c r="E21" s="196" t="s">
        <v>22</v>
      </c>
      <c r="F21" s="197">
        <v>64100</v>
      </c>
      <c r="G21" s="197">
        <v>63800</v>
      </c>
      <c r="H21" s="196">
        <v>300</v>
      </c>
      <c r="I21" s="197">
        <v>30</v>
      </c>
      <c r="J21" s="268">
        <f t="shared" si="1"/>
        <v>9000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44999</v>
      </c>
      <c r="D22" s="196" t="s">
        <v>23</v>
      </c>
      <c r="E22" s="196" t="s">
        <v>24</v>
      </c>
      <c r="F22" s="197">
        <v>57500</v>
      </c>
      <c r="G22" s="197">
        <v>57435</v>
      </c>
      <c r="H22" s="196">
        <f>57500-57435</f>
        <v>65</v>
      </c>
      <c r="I22" s="197">
        <v>100</v>
      </c>
      <c r="J22" s="268">
        <f t="shared" si="1"/>
        <v>6500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44999</v>
      </c>
      <c r="D23" s="196" t="s">
        <v>23</v>
      </c>
      <c r="E23" s="196" t="s">
        <v>22</v>
      </c>
      <c r="F23" s="197">
        <v>66450</v>
      </c>
      <c r="G23" s="197">
        <v>66150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45000</v>
      </c>
      <c r="D24" s="196" t="s">
        <v>23</v>
      </c>
      <c r="E24" s="196" t="s">
        <v>24</v>
      </c>
      <c r="F24" s="197">
        <v>57150</v>
      </c>
      <c r="G24" s="197">
        <v>57100</v>
      </c>
      <c r="H24" s="196">
        <v>50</v>
      </c>
      <c r="I24" s="197">
        <v>100</v>
      </c>
      <c r="J24" s="268">
        <f t="shared" si="1"/>
        <v>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45000</v>
      </c>
      <c r="D25" s="196" t="s">
        <v>23</v>
      </c>
      <c r="E25" s="196" t="s">
        <v>22</v>
      </c>
      <c r="F25" s="197">
        <v>66400</v>
      </c>
      <c r="G25" s="197">
        <v>66700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45001</v>
      </c>
      <c r="D26" s="196" t="s">
        <v>23</v>
      </c>
      <c r="E26" s="196" t="s">
        <v>24</v>
      </c>
      <c r="F26" s="197">
        <v>58200</v>
      </c>
      <c r="G26" s="197">
        <v>58140</v>
      </c>
      <c r="H26" s="196">
        <f>58200-58140</f>
        <v>60</v>
      </c>
      <c r="I26" s="197">
        <v>100</v>
      </c>
      <c r="J26" s="268">
        <f t="shared" si="1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45001</v>
      </c>
      <c r="D27" s="196" t="s">
        <v>23</v>
      </c>
      <c r="E27" s="196" t="s">
        <v>22</v>
      </c>
      <c r="F27" s="197">
        <v>67400</v>
      </c>
      <c r="G27" s="197">
        <v>67700</v>
      </c>
      <c r="H27" s="196">
        <v>-300</v>
      </c>
      <c r="I27" s="197">
        <v>30</v>
      </c>
      <c r="J27" s="268">
        <f t="shared" si="1"/>
        <v>-9000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45002</v>
      </c>
      <c r="D28" s="196" t="s">
        <v>23</v>
      </c>
      <c r="E28" s="196" t="s">
        <v>24</v>
      </c>
      <c r="F28" s="197">
        <v>58200</v>
      </c>
      <c r="G28" s="197">
        <v>58300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45002</v>
      </c>
      <c r="D29" s="196" t="s">
        <v>23</v>
      </c>
      <c r="E29" s="196" t="s">
        <v>22</v>
      </c>
      <c r="F29" s="197">
        <v>66250</v>
      </c>
      <c r="G29" s="197">
        <v>66080</v>
      </c>
      <c r="H29" s="196">
        <f>66250-66080</f>
        <v>170</v>
      </c>
      <c r="I29" s="197">
        <v>30</v>
      </c>
      <c r="J29" s="268">
        <f t="shared" si="1"/>
        <v>5100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45005</v>
      </c>
      <c r="D30" s="196" t="s">
        <v>23</v>
      </c>
      <c r="E30" s="196" t="s">
        <v>24</v>
      </c>
      <c r="F30" s="197">
        <v>60120</v>
      </c>
      <c r="G30" s="197">
        <v>59920</v>
      </c>
      <c r="H30" s="196">
        <f>60120-59920</f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45005</v>
      </c>
      <c r="D31" s="196" t="s">
        <v>23</v>
      </c>
      <c r="E31" s="196" t="s">
        <v>22</v>
      </c>
      <c r="F31" s="197">
        <v>69300</v>
      </c>
      <c r="G31" s="197">
        <v>68900</v>
      </c>
      <c r="H31" s="196">
        <v>400</v>
      </c>
      <c r="I31" s="197">
        <v>30</v>
      </c>
      <c r="J31" s="268">
        <f t="shared" si="1"/>
        <v>12000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45006</v>
      </c>
      <c r="D32" s="196" t="s">
        <v>23</v>
      </c>
      <c r="E32" s="196" t="s">
        <v>24</v>
      </c>
      <c r="F32" s="197">
        <v>59300</v>
      </c>
      <c r="G32" s="197">
        <v>59100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45006</v>
      </c>
      <c r="D33" s="196" t="s">
        <v>23</v>
      </c>
      <c r="E33" s="196" t="s">
        <v>22</v>
      </c>
      <c r="F33" s="197">
        <v>68900</v>
      </c>
      <c r="G33" s="197">
        <v>68500</v>
      </c>
      <c r="H33" s="196">
        <v>400</v>
      </c>
      <c r="I33" s="197">
        <v>30</v>
      </c>
      <c r="J33" s="268">
        <f t="shared" si="1"/>
        <v>12000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45007</v>
      </c>
      <c r="D34" s="196" t="s">
        <v>23</v>
      </c>
      <c r="E34" s="196" t="s">
        <v>24</v>
      </c>
      <c r="F34" s="197">
        <v>58600</v>
      </c>
      <c r="G34" s="197">
        <v>58490</v>
      </c>
      <c r="H34" s="196">
        <f>58600-58490</f>
        <v>110</v>
      </c>
      <c r="I34" s="197">
        <v>100</v>
      </c>
      <c r="J34" s="268">
        <f t="shared" si="1"/>
        <v>11000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45007</v>
      </c>
      <c r="D35" s="196" t="s">
        <v>23</v>
      </c>
      <c r="E35" s="196" t="s">
        <v>22</v>
      </c>
      <c r="F35" s="197">
        <v>68900</v>
      </c>
      <c r="G35" s="197">
        <v>68600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45008</v>
      </c>
      <c r="D36" s="196" t="s">
        <v>23</v>
      </c>
      <c r="E36" s="196" t="s">
        <v>24</v>
      </c>
      <c r="F36" s="197">
        <v>59300</v>
      </c>
      <c r="G36" s="197">
        <v>59100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45008</v>
      </c>
      <c r="D37" s="196" t="s">
        <v>23</v>
      </c>
      <c r="E37" s="196" t="s">
        <v>22</v>
      </c>
      <c r="F37" s="197">
        <v>69700</v>
      </c>
      <c r="G37" s="197">
        <v>69400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45009</v>
      </c>
      <c r="D38" s="196" t="s">
        <v>23</v>
      </c>
      <c r="E38" s="196" t="s">
        <v>24</v>
      </c>
      <c r="F38" s="197">
        <v>59870</v>
      </c>
      <c r="G38" s="197">
        <v>59670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45009</v>
      </c>
      <c r="D39" s="196" t="s">
        <v>23</v>
      </c>
      <c r="E39" s="196" t="s">
        <v>22</v>
      </c>
      <c r="F39" s="197">
        <v>70800</v>
      </c>
      <c r="G39" s="197">
        <v>70500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45012</v>
      </c>
      <c r="D40" s="196" t="s">
        <v>23</v>
      </c>
      <c r="E40" s="196" t="s">
        <v>24</v>
      </c>
      <c r="F40" s="197">
        <v>58980</v>
      </c>
      <c r="G40" s="197">
        <v>58780</v>
      </c>
      <c r="H40" s="196">
        <v>200</v>
      </c>
      <c r="I40" s="197">
        <v>100</v>
      </c>
      <c r="J40" s="268">
        <f t="shared" si="1"/>
        <v>20000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45012</v>
      </c>
      <c r="D41" s="196" t="s">
        <v>23</v>
      </c>
      <c r="E41" s="196" t="s">
        <v>22</v>
      </c>
      <c r="F41" s="197">
        <v>70200</v>
      </c>
      <c r="G41" s="197">
        <v>69751</v>
      </c>
      <c r="H41" s="196">
        <f>70200-69751</f>
        <v>449</v>
      </c>
      <c r="I41" s="197">
        <v>30</v>
      </c>
      <c r="J41" s="268">
        <f t="shared" si="1"/>
        <v>13470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45013</v>
      </c>
      <c r="D42" s="196" t="s">
        <v>23</v>
      </c>
      <c r="E42" s="196" t="s">
        <v>24</v>
      </c>
      <c r="F42" s="197">
        <v>58670</v>
      </c>
      <c r="G42" s="197">
        <v>58770</v>
      </c>
      <c r="H42" s="196">
        <v>-100</v>
      </c>
      <c r="I42" s="197">
        <v>100</v>
      </c>
      <c r="J42" s="268">
        <f t="shared" si="1"/>
        <v>-10000</v>
      </c>
      <c r="K42" s="185"/>
      <c r="V42" s="183">
        <f t="shared" si="2"/>
        <v>0</v>
      </c>
      <c r="W42" s="183">
        <f t="shared" si="3"/>
        <v>1</v>
      </c>
    </row>
    <row r="43" spans="1:23" x14ac:dyDescent="0.3">
      <c r="A43" s="184"/>
      <c r="B43" s="194">
        <v>38</v>
      </c>
      <c r="C43" s="195">
        <v>45013</v>
      </c>
      <c r="D43" s="196" t="s">
        <v>23</v>
      </c>
      <c r="E43" s="196" t="s">
        <v>22</v>
      </c>
      <c r="F43" s="197">
        <v>69700</v>
      </c>
      <c r="G43" s="197">
        <v>70000</v>
      </c>
      <c r="H43" s="196">
        <v>-300</v>
      </c>
      <c r="I43" s="197">
        <v>30</v>
      </c>
      <c r="J43" s="268">
        <f t="shared" si="1"/>
        <v>-9000</v>
      </c>
      <c r="K43" s="185"/>
      <c r="V43" s="183">
        <f t="shared" si="2"/>
        <v>0</v>
      </c>
      <c r="W43" s="183">
        <f t="shared" si="3"/>
        <v>1</v>
      </c>
    </row>
    <row r="44" spans="1:23" x14ac:dyDescent="0.3">
      <c r="A44" s="184"/>
      <c r="B44" s="194">
        <v>39</v>
      </c>
      <c r="C44" s="195">
        <v>45014</v>
      </c>
      <c r="D44" s="196" t="s">
        <v>23</v>
      </c>
      <c r="E44" s="196" t="s">
        <v>24</v>
      </c>
      <c r="F44" s="197">
        <v>58990</v>
      </c>
      <c r="G44" s="197">
        <v>58900</v>
      </c>
      <c r="H44" s="196">
        <v>90</v>
      </c>
      <c r="I44" s="197">
        <v>100</v>
      </c>
      <c r="J44" s="268">
        <f t="shared" si="1"/>
        <v>9000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45014</v>
      </c>
      <c r="D45" s="196" t="s">
        <v>23</v>
      </c>
      <c r="E45" s="196" t="s">
        <v>22</v>
      </c>
      <c r="F45" s="197">
        <v>70700</v>
      </c>
      <c r="G45" s="197">
        <v>70300</v>
      </c>
      <c r="H45" s="196">
        <v>400</v>
      </c>
      <c r="I45" s="197">
        <v>30</v>
      </c>
      <c r="J45" s="268">
        <f t="shared" si="1"/>
        <v>12000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45016</v>
      </c>
      <c r="D46" s="196" t="s">
        <v>23</v>
      </c>
      <c r="E46" s="196" t="s">
        <v>24</v>
      </c>
      <c r="F46" s="197">
        <v>58890</v>
      </c>
      <c r="G46" s="197">
        <v>59820</v>
      </c>
      <c r="H46" s="196">
        <f>58890-58820</f>
        <v>70</v>
      </c>
      <c r="I46" s="197">
        <v>100</v>
      </c>
      <c r="J46" s="268">
        <f t="shared" si="1"/>
        <v>7000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45016</v>
      </c>
      <c r="D47" s="196" t="s">
        <v>23</v>
      </c>
      <c r="E47" s="196" t="s">
        <v>22</v>
      </c>
      <c r="F47" s="197">
        <v>72000</v>
      </c>
      <c r="G47" s="197">
        <v>71860</v>
      </c>
      <c r="H47" s="196">
        <f>72000-71860</f>
        <v>140</v>
      </c>
      <c r="I47" s="197">
        <v>30</v>
      </c>
      <c r="J47" s="268">
        <f t="shared" si="1"/>
        <v>4200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261270</v>
      </c>
      <c r="K52" s="185"/>
      <c r="V52" s="183">
        <f>SUM(V6:V51)</f>
        <v>33</v>
      </c>
      <c r="W52" s="183">
        <f>SUM(W6:W51)</f>
        <v>9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44986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44986</v>
      </c>
      <c r="D60" s="192" t="s">
        <v>23</v>
      </c>
      <c r="E60" s="192" t="s">
        <v>25</v>
      </c>
      <c r="F60" s="193">
        <v>6350</v>
      </c>
      <c r="G60" s="193">
        <v>6320</v>
      </c>
      <c r="H60" s="192">
        <v>30</v>
      </c>
      <c r="I60" s="193">
        <v>100</v>
      </c>
      <c r="J60" s="267">
        <f t="shared" ref="J60:J82" si="5">I60*H60</f>
        <v>3000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44987</v>
      </c>
      <c r="D61" s="196" t="s">
        <v>23</v>
      </c>
      <c r="E61" s="196" t="s">
        <v>25</v>
      </c>
      <c r="F61" s="197">
        <v>6470</v>
      </c>
      <c r="G61" s="197">
        <v>6442</v>
      </c>
      <c r="H61" s="196">
        <f>6470-6442</f>
        <v>28</v>
      </c>
      <c r="I61" s="197">
        <v>100</v>
      </c>
      <c r="J61" s="268">
        <f t="shared" si="5"/>
        <v>2800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44988</v>
      </c>
      <c r="D62" s="196" t="s">
        <v>23</v>
      </c>
      <c r="E62" s="196" t="s">
        <v>25</v>
      </c>
      <c r="F62" s="197">
        <v>6410</v>
      </c>
      <c r="G62" s="197">
        <v>6345</v>
      </c>
      <c r="H62" s="196">
        <f>6410-6345</f>
        <v>65</v>
      </c>
      <c r="I62" s="197">
        <v>100</v>
      </c>
      <c r="J62" s="268">
        <f t="shared" si="5"/>
        <v>6500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44991</v>
      </c>
      <c r="D63" s="196" t="s">
        <v>23</v>
      </c>
      <c r="E63" s="196" t="s">
        <v>25</v>
      </c>
      <c r="F63" s="197">
        <v>6480</v>
      </c>
      <c r="G63" s="197">
        <v>6441</v>
      </c>
      <c r="H63" s="196">
        <f>6480-6441</f>
        <v>39</v>
      </c>
      <c r="I63" s="197">
        <v>100</v>
      </c>
      <c r="J63" s="268">
        <f t="shared" si="5"/>
        <v>3900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44993</v>
      </c>
      <c r="D64" s="196" t="s">
        <v>23</v>
      </c>
      <c r="E64" s="196" t="s">
        <v>25</v>
      </c>
      <c r="F64" s="197">
        <v>6360</v>
      </c>
      <c r="G64" s="197">
        <v>6320</v>
      </c>
      <c r="H64" s="196">
        <v>40</v>
      </c>
      <c r="I64" s="197">
        <v>100</v>
      </c>
      <c r="J64" s="268">
        <f t="shared" si="5"/>
        <v>4000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44994</v>
      </c>
      <c r="D65" s="196" t="s">
        <v>23</v>
      </c>
      <c r="E65" s="196" t="s">
        <v>25</v>
      </c>
      <c r="F65" s="197">
        <v>6290</v>
      </c>
      <c r="G65" s="197">
        <v>6260</v>
      </c>
      <c r="H65" s="196">
        <v>30</v>
      </c>
      <c r="I65" s="197">
        <v>100</v>
      </c>
      <c r="J65" s="268">
        <f t="shared" si="5"/>
        <v>3000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44995</v>
      </c>
      <c r="D66" s="196" t="s">
        <v>23</v>
      </c>
      <c r="E66" s="196" t="s">
        <v>25</v>
      </c>
      <c r="F66" s="222">
        <v>6195</v>
      </c>
      <c r="G66" s="222">
        <v>6178</v>
      </c>
      <c r="H66" s="196">
        <f>6195-6178</f>
        <v>17</v>
      </c>
      <c r="I66" s="197">
        <v>100</v>
      </c>
      <c r="J66" s="268">
        <f t="shared" si="5"/>
        <v>1700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44998</v>
      </c>
      <c r="D67" s="196" t="s">
        <v>23</v>
      </c>
      <c r="E67" s="196" t="s">
        <v>25</v>
      </c>
      <c r="F67" s="197">
        <v>6220</v>
      </c>
      <c r="G67" s="197">
        <v>6150</v>
      </c>
      <c r="H67" s="196">
        <f>6220-6150</f>
        <v>70</v>
      </c>
      <c r="I67" s="197">
        <v>100</v>
      </c>
      <c r="J67" s="268">
        <f t="shared" si="5"/>
        <v>7000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44999</v>
      </c>
      <c r="D68" s="196" t="s">
        <v>23</v>
      </c>
      <c r="E68" s="196" t="s">
        <v>25</v>
      </c>
      <c r="F68" s="197">
        <v>6040</v>
      </c>
      <c r="G68" s="197">
        <v>6015</v>
      </c>
      <c r="H68" s="196">
        <f>6040-6015</f>
        <v>25</v>
      </c>
      <c r="I68" s="197">
        <v>100</v>
      </c>
      <c r="J68" s="268">
        <f t="shared" si="5"/>
        <v>2500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45000</v>
      </c>
      <c r="D69" s="196" t="s">
        <v>23</v>
      </c>
      <c r="E69" s="196" t="s">
        <v>25</v>
      </c>
      <c r="F69" s="197">
        <v>5980</v>
      </c>
      <c r="G69" s="197">
        <v>5910</v>
      </c>
      <c r="H69" s="196">
        <f>5980-5910</f>
        <v>70</v>
      </c>
      <c r="I69" s="197">
        <v>100</v>
      </c>
      <c r="J69" s="268">
        <f t="shared" si="5"/>
        <v>7000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45001</v>
      </c>
      <c r="D70" s="196" t="s">
        <v>23</v>
      </c>
      <c r="E70" s="196" t="s">
        <v>25</v>
      </c>
      <c r="F70" s="197">
        <v>5630</v>
      </c>
      <c r="G70" s="197">
        <v>5670</v>
      </c>
      <c r="H70" s="196">
        <v>-40</v>
      </c>
      <c r="I70" s="197">
        <v>100</v>
      </c>
      <c r="J70" s="268">
        <f t="shared" si="5"/>
        <v>-4000</v>
      </c>
      <c r="K70" s="185"/>
      <c r="V70" s="183">
        <f t="shared" si="6"/>
        <v>0</v>
      </c>
      <c r="W70" s="183">
        <f t="shared" si="7"/>
        <v>1</v>
      </c>
    </row>
    <row r="71" spans="1:23" x14ac:dyDescent="0.3">
      <c r="A71" s="184"/>
      <c r="B71" s="194">
        <v>12</v>
      </c>
      <c r="C71" s="195">
        <v>45002</v>
      </c>
      <c r="D71" s="196" t="s">
        <v>23</v>
      </c>
      <c r="E71" s="196" t="s">
        <v>25</v>
      </c>
      <c r="F71" s="197">
        <v>5680</v>
      </c>
      <c r="G71" s="197">
        <v>5610</v>
      </c>
      <c r="H71" s="196">
        <v>70</v>
      </c>
      <c r="I71" s="197">
        <v>100</v>
      </c>
      <c r="J71" s="268">
        <f t="shared" si="5"/>
        <v>7000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45005</v>
      </c>
      <c r="D72" s="196" t="s">
        <v>23</v>
      </c>
      <c r="E72" s="196" t="s">
        <v>25</v>
      </c>
      <c r="F72" s="197">
        <v>5440</v>
      </c>
      <c r="G72" s="197">
        <v>5398</v>
      </c>
      <c r="H72" s="196">
        <f>5440-5398</f>
        <v>42</v>
      </c>
      <c r="I72" s="197">
        <v>100</v>
      </c>
      <c r="J72" s="268">
        <f t="shared" si="5"/>
        <v>4200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45006</v>
      </c>
      <c r="D73" s="196" t="s">
        <v>23</v>
      </c>
      <c r="E73" s="196" t="s">
        <v>25</v>
      </c>
      <c r="F73" s="197">
        <v>5700</v>
      </c>
      <c r="G73" s="197">
        <v>5647</v>
      </c>
      <c r="H73" s="196">
        <f>5700-5647</f>
        <v>53</v>
      </c>
      <c r="I73" s="197">
        <v>100</v>
      </c>
      <c r="J73" s="268">
        <f t="shared" si="5"/>
        <v>5300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45007</v>
      </c>
      <c r="D74" s="196" t="s">
        <v>23</v>
      </c>
      <c r="E74" s="196" t="s">
        <v>25</v>
      </c>
      <c r="F74" s="197">
        <v>5750</v>
      </c>
      <c r="G74" s="197">
        <v>5725</v>
      </c>
      <c r="H74" s="196">
        <v>25</v>
      </c>
      <c r="I74" s="197">
        <v>100</v>
      </c>
      <c r="J74" s="268">
        <f t="shared" si="5"/>
        <v>2500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45008</v>
      </c>
      <c r="D75" s="196" t="s">
        <v>23</v>
      </c>
      <c r="E75" s="196" t="s">
        <v>25</v>
      </c>
      <c r="F75" s="197">
        <v>5800</v>
      </c>
      <c r="G75" s="197">
        <v>5771</v>
      </c>
      <c r="H75" s="196">
        <f>5800-5771</f>
        <v>29</v>
      </c>
      <c r="I75" s="197">
        <v>100</v>
      </c>
      <c r="J75" s="268">
        <f t="shared" si="5"/>
        <v>2900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45009</v>
      </c>
      <c r="D76" s="196" t="s">
        <v>23</v>
      </c>
      <c r="E76" s="196" t="s">
        <v>25</v>
      </c>
      <c r="F76" s="197">
        <v>5560</v>
      </c>
      <c r="G76" s="197">
        <v>5600</v>
      </c>
      <c r="H76" s="196">
        <v>-40</v>
      </c>
      <c r="I76" s="197">
        <v>100</v>
      </c>
      <c r="J76" s="268">
        <f t="shared" si="5"/>
        <v>-4000</v>
      </c>
      <c r="K76" s="185"/>
      <c r="V76" s="183">
        <f t="shared" si="6"/>
        <v>0</v>
      </c>
      <c r="W76" s="183">
        <f t="shared" si="7"/>
        <v>1</v>
      </c>
    </row>
    <row r="77" spans="1:23" x14ac:dyDescent="0.3">
      <c r="A77" s="255"/>
      <c r="B77" s="194">
        <v>18</v>
      </c>
      <c r="C77" s="195">
        <v>45012</v>
      </c>
      <c r="D77" s="196" t="s">
        <v>23</v>
      </c>
      <c r="E77" s="196" t="s">
        <v>25</v>
      </c>
      <c r="F77" s="197">
        <v>5760</v>
      </c>
      <c r="G77" s="197">
        <v>5736</v>
      </c>
      <c r="H77" s="196">
        <f>5760-5736</f>
        <v>24</v>
      </c>
      <c r="I77" s="197">
        <v>100</v>
      </c>
      <c r="J77" s="268">
        <f t="shared" si="5"/>
        <v>2400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45013</v>
      </c>
      <c r="D78" s="196" t="s">
        <v>23</v>
      </c>
      <c r="E78" s="196" t="s">
        <v>25</v>
      </c>
      <c r="F78" s="197">
        <v>6030</v>
      </c>
      <c r="G78" s="197">
        <v>5960</v>
      </c>
      <c r="H78" s="196">
        <f>6030-5960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45014</v>
      </c>
      <c r="D79" s="196" t="s">
        <v>23</v>
      </c>
      <c r="E79" s="196" t="s">
        <v>25</v>
      </c>
      <c r="F79" s="197">
        <v>6105</v>
      </c>
      <c r="G79" s="197">
        <v>6035</v>
      </c>
      <c r="H79" s="196">
        <f>6105-6035</f>
        <v>70</v>
      </c>
      <c r="I79" s="197">
        <v>100</v>
      </c>
      <c r="J79" s="268">
        <f t="shared" si="5"/>
        <v>7000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 t="s">
        <v>920</v>
      </c>
      <c r="D80" s="196" t="s">
        <v>23</v>
      </c>
      <c r="E80" s="196" t="s">
        <v>25</v>
      </c>
      <c r="F80" s="197">
        <v>6125</v>
      </c>
      <c r="G80" s="197">
        <v>6165</v>
      </c>
      <c r="H80" s="196">
        <v>-40</v>
      </c>
      <c r="I80" s="197">
        <v>100</v>
      </c>
      <c r="J80" s="268">
        <f t="shared" si="5"/>
        <v>-4000</v>
      </c>
      <c r="K80" s="185"/>
      <c r="V80" s="183">
        <f t="shared" si="6"/>
        <v>0</v>
      </c>
      <c r="W80" s="183">
        <f t="shared" si="7"/>
        <v>1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67700</v>
      </c>
      <c r="K83" s="185"/>
      <c r="V83" s="183">
        <f>SUM(V60:V82)</f>
        <v>18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44986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44986</v>
      </c>
      <c r="D91" s="216" t="s">
        <v>23</v>
      </c>
      <c r="E91" s="256" t="s">
        <v>28</v>
      </c>
      <c r="F91" s="256">
        <v>272.2</v>
      </c>
      <c r="G91" s="256">
        <v>271.64999999999998</v>
      </c>
      <c r="H91" s="256">
        <f>272.2-271.65</f>
        <v>0.55000000000001137</v>
      </c>
      <c r="I91" s="218">
        <v>5000</v>
      </c>
      <c r="J91" s="273">
        <f>I91*H91</f>
        <v>2750.0000000000568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44987</v>
      </c>
      <c r="D92" s="196" t="s">
        <v>23</v>
      </c>
      <c r="E92" s="222" t="s">
        <v>28</v>
      </c>
      <c r="F92" s="222">
        <v>275.5</v>
      </c>
      <c r="G92" s="222">
        <v>273.5</v>
      </c>
      <c r="H92" s="222">
        <v>2</v>
      </c>
      <c r="I92" s="197">
        <v>5000</v>
      </c>
      <c r="J92" s="268">
        <f t="shared" ref="J92:J111" si="8">I92*H92</f>
        <v>10000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44988</v>
      </c>
      <c r="D93" s="196" t="s">
        <v>23</v>
      </c>
      <c r="E93" s="222" t="s">
        <v>28</v>
      </c>
      <c r="F93" s="222">
        <v>269.39999999999998</v>
      </c>
      <c r="G93" s="222">
        <v>268.60000000000002</v>
      </c>
      <c r="H93" s="222">
        <f>269.4-268.6</f>
        <v>0.79999999999995453</v>
      </c>
      <c r="I93" s="197">
        <v>5000</v>
      </c>
      <c r="J93" s="268">
        <f t="shared" si="8"/>
        <v>3999.9999999997726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44991</v>
      </c>
      <c r="D94" s="196" t="s">
        <v>23</v>
      </c>
      <c r="E94" s="222" t="s">
        <v>28</v>
      </c>
      <c r="F94" s="222">
        <v>268</v>
      </c>
      <c r="G94" s="222">
        <v>267.5</v>
      </c>
      <c r="H94" s="222">
        <v>0.5</v>
      </c>
      <c r="I94" s="197">
        <v>5000</v>
      </c>
      <c r="J94" s="268">
        <f t="shared" si="8"/>
        <v>2500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44993</v>
      </c>
      <c r="D95" s="196" t="s">
        <v>23</v>
      </c>
      <c r="E95" s="222" t="s">
        <v>28</v>
      </c>
      <c r="F95" s="222">
        <v>262.60000000000002</v>
      </c>
      <c r="G95" s="222">
        <v>260.5</v>
      </c>
      <c r="H95" s="222">
        <v>2</v>
      </c>
      <c r="I95" s="197">
        <v>5000</v>
      </c>
      <c r="J95" s="268">
        <f t="shared" si="8"/>
        <v>10000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44994</v>
      </c>
      <c r="D96" s="196" t="s">
        <v>23</v>
      </c>
      <c r="E96" s="222" t="s">
        <v>28</v>
      </c>
      <c r="F96" s="222">
        <v>262.2</v>
      </c>
      <c r="G96" s="222">
        <v>263.2</v>
      </c>
      <c r="H96" s="222">
        <v>-1</v>
      </c>
      <c r="I96" s="197">
        <v>5000</v>
      </c>
      <c r="J96" s="268">
        <f t="shared" si="8"/>
        <v>-5000</v>
      </c>
      <c r="K96" s="185"/>
      <c r="V96" s="183">
        <f t="shared" si="9"/>
        <v>0</v>
      </c>
      <c r="W96" s="183">
        <f t="shared" si="10"/>
        <v>1</v>
      </c>
    </row>
    <row r="97" spans="1:23" x14ac:dyDescent="0.3">
      <c r="A97" s="184"/>
      <c r="B97" s="194">
        <v>7</v>
      </c>
      <c r="C97" s="195">
        <v>44995</v>
      </c>
      <c r="D97" s="196" t="s">
        <v>23</v>
      </c>
      <c r="E97" s="222" t="s">
        <v>28</v>
      </c>
      <c r="F97" s="222">
        <v>260.10000000000002</v>
      </c>
      <c r="G97" s="222">
        <v>259.39999999999998</v>
      </c>
      <c r="H97" s="274">
        <f>260.1-259.4</f>
        <v>0.70000000000004547</v>
      </c>
      <c r="I97" s="197">
        <v>5000</v>
      </c>
      <c r="J97" s="268">
        <f t="shared" si="8"/>
        <v>3500.0000000002274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44998</v>
      </c>
      <c r="D98" s="196" t="s">
        <v>23</v>
      </c>
      <c r="E98" s="222" t="s">
        <v>28</v>
      </c>
      <c r="F98" s="222">
        <v>259.10000000000002</v>
      </c>
      <c r="G98" s="222">
        <v>257.10000000000002</v>
      </c>
      <c r="H98" s="222">
        <v>2</v>
      </c>
      <c r="I98" s="197">
        <v>5000</v>
      </c>
      <c r="J98" s="268">
        <f t="shared" si="8"/>
        <v>10000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44999</v>
      </c>
      <c r="D99" s="196" t="s">
        <v>23</v>
      </c>
      <c r="E99" s="222" t="s">
        <v>28</v>
      </c>
      <c r="F99" s="222">
        <v>261.39999999999998</v>
      </c>
      <c r="G99" s="222">
        <v>261</v>
      </c>
      <c r="H99" s="222">
        <v>0.4</v>
      </c>
      <c r="I99" s="197">
        <v>5000</v>
      </c>
      <c r="J99" s="268">
        <f t="shared" si="8"/>
        <v>2000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45000</v>
      </c>
      <c r="D100" s="196" t="s">
        <v>23</v>
      </c>
      <c r="E100" s="222" t="s">
        <v>28</v>
      </c>
      <c r="F100" s="222">
        <v>260.2</v>
      </c>
      <c r="G100" s="222">
        <v>258.2</v>
      </c>
      <c r="H100" s="222">
        <v>2</v>
      </c>
      <c r="I100" s="197">
        <v>5000</v>
      </c>
      <c r="J100" s="268">
        <f t="shared" si="8"/>
        <v>10000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45001</v>
      </c>
      <c r="D101" s="196" t="s">
        <v>23</v>
      </c>
      <c r="E101" s="222" t="s">
        <v>28</v>
      </c>
      <c r="F101" s="222">
        <v>255</v>
      </c>
      <c r="G101" s="222">
        <v>253.6</v>
      </c>
      <c r="H101" s="274">
        <f>255-253.6</f>
        <v>1.4000000000000057</v>
      </c>
      <c r="I101" s="197">
        <v>5000</v>
      </c>
      <c r="J101" s="268">
        <f t="shared" si="8"/>
        <v>7000.0000000000282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45002</v>
      </c>
      <c r="D102" s="196" t="s">
        <v>23</v>
      </c>
      <c r="E102" s="222" t="s">
        <v>28</v>
      </c>
      <c r="F102" s="222">
        <v>258</v>
      </c>
      <c r="G102" s="222">
        <v>257.5</v>
      </c>
      <c r="H102" s="274">
        <v>0.5</v>
      </c>
      <c r="I102" s="197">
        <v>5000</v>
      </c>
      <c r="J102" s="268">
        <f t="shared" si="8"/>
        <v>2500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45005</v>
      </c>
      <c r="D103" s="196" t="s">
        <v>23</v>
      </c>
      <c r="E103" s="222" t="s">
        <v>28</v>
      </c>
      <c r="F103" s="222">
        <v>255.5</v>
      </c>
      <c r="G103" s="222">
        <v>256.5</v>
      </c>
      <c r="H103" s="274">
        <v>-1</v>
      </c>
      <c r="I103" s="197">
        <v>5000</v>
      </c>
      <c r="J103" s="268">
        <f t="shared" si="8"/>
        <v>-5000</v>
      </c>
      <c r="K103" s="185"/>
      <c r="V103" s="183">
        <f t="shared" si="9"/>
        <v>0</v>
      </c>
      <c r="W103" s="183">
        <f t="shared" si="10"/>
        <v>1</v>
      </c>
    </row>
    <row r="104" spans="1:23" x14ac:dyDescent="0.3">
      <c r="A104" s="184"/>
      <c r="B104" s="194">
        <v>14</v>
      </c>
      <c r="C104" s="195">
        <v>45006</v>
      </c>
      <c r="D104" s="196" t="s">
        <v>23</v>
      </c>
      <c r="E104" s="222" t="s">
        <v>28</v>
      </c>
      <c r="F104" s="222">
        <v>257</v>
      </c>
      <c r="G104" s="222">
        <v>256</v>
      </c>
      <c r="H104" s="274">
        <v>1</v>
      </c>
      <c r="I104" s="197">
        <v>5000</v>
      </c>
      <c r="J104" s="268">
        <f t="shared" si="8"/>
        <v>5000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45007</v>
      </c>
      <c r="D105" s="196" t="s">
        <v>23</v>
      </c>
      <c r="E105" s="196" t="s">
        <v>28</v>
      </c>
      <c r="F105" s="222">
        <v>254.4</v>
      </c>
      <c r="G105" s="222">
        <v>254.2</v>
      </c>
      <c r="H105" s="222">
        <f>254.4-254.2</f>
        <v>0.20000000000001705</v>
      </c>
      <c r="I105" s="197">
        <v>5000</v>
      </c>
      <c r="J105" s="268">
        <f t="shared" si="8"/>
        <v>1000.0000000000853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45008</v>
      </c>
      <c r="D106" s="196" t="s">
        <v>23</v>
      </c>
      <c r="E106" s="196" t="s">
        <v>28</v>
      </c>
      <c r="F106" s="222">
        <v>253.3</v>
      </c>
      <c r="G106" s="274">
        <v>253</v>
      </c>
      <c r="H106" s="274">
        <v>0.3</v>
      </c>
      <c r="I106" s="197">
        <v>5000</v>
      </c>
      <c r="J106" s="268">
        <f t="shared" si="8"/>
        <v>1500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45009</v>
      </c>
      <c r="D107" s="196" t="s">
        <v>23</v>
      </c>
      <c r="E107" s="196" t="s">
        <v>28</v>
      </c>
      <c r="F107" s="222">
        <v>255.2</v>
      </c>
      <c r="G107" s="222">
        <v>254.7</v>
      </c>
      <c r="H107" s="274">
        <f>255.2-254.7</f>
        <v>0.5</v>
      </c>
      <c r="I107" s="197">
        <v>5000</v>
      </c>
      <c r="J107" s="268">
        <f t="shared" si="8"/>
        <v>2500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45012</v>
      </c>
      <c r="D108" s="196" t="s">
        <v>23</v>
      </c>
      <c r="E108" s="196" t="s">
        <v>28</v>
      </c>
      <c r="F108" s="222">
        <v>254.6</v>
      </c>
      <c r="G108" s="222">
        <v>254.2</v>
      </c>
      <c r="H108" s="274">
        <f>254.6-254.2</f>
        <v>0.40000000000000568</v>
      </c>
      <c r="I108" s="197">
        <v>5000</v>
      </c>
      <c r="J108" s="268">
        <f t="shared" si="8"/>
        <v>2000.0000000000284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45013</v>
      </c>
      <c r="D109" s="196" t="s">
        <v>23</v>
      </c>
      <c r="E109" s="196" t="s">
        <v>28</v>
      </c>
      <c r="F109" s="222">
        <v>256.10000000000002</v>
      </c>
      <c r="G109" s="222">
        <v>255.6</v>
      </c>
      <c r="H109" s="274">
        <v>0.5</v>
      </c>
      <c r="I109" s="197">
        <v>5000</v>
      </c>
      <c r="J109" s="268">
        <f t="shared" si="8"/>
        <v>2500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>
        <v>45014</v>
      </c>
      <c r="D110" s="196" t="s">
        <v>23</v>
      </c>
      <c r="E110" s="222" t="s">
        <v>28</v>
      </c>
      <c r="F110" s="222">
        <v>260.5</v>
      </c>
      <c r="G110" s="222">
        <v>260</v>
      </c>
      <c r="H110" s="274">
        <v>0.5</v>
      </c>
      <c r="I110" s="197">
        <v>5000</v>
      </c>
      <c r="J110" s="268">
        <f t="shared" si="8"/>
        <v>2500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>
        <v>45016</v>
      </c>
      <c r="D111" s="196" t="s">
        <v>23</v>
      </c>
      <c r="E111" s="222" t="s">
        <v>28</v>
      </c>
      <c r="F111" s="222">
        <v>254.8</v>
      </c>
      <c r="G111" s="222">
        <v>253.8</v>
      </c>
      <c r="H111" s="274">
        <v>1</v>
      </c>
      <c r="I111" s="197">
        <v>5000</v>
      </c>
      <c r="J111" s="268">
        <f t="shared" si="8"/>
        <v>5000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76250.000000000204</v>
      </c>
      <c r="K114" s="185"/>
      <c r="V114" s="183">
        <f>SUM(V91:V113)</f>
        <v>19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07" t="s">
        <v>873</v>
      </c>
      <c r="C118" s="308"/>
      <c r="D118" s="308"/>
      <c r="E118" s="308"/>
      <c r="F118" s="308"/>
      <c r="G118" s="308"/>
      <c r="H118" s="308"/>
      <c r="I118" s="308"/>
      <c r="J118" s="309"/>
      <c r="K118" s="185"/>
    </row>
    <row r="119" spans="1:23" ht="16.2" thickBot="1" x14ac:dyDescent="0.35">
      <c r="A119" s="184"/>
      <c r="B119" s="310">
        <v>44986</v>
      </c>
      <c r="C119" s="311"/>
      <c r="D119" s="311"/>
      <c r="E119" s="311"/>
      <c r="F119" s="311"/>
      <c r="G119" s="311"/>
      <c r="H119" s="311"/>
      <c r="I119" s="311"/>
      <c r="J119" s="312"/>
      <c r="K119" s="185"/>
    </row>
    <row r="120" spans="1:23" ht="16.2" thickBot="1" x14ac:dyDescent="0.35">
      <c r="A120" s="184"/>
      <c r="B120" s="313" t="s">
        <v>905</v>
      </c>
      <c r="C120" s="314"/>
      <c r="D120" s="314"/>
      <c r="E120" s="314"/>
      <c r="F120" s="314"/>
      <c r="G120" s="314"/>
      <c r="H120" s="314"/>
      <c r="I120" s="314"/>
      <c r="J120" s="315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44986</v>
      </c>
      <c r="D122" s="216" t="s">
        <v>16</v>
      </c>
      <c r="E122" s="256" t="s">
        <v>907</v>
      </c>
      <c r="F122" s="256">
        <v>180</v>
      </c>
      <c r="G122" s="256">
        <v>199.3</v>
      </c>
      <c r="H122" s="256">
        <f>199.3-180</f>
        <v>19.300000000000011</v>
      </c>
      <c r="I122" s="218">
        <v>100</v>
      </c>
      <c r="J122" s="273">
        <f>I122*H122</f>
        <v>1930.0000000000011</v>
      </c>
      <c r="K122" s="185"/>
      <c r="V122" s="183">
        <f>IF($J122&gt;0,1,0)</f>
        <v>1</v>
      </c>
      <c r="W122" s="183">
        <f>IF($J122&lt;0,1,0)</f>
        <v>0</v>
      </c>
    </row>
    <row r="123" spans="1:23" x14ac:dyDescent="0.3">
      <c r="A123" s="184"/>
      <c r="B123" s="194">
        <v>2</v>
      </c>
      <c r="C123" s="195">
        <v>44987</v>
      </c>
      <c r="D123" s="196" t="s">
        <v>16</v>
      </c>
      <c r="E123" s="222" t="s">
        <v>910</v>
      </c>
      <c r="F123" s="222">
        <v>160</v>
      </c>
      <c r="G123" s="222">
        <v>175</v>
      </c>
      <c r="H123" s="222">
        <v>15</v>
      </c>
      <c r="I123" s="218">
        <v>100</v>
      </c>
      <c r="J123" s="268">
        <f t="shared" ref="J123:J142" si="11">I123*H123</f>
        <v>1500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44988</v>
      </c>
      <c r="D124" s="196" t="s">
        <v>16</v>
      </c>
      <c r="E124" s="222" t="s">
        <v>910</v>
      </c>
      <c r="F124" s="222">
        <v>170</v>
      </c>
      <c r="G124" s="222">
        <v>210</v>
      </c>
      <c r="H124" s="222">
        <f>210-170</f>
        <v>40</v>
      </c>
      <c r="I124" s="218">
        <v>100</v>
      </c>
      <c r="J124" s="268">
        <f t="shared" si="11"/>
        <v>4000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44991</v>
      </c>
      <c r="D125" s="196" t="s">
        <v>16</v>
      </c>
      <c r="E125" s="222" t="s">
        <v>913</v>
      </c>
      <c r="F125" s="222">
        <v>180</v>
      </c>
      <c r="G125" s="222">
        <v>205</v>
      </c>
      <c r="H125" s="222">
        <f>205-180</f>
        <v>25</v>
      </c>
      <c r="I125" s="218">
        <v>100</v>
      </c>
      <c r="J125" s="268">
        <f t="shared" si="11"/>
        <v>2500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44993</v>
      </c>
      <c r="D126" s="196" t="s">
        <v>16</v>
      </c>
      <c r="E126" s="222" t="s">
        <v>910</v>
      </c>
      <c r="F126" s="222">
        <v>170</v>
      </c>
      <c r="G126" s="222">
        <v>190</v>
      </c>
      <c r="H126" s="222">
        <v>20</v>
      </c>
      <c r="I126" s="218">
        <v>100</v>
      </c>
      <c r="J126" s="268">
        <f t="shared" si="11"/>
        <v>2000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44994</v>
      </c>
      <c r="D127" s="196" t="s">
        <v>16</v>
      </c>
      <c r="E127" s="222" t="s">
        <v>907</v>
      </c>
      <c r="F127" s="222">
        <v>150</v>
      </c>
      <c r="G127" s="222">
        <v>165</v>
      </c>
      <c r="H127" s="222">
        <v>15</v>
      </c>
      <c r="I127" s="218">
        <v>100</v>
      </c>
      <c r="J127" s="268">
        <f t="shared" si="11"/>
        <v>1500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44995</v>
      </c>
      <c r="D128" s="196" t="s">
        <v>16</v>
      </c>
      <c r="E128" s="222" t="s">
        <v>908</v>
      </c>
      <c r="F128" s="222">
        <v>140</v>
      </c>
      <c r="G128" s="222">
        <v>155</v>
      </c>
      <c r="H128" s="274">
        <v>15</v>
      </c>
      <c r="I128" s="218">
        <v>100</v>
      </c>
      <c r="J128" s="268">
        <f t="shared" si="11"/>
        <v>1500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44998</v>
      </c>
      <c r="D129" s="196" t="s">
        <v>16</v>
      </c>
      <c r="E129" s="222" t="s">
        <v>907</v>
      </c>
      <c r="F129" s="222">
        <v>165</v>
      </c>
      <c r="G129" s="222">
        <v>205</v>
      </c>
      <c r="H129" s="222">
        <f>205-165</f>
        <v>40</v>
      </c>
      <c r="I129" s="218">
        <v>100</v>
      </c>
      <c r="J129" s="268">
        <f t="shared" si="11"/>
        <v>4000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44999</v>
      </c>
      <c r="D130" s="196" t="s">
        <v>16</v>
      </c>
      <c r="E130" s="222" t="s">
        <v>915</v>
      </c>
      <c r="F130" s="222">
        <v>165</v>
      </c>
      <c r="G130" s="222">
        <v>184</v>
      </c>
      <c r="H130" s="222">
        <f>184-165</f>
        <v>19</v>
      </c>
      <c r="I130" s="218">
        <v>100</v>
      </c>
      <c r="J130" s="268">
        <f t="shared" si="11"/>
        <v>1900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45000</v>
      </c>
      <c r="D131" s="196" t="s">
        <v>16</v>
      </c>
      <c r="E131" s="222" t="s">
        <v>916</v>
      </c>
      <c r="F131" s="222">
        <v>115</v>
      </c>
      <c r="G131" s="222">
        <v>155</v>
      </c>
      <c r="H131" s="222">
        <f>155-115</f>
        <v>40</v>
      </c>
      <c r="I131" s="218">
        <v>100</v>
      </c>
      <c r="J131" s="268">
        <f t="shared" si="11"/>
        <v>4000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45001</v>
      </c>
      <c r="D132" s="196" t="s">
        <v>16</v>
      </c>
      <c r="E132" s="222" t="s">
        <v>917</v>
      </c>
      <c r="F132" s="222">
        <v>305</v>
      </c>
      <c r="G132" s="222">
        <v>355</v>
      </c>
      <c r="H132" s="274">
        <v>50</v>
      </c>
      <c r="I132" s="218">
        <v>100</v>
      </c>
      <c r="J132" s="268">
        <f t="shared" si="11"/>
        <v>5000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45002</v>
      </c>
      <c r="D133" s="196" t="s">
        <v>16</v>
      </c>
      <c r="E133" s="222" t="s">
        <v>917</v>
      </c>
      <c r="F133" s="222">
        <v>262</v>
      </c>
      <c r="G133" s="222">
        <v>300</v>
      </c>
      <c r="H133" s="274">
        <f>300-262</f>
        <v>38</v>
      </c>
      <c r="I133" s="218">
        <v>100</v>
      </c>
      <c r="J133" s="268">
        <f t="shared" si="11"/>
        <v>3800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45005</v>
      </c>
      <c r="D134" s="196" t="s">
        <v>16</v>
      </c>
      <c r="E134" s="222" t="s">
        <v>918</v>
      </c>
      <c r="F134" s="222">
        <v>340</v>
      </c>
      <c r="G134" s="222">
        <v>368</v>
      </c>
      <c r="H134" s="274">
        <v>28</v>
      </c>
      <c r="I134" s="218">
        <v>100</v>
      </c>
      <c r="J134" s="268">
        <f t="shared" si="11"/>
        <v>2800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45006</v>
      </c>
      <c r="D135" s="196" t="s">
        <v>16</v>
      </c>
      <c r="E135" s="222" t="s">
        <v>919</v>
      </c>
      <c r="F135" s="222">
        <v>310</v>
      </c>
      <c r="G135" s="222">
        <v>330</v>
      </c>
      <c r="H135" s="274">
        <v>20</v>
      </c>
      <c r="I135" s="218">
        <v>100</v>
      </c>
      <c r="J135" s="268">
        <f t="shared" si="11"/>
        <v>2000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45007</v>
      </c>
      <c r="D136" s="196" t="s">
        <v>16</v>
      </c>
      <c r="E136" s="196" t="s">
        <v>919</v>
      </c>
      <c r="F136" s="222">
        <v>275</v>
      </c>
      <c r="G136" s="222">
        <v>284.7</v>
      </c>
      <c r="H136" s="222">
        <f>284.7-275</f>
        <v>9.6999999999999886</v>
      </c>
      <c r="I136" s="218">
        <v>100</v>
      </c>
      <c r="J136" s="268">
        <f t="shared" si="11"/>
        <v>969.99999999999886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45008</v>
      </c>
      <c r="D137" s="196" t="s">
        <v>16</v>
      </c>
      <c r="E137" s="196" t="s">
        <v>919</v>
      </c>
      <c r="F137" s="222">
        <v>230</v>
      </c>
      <c r="G137" s="274">
        <v>246</v>
      </c>
      <c r="H137" s="274">
        <f>246-230</f>
        <v>16</v>
      </c>
      <c r="I137" s="218">
        <v>100</v>
      </c>
      <c r="J137" s="268">
        <f t="shared" si="11"/>
        <v>1600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45009</v>
      </c>
      <c r="D138" s="196" t="s">
        <v>16</v>
      </c>
      <c r="E138" s="196" t="s">
        <v>917</v>
      </c>
      <c r="F138" s="222">
        <v>290</v>
      </c>
      <c r="G138" s="222">
        <v>320</v>
      </c>
      <c r="H138" s="274">
        <f>320-290</f>
        <v>30</v>
      </c>
      <c r="I138" s="218">
        <v>100</v>
      </c>
      <c r="J138" s="268">
        <f t="shared" si="11"/>
        <v>3000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>
        <v>45012</v>
      </c>
      <c r="D139" s="196" t="s">
        <v>16</v>
      </c>
      <c r="E139" s="196" t="s">
        <v>919</v>
      </c>
      <c r="F139" s="222">
        <v>230</v>
      </c>
      <c r="G139" s="222">
        <v>240</v>
      </c>
      <c r="H139" s="274">
        <v>10</v>
      </c>
      <c r="I139" s="218">
        <v>100</v>
      </c>
      <c r="J139" s="268">
        <f t="shared" si="11"/>
        <v>1000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19</v>
      </c>
      <c r="C140" s="195">
        <v>45013</v>
      </c>
      <c r="D140" s="196" t="s">
        <v>16</v>
      </c>
      <c r="E140" s="196" t="s">
        <v>916</v>
      </c>
      <c r="F140" s="222">
        <v>230</v>
      </c>
      <c r="G140" s="222">
        <v>270</v>
      </c>
      <c r="H140" s="274">
        <v>40</v>
      </c>
      <c r="I140" s="218">
        <v>100</v>
      </c>
      <c r="J140" s="268">
        <f t="shared" si="11"/>
        <v>4000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45014</v>
      </c>
      <c r="D141" s="196" t="s">
        <v>16</v>
      </c>
      <c r="E141" s="222" t="s">
        <v>915</v>
      </c>
      <c r="F141" s="222">
        <v>235</v>
      </c>
      <c r="G141" s="222">
        <v>275</v>
      </c>
      <c r="H141" s="274">
        <f>275-235</f>
        <v>40</v>
      </c>
      <c r="I141" s="218">
        <v>100</v>
      </c>
      <c r="J141" s="268">
        <f t="shared" si="11"/>
        <v>4000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>
        <v>45016</v>
      </c>
      <c r="D142" s="196" t="s">
        <v>16</v>
      </c>
      <c r="E142" s="222" t="s">
        <v>915</v>
      </c>
      <c r="F142" s="222">
        <v>200</v>
      </c>
      <c r="G142" s="222">
        <v>210</v>
      </c>
      <c r="H142" s="274">
        <v>10</v>
      </c>
      <c r="I142" s="218">
        <v>100</v>
      </c>
      <c r="J142" s="268">
        <f t="shared" si="11"/>
        <v>1000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04" t="s">
        <v>879</v>
      </c>
      <c r="C145" s="305"/>
      <c r="D145" s="305"/>
      <c r="E145" s="305"/>
      <c r="F145" s="305"/>
      <c r="G145" s="305"/>
      <c r="H145" s="306"/>
      <c r="I145" s="203" t="s">
        <v>880</v>
      </c>
      <c r="J145" s="204">
        <f>SUM(J122:J144)</f>
        <v>54000</v>
      </c>
      <c r="K145" s="185"/>
      <c r="V145" s="183">
        <f>SUM(V122:V144)</f>
        <v>21</v>
      </c>
      <c r="W145" s="183">
        <f>SUM(W122:W144)</f>
        <v>0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7B00-000000000000}"/>
    <hyperlink ref="B83" r:id="rId2" xr:uid="{00000000-0004-0000-7B00-000001000000}"/>
    <hyperlink ref="M4:M5" location="'FEB 2023'!A1" display="BULLION" xr:uid="{00000000-0004-0000-7B00-000002000000}"/>
    <hyperlink ref="B114" r:id="rId3" xr:uid="{00000000-0004-0000-7B00-000003000000}"/>
    <hyperlink ref="M8:M9" location="'FEB 2023'!A86" display="BASE METAL" xr:uid="{00000000-0004-0000-7B00-000004000000}"/>
    <hyperlink ref="M1" location="MASTER!A1" display="Back" xr:uid="{00000000-0004-0000-7B00-000005000000}"/>
    <hyperlink ref="M6:M7" location="'FEB 2023'!A55" display="ENERGY" xr:uid="{00000000-0004-0000-7B00-000006000000}"/>
    <hyperlink ref="B145" r:id="rId4" xr:uid="{00000000-0004-0000-7B00-000007000000}"/>
    <hyperlink ref="M10:M11" location="'FEB 2023'!A117" display="CRUDEOIL OPTION" xr:uid="{00000000-0004-0000-7B00-000008000000}"/>
  </hyperlinks>
  <pageMargins left="0" right="0" top="0" bottom="0" header="0" footer="0"/>
  <pageSetup paperSize="9" orientation="portrait" r:id="rId5"/>
  <drawing r:id="rId6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W146"/>
  <sheetViews>
    <sheetView topLeftCell="A139" zoomScaleNormal="100" workbookViewId="0">
      <selection activeCell="M19" sqref="M1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45017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34</v>
      </c>
      <c r="O4" s="369">
        <f>V52</f>
        <v>30</v>
      </c>
      <c r="P4" s="369">
        <f>W52</f>
        <v>4</v>
      </c>
      <c r="Q4" s="349">
        <f>N4-O4-P4</f>
        <v>0</v>
      </c>
      <c r="R4" s="343">
        <f>O4/N4</f>
        <v>0.88235294117647056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45019</v>
      </c>
      <c r="D6" s="192" t="s">
        <v>23</v>
      </c>
      <c r="E6" s="192" t="s">
        <v>24</v>
      </c>
      <c r="F6" s="193">
        <v>59600</v>
      </c>
      <c r="G6" s="193">
        <v>59520</v>
      </c>
      <c r="H6" s="192">
        <f>59600-59520</f>
        <v>80</v>
      </c>
      <c r="I6" s="193">
        <v>100</v>
      </c>
      <c r="J6" s="267">
        <f>H6*I6</f>
        <v>8000</v>
      </c>
      <c r="K6" s="185"/>
      <c r="M6" s="364" t="s">
        <v>258</v>
      </c>
      <c r="N6" s="347">
        <f>COUNT(C60:C82)</f>
        <v>17</v>
      </c>
      <c r="O6" s="348">
        <f>V83</f>
        <v>17</v>
      </c>
      <c r="P6" s="348">
        <f>W83</f>
        <v>0</v>
      </c>
      <c r="Q6" s="349">
        <v>0</v>
      </c>
      <c r="R6" s="345">
        <f t="shared" ref="R6" si="0">O6/N6</f>
        <v>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45019</v>
      </c>
      <c r="D7" s="196" t="s">
        <v>23</v>
      </c>
      <c r="E7" s="196" t="s">
        <v>22</v>
      </c>
      <c r="F7" s="197">
        <v>71900</v>
      </c>
      <c r="G7" s="197">
        <v>72200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45021</v>
      </c>
      <c r="D8" s="196" t="s">
        <v>23</v>
      </c>
      <c r="E8" s="196" t="s">
        <v>24</v>
      </c>
      <c r="F8" s="197">
        <v>60950</v>
      </c>
      <c r="G8" s="197">
        <v>61050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COUNT(C91:C113)</f>
        <v>17</v>
      </c>
      <c r="O8" s="348">
        <f>V114</f>
        <v>12</v>
      </c>
      <c r="P8" s="348">
        <f>W114</f>
        <v>5</v>
      </c>
      <c r="Q8" s="349">
        <f>N8-O8-P8</f>
        <v>0</v>
      </c>
      <c r="R8" s="345">
        <f t="shared" ref="R8" si="4">O8/N8</f>
        <v>0.70588235294117652</v>
      </c>
      <c r="V8" s="183">
        <f t="shared" si="2"/>
        <v>0</v>
      </c>
      <c r="W8" s="183">
        <f t="shared" si="3"/>
        <v>1</v>
      </c>
    </row>
    <row r="9" spans="1:23" x14ac:dyDescent="0.3">
      <c r="A9" s="184"/>
      <c r="B9" s="194">
        <v>4</v>
      </c>
      <c r="C9" s="195">
        <v>45021</v>
      </c>
      <c r="D9" s="196" t="s">
        <v>23</v>
      </c>
      <c r="E9" s="196" t="s">
        <v>22</v>
      </c>
      <c r="F9" s="197">
        <v>74450</v>
      </c>
      <c r="G9" s="197">
        <v>74250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45022</v>
      </c>
      <c r="D10" s="196" t="s">
        <v>23</v>
      </c>
      <c r="E10" s="196" t="s">
        <v>24</v>
      </c>
      <c r="F10" s="197">
        <v>60800</v>
      </c>
      <c r="G10" s="197">
        <v>60640</v>
      </c>
      <c r="H10" s="196">
        <f>60800-60640</f>
        <v>160</v>
      </c>
      <c r="I10" s="197">
        <v>100</v>
      </c>
      <c r="J10" s="268">
        <f t="shared" si="1"/>
        <v>16000</v>
      </c>
      <c r="K10" s="185"/>
      <c r="M10" s="364" t="s">
        <v>906</v>
      </c>
      <c r="N10" s="347">
        <f>COUNT(C122:C144)</f>
        <v>17</v>
      </c>
      <c r="O10" s="348">
        <f>V145</f>
        <v>16</v>
      </c>
      <c r="P10" s="348">
        <f>W145</f>
        <v>1</v>
      </c>
      <c r="Q10" s="349">
        <f>N10-O10-P10</f>
        <v>0</v>
      </c>
      <c r="R10" s="345">
        <f>O10/N10</f>
        <v>0.94117647058823528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45022</v>
      </c>
      <c r="D11" s="196" t="s">
        <v>23</v>
      </c>
      <c r="E11" s="196" t="s">
        <v>22</v>
      </c>
      <c r="F11" s="197">
        <v>74700</v>
      </c>
      <c r="G11" s="197">
        <v>74450</v>
      </c>
      <c r="H11" s="196">
        <f>74700-74450</f>
        <v>250</v>
      </c>
      <c r="I11" s="197">
        <v>30</v>
      </c>
      <c r="J11" s="268">
        <f t="shared" si="1"/>
        <v>7500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45026</v>
      </c>
      <c r="D12" s="196" t="s">
        <v>23</v>
      </c>
      <c r="E12" s="196" t="s">
        <v>24</v>
      </c>
      <c r="F12" s="197">
        <v>60350</v>
      </c>
      <c r="G12" s="197">
        <v>60150</v>
      </c>
      <c r="H12" s="196">
        <f>60350-60150</f>
        <v>200</v>
      </c>
      <c r="I12" s="197">
        <v>100</v>
      </c>
      <c r="J12" s="268">
        <f t="shared" si="1"/>
        <v>20000</v>
      </c>
      <c r="K12" s="185"/>
      <c r="M12" s="319" t="s">
        <v>300</v>
      </c>
      <c r="N12" s="371">
        <f>SUM(N4:N11)</f>
        <v>85</v>
      </c>
      <c r="O12" s="371">
        <f>SUM(O4:O11)</f>
        <v>75</v>
      </c>
      <c r="P12" s="371">
        <f>SUM(P4:P11)</f>
        <v>10</v>
      </c>
      <c r="Q12" s="371">
        <f>SUM(Q4:Q11)</f>
        <v>0</v>
      </c>
      <c r="R12" s="343">
        <f>O12/N12</f>
        <v>0.88235294117647056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45026</v>
      </c>
      <c r="D13" s="196" t="s">
        <v>23</v>
      </c>
      <c r="E13" s="196" t="s">
        <v>22</v>
      </c>
      <c r="F13" s="197">
        <v>74700</v>
      </c>
      <c r="G13" s="197">
        <v>74450</v>
      </c>
      <c r="H13" s="196">
        <f>74700-74450</f>
        <v>250</v>
      </c>
      <c r="I13" s="197">
        <v>30</v>
      </c>
      <c r="J13" s="268">
        <f t="shared" si="1"/>
        <v>7500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45027</v>
      </c>
      <c r="D14" s="196" t="s">
        <v>23</v>
      </c>
      <c r="E14" s="196" t="s">
        <v>24</v>
      </c>
      <c r="F14" s="197">
        <v>60550</v>
      </c>
      <c r="G14" s="197">
        <v>60350</v>
      </c>
      <c r="H14" s="196">
        <v>200</v>
      </c>
      <c r="I14" s="197">
        <v>100</v>
      </c>
      <c r="J14" s="268">
        <f t="shared" si="1"/>
        <v>20000</v>
      </c>
      <c r="K14" s="185"/>
      <c r="M14" s="323" t="s">
        <v>878</v>
      </c>
      <c r="N14" s="324"/>
      <c r="O14" s="325"/>
      <c r="P14" s="332">
        <f>R12</f>
        <v>0.88235294117647056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45027</v>
      </c>
      <c r="D15" s="196" t="s">
        <v>23</v>
      </c>
      <c r="E15" s="196" t="s">
        <v>22</v>
      </c>
      <c r="F15" s="197">
        <v>75000</v>
      </c>
      <c r="G15" s="197">
        <v>74600</v>
      </c>
      <c r="H15" s="196">
        <f>75000-74600</f>
        <v>400</v>
      </c>
      <c r="I15" s="197">
        <v>30</v>
      </c>
      <c r="J15" s="268">
        <f t="shared" si="1"/>
        <v>12000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45028</v>
      </c>
      <c r="D16" s="196" t="s">
        <v>23</v>
      </c>
      <c r="E16" s="196" t="s">
        <v>24</v>
      </c>
      <c r="F16" s="197">
        <v>60650</v>
      </c>
      <c r="G16" s="197">
        <v>60750</v>
      </c>
      <c r="H16" s="196">
        <v>-100</v>
      </c>
      <c r="I16" s="197">
        <v>100</v>
      </c>
      <c r="J16" s="268">
        <f t="shared" si="1"/>
        <v>-10000</v>
      </c>
      <c r="K16" s="185"/>
      <c r="M16" s="329"/>
      <c r="N16" s="330"/>
      <c r="O16" s="331"/>
      <c r="P16" s="338"/>
      <c r="Q16" s="339"/>
      <c r="R16" s="340"/>
      <c r="V16" s="183">
        <f t="shared" si="2"/>
        <v>0</v>
      </c>
      <c r="W16" s="183">
        <f t="shared" si="3"/>
        <v>1</v>
      </c>
    </row>
    <row r="17" spans="1:23" x14ac:dyDescent="0.3">
      <c r="A17" s="184"/>
      <c r="B17" s="194">
        <v>12</v>
      </c>
      <c r="C17" s="195">
        <v>45028</v>
      </c>
      <c r="D17" s="196" t="s">
        <v>23</v>
      </c>
      <c r="E17" s="196" t="s">
        <v>22</v>
      </c>
      <c r="F17" s="197">
        <v>75500</v>
      </c>
      <c r="G17" s="197">
        <v>75300</v>
      </c>
      <c r="H17" s="196">
        <v>200</v>
      </c>
      <c r="I17" s="197">
        <v>30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45029</v>
      </c>
      <c r="D18" s="196" t="s">
        <v>23</v>
      </c>
      <c r="E18" s="196" t="s">
        <v>24</v>
      </c>
      <c r="F18" s="197">
        <v>60950</v>
      </c>
      <c r="G18" s="197">
        <v>60870</v>
      </c>
      <c r="H18" s="196">
        <f>60950-60870</f>
        <v>80</v>
      </c>
      <c r="I18" s="197">
        <v>100</v>
      </c>
      <c r="J18" s="268">
        <f t="shared" si="1"/>
        <v>8000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45029</v>
      </c>
      <c r="D19" s="196" t="s">
        <v>23</v>
      </c>
      <c r="E19" s="196" t="s">
        <v>22</v>
      </c>
      <c r="F19" s="197">
        <v>76300</v>
      </c>
      <c r="G19" s="197">
        <v>76600</v>
      </c>
      <c r="H19" s="196">
        <v>-300</v>
      </c>
      <c r="I19" s="197">
        <v>30</v>
      </c>
      <c r="J19" s="268">
        <f t="shared" si="1"/>
        <v>-9000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45033</v>
      </c>
      <c r="D20" s="196" t="s">
        <v>23</v>
      </c>
      <c r="E20" s="196" t="s">
        <v>24</v>
      </c>
      <c r="F20" s="197">
        <v>60570</v>
      </c>
      <c r="G20" s="197">
        <v>60370</v>
      </c>
      <c r="H20" s="196">
        <v>200</v>
      </c>
      <c r="I20" s="197">
        <v>100</v>
      </c>
      <c r="J20" s="268">
        <f t="shared" si="1"/>
        <v>20000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45033</v>
      </c>
      <c r="D21" s="196" t="s">
        <v>23</v>
      </c>
      <c r="E21" s="196" t="s">
        <v>22</v>
      </c>
      <c r="F21" s="197">
        <v>76100</v>
      </c>
      <c r="G21" s="197">
        <v>75500</v>
      </c>
      <c r="H21" s="196">
        <f>76100-75500</f>
        <v>600</v>
      </c>
      <c r="I21" s="197">
        <v>30</v>
      </c>
      <c r="J21" s="268">
        <f t="shared" si="1"/>
        <v>18000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45034</v>
      </c>
      <c r="D22" s="196" t="s">
        <v>23</v>
      </c>
      <c r="E22" s="196" t="s">
        <v>24</v>
      </c>
      <c r="F22" s="197">
        <v>60400</v>
      </c>
      <c r="G22" s="197">
        <v>60300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45034</v>
      </c>
      <c r="D23" s="196" t="s">
        <v>23</v>
      </c>
      <c r="E23" s="196" t="s">
        <v>22</v>
      </c>
      <c r="F23" s="197">
        <v>75150</v>
      </c>
      <c r="G23" s="197">
        <v>74850</v>
      </c>
      <c r="H23" s="196">
        <f>75150-74850</f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45035</v>
      </c>
      <c r="D24" s="196" t="s">
        <v>23</v>
      </c>
      <c r="E24" s="196" t="s">
        <v>24</v>
      </c>
      <c r="F24" s="197">
        <v>59900</v>
      </c>
      <c r="G24" s="197">
        <v>59700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45035</v>
      </c>
      <c r="D25" s="196" t="s">
        <v>23</v>
      </c>
      <c r="E25" s="196" t="s">
        <v>22</v>
      </c>
      <c r="F25" s="197">
        <v>74250</v>
      </c>
      <c r="G25" s="197">
        <v>73950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45036</v>
      </c>
      <c r="D26" s="196" t="s">
        <v>23</v>
      </c>
      <c r="E26" s="196" t="s">
        <v>24</v>
      </c>
      <c r="F26" s="197">
        <v>60350</v>
      </c>
      <c r="G26" s="197">
        <v>60250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45036</v>
      </c>
      <c r="D27" s="196" t="s">
        <v>23</v>
      </c>
      <c r="E27" s="196" t="s">
        <v>22</v>
      </c>
      <c r="F27" s="197">
        <v>75350</v>
      </c>
      <c r="G27" s="197">
        <v>75200</v>
      </c>
      <c r="H27" s="196"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45037</v>
      </c>
      <c r="D28" s="196" t="s">
        <v>23</v>
      </c>
      <c r="E28" s="196" t="s">
        <v>24</v>
      </c>
      <c r="F28" s="197">
        <v>60020</v>
      </c>
      <c r="G28" s="197">
        <v>59900</v>
      </c>
      <c r="H28" s="196">
        <f>60020-59900</f>
        <v>120</v>
      </c>
      <c r="I28" s="197">
        <v>100</v>
      </c>
      <c r="J28" s="268">
        <f t="shared" si="1"/>
        <v>12000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45037</v>
      </c>
      <c r="D29" s="196" t="s">
        <v>23</v>
      </c>
      <c r="E29" s="196" t="s">
        <v>22</v>
      </c>
      <c r="F29" s="197">
        <v>75000</v>
      </c>
      <c r="G29" s="197">
        <v>74850</v>
      </c>
      <c r="H29" s="196">
        <f>75000-74850</f>
        <v>150</v>
      </c>
      <c r="I29" s="197">
        <v>30</v>
      </c>
      <c r="J29" s="268">
        <f t="shared" si="1"/>
        <v>4500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45040</v>
      </c>
      <c r="D30" s="196" t="s">
        <v>23</v>
      </c>
      <c r="E30" s="196" t="s">
        <v>24</v>
      </c>
      <c r="F30" s="197">
        <v>59900</v>
      </c>
      <c r="G30" s="197">
        <v>59800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45040</v>
      </c>
      <c r="D31" s="196" t="s">
        <v>23</v>
      </c>
      <c r="E31" s="196" t="s">
        <v>22</v>
      </c>
      <c r="F31" s="197">
        <v>74700</v>
      </c>
      <c r="G31" s="197">
        <v>74520</v>
      </c>
      <c r="H31" s="196">
        <f>74700-74520</f>
        <v>180</v>
      </c>
      <c r="I31" s="197">
        <v>30</v>
      </c>
      <c r="J31" s="268">
        <f t="shared" si="1"/>
        <v>5400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45041</v>
      </c>
      <c r="D32" s="196" t="s">
        <v>23</v>
      </c>
      <c r="E32" s="196" t="s">
        <v>24</v>
      </c>
      <c r="F32" s="197">
        <v>60000</v>
      </c>
      <c r="G32" s="197">
        <v>59800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45041</v>
      </c>
      <c r="D33" s="196" t="s">
        <v>23</v>
      </c>
      <c r="E33" s="196" t="s">
        <v>22</v>
      </c>
      <c r="F33" s="197">
        <v>74700</v>
      </c>
      <c r="G33" s="197">
        <v>74100</v>
      </c>
      <c r="H33" s="196"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45042</v>
      </c>
      <c r="D34" s="196" t="s">
        <v>23</v>
      </c>
      <c r="E34" s="196" t="s">
        <v>24</v>
      </c>
      <c r="F34" s="197">
        <v>60150</v>
      </c>
      <c r="G34" s="197">
        <v>59980</v>
      </c>
      <c r="H34" s="196">
        <f>60150-59980</f>
        <v>170</v>
      </c>
      <c r="I34" s="197">
        <v>100</v>
      </c>
      <c r="J34" s="268">
        <f t="shared" si="1"/>
        <v>17000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45042</v>
      </c>
      <c r="D35" s="196" t="s">
        <v>23</v>
      </c>
      <c r="E35" s="196" t="s">
        <v>22</v>
      </c>
      <c r="F35" s="197">
        <v>74400</v>
      </c>
      <c r="G35" s="197">
        <v>74100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45043</v>
      </c>
      <c r="D36" s="196" t="s">
        <v>23</v>
      </c>
      <c r="E36" s="196" t="s">
        <v>24</v>
      </c>
      <c r="F36" s="197">
        <v>60260</v>
      </c>
      <c r="G36" s="197">
        <v>60060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45043</v>
      </c>
      <c r="D37" s="196" t="s">
        <v>23</v>
      </c>
      <c r="E37" s="196" t="s">
        <v>22</v>
      </c>
      <c r="F37" s="197">
        <v>74350</v>
      </c>
      <c r="G37" s="197">
        <v>74050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45044</v>
      </c>
      <c r="D38" s="196" t="s">
        <v>23</v>
      </c>
      <c r="E38" s="196" t="s">
        <v>24</v>
      </c>
      <c r="F38" s="197">
        <v>59720</v>
      </c>
      <c r="G38" s="197">
        <v>59640</v>
      </c>
      <c r="H38" s="196">
        <f>59720-59640</f>
        <v>80</v>
      </c>
      <c r="I38" s="197">
        <v>100</v>
      </c>
      <c r="J38" s="268">
        <f t="shared" si="1"/>
        <v>8000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45044</v>
      </c>
      <c r="D39" s="196" t="s">
        <v>23</v>
      </c>
      <c r="E39" s="196" t="s">
        <v>22</v>
      </c>
      <c r="F39" s="197">
        <v>73800</v>
      </c>
      <c r="G39" s="197">
        <v>73600</v>
      </c>
      <c r="H39" s="196">
        <v>200</v>
      </c>
      <c r="I39" s="197">
        <v>30</v>
      </c>
      <c r="J39" s="268">
        <f t="shared" si="1"/>
        <v>6000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V40" s="183">
        <f t="shared" si="2"/>
        <v>0</v>
      </c>
      <c r="W40" s="183">
        <f t="shared" si="3"/>
        <v>0</v>
      </c>
    </row>
    <row r="41" spans="1:23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312400</v>
      </c>
      <c r="K52" s="185"/>
      <c r="V52" s="183">
        <f>SUM(V6:V51)</f>
        <v>30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45017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45019</v>
      </c>
      <c r="D60" s="192" t="s">
        <v>23</v>
      </c>
      <c r="E60" s="192" t="s">
        <v>25</v>
      </c>
      <c r="F60" s="193">
        <v>6560</v>
      </c>
      <c r="G60" s="193">
        <v>6544</v>
      </c>
      <c r="H60" s="192">
        <f>6560-6544</f>
        <v>16</v>
      </c>
      <c r="I60" s="193">
        <v>100</v>
      </c>
      <c r="J60" s="267">
        <f t="shared" ref="J60:J82" si="5">I60*H60</f>
        <v>1600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45021</v>
      </c>
      <c r="D61" s="196" t="s">
        <v>23</v>
      </c>
      <c r="E61" s="196" t="s">
        <v>25</v>
      </c>
      <c r="F61" s="197">
        <v>6610</v>
      </c>
      <c r="G61" s="197">
        <v>6540</v>
      </c>
      <c r="H61" s="196">
        <f>6610-6540</f>
        <v>70</v>
      </c>
      <c r="I61" s="197">
        <v>100</v>
      </c>
      <c r="J61" s="268">
        <f t="shared" si="5"/>
        <v>7000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45022</v>
      </c>
      <c r="D62" s="196" t="s">
        <v>16</v>
      </c>
      <c r="E62" s="196" t="s">
        <v>25</v>
      </c>
      <c r="F62" s="197">
        <v>6590</v>
      </c>
      <c r="G62" s="197">
        <v>6620</v>
      </c>
      <c r="H62" s="196">
        <f>6620-6590</f>
        <v>30</v>
      </c>
      <c r="I62" s="197">
        <v>100</v>
      </c>
      <c r="J62" s="268">
        <f t="shared" si="5"/>
        <v>3000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45026</v>
      </c>
      <c r="D63" s="196" t="s">
        <v>23</v>
      </c>
      <c r="E63" s="196" t="s">
        <v>25</v>
      </c>
      <c r="F63" s="197">
        <v>6630</v>
      </c>
      <c r="G63" s="197">
        <v>6560</v>
      </c>
      <c r="H63" s="196">
        <v>30</v>
      </c>
      <c r="I63" s="197">
        <v>100</v>
      </c>
      <c r="J63" s="268">
        <f t="shared" si="5"/>
        <v>3000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45027</v>
      </c>
      <c r="D64" s="196" t="s">
        <v>23</v>
      </c>
      <c r="E64" s="196" t="s">
        <v>25</v>
      </c>
      <c r="F64" s="197">
        <v>6600</v>
      </c>
      <c r="G64" s="197">
        <v>6535</v>
      </c>
      <c r="H64" s="196">
        <f>6600-6535</f>
        <v>65</v>
      </c>
      <c r="I64" s="197">
        <v>100</v>
      </c>
      <c r="J64" s="268">
        <f t="shared" si="5"/>
        <v>6500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45028</v>
      </c>
      <c r="D65" s="196" t="s">
        <v>23</v>
      </c>
      <c r="E65" s="196" t="s">
        <v>25</v>
      </c>
      <c r="F65" s="197">
        <v>6710</v>
      </c>
      <c r="G65" s="197">
        <v>6680</v>
      </c>
      <c r="H65" s="196">
        <f>6710-6680</f>
        <v>30</v>
      </c>
      <c r="I65" s="197">
        <v>100</v>
      </c>
      <c r="J65" s="268">
        <f t="shared" si="5"/>
        <v>3000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45029</v>
      </c>
      <c r="D66" s="196" t="s">
        <v>23</v>
      </c>
      <c r="E66" s="196" t="s">
        <v>25</v>
      </c>
      <c r="F66" s="222">
        <v>6825</v>
      </c>
      <c r="G66" s="222">
        <v>6755</v>
      </c>
      <c r="H66" s="196">
        <f>6825-6755</f>
        <v>70</v>
      </c>
      <c r="I66" s="197">
        <v>100</v>
      </c>
      <c r="J66" s="268">
        <f t="shared" si="5"/>
        <v>7000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45033</v>
      </c>
      <c r="D67" s="196" t="s">
        <v>23</v>
      </c>
      <c r="E67" s="196" t="s">
        <v>25</v>
      </c>
      <c r="F67" s="197">
        <v>6740</v>
      </c>
      <c r="G67" s="197">
        <v>6670</v>
      </c>
      <c r="H67" s="196">
        <f>6740-6670</f>
        <v>70</v>
      </c>
      <c r="I67" s="197">
        <v>100</v>
      </c>
      <c r="J67" s="268">
        <f t="shared" si="5"/>
        <v>7000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45034</v>
      </c>
      <c r="D68" s="196" t="s">
        <v>23</v>
      </c>
      <c r="E68" s="196" t="s">
        <v>25</v>
      </c>
      <c r="F68" s="197">
        <v>6620</v>
      </c>
      <c r="G68" s="197">
        <v>6578</v>
      </c>
      <c r="H68" s="196">
        <f>6620-6578</f>
        <v>42</v>
      </c>
      <c r="I68" s="197">
        <v>100</v>
      </c>
      <c r="J68" s="268">
        <f t="shared" si="5"/>
        <v>4200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45035</v>
      </c>
      <c r="D69" s="196" t="s">
        <v>23</v>
      </c>
      <c r="E69" s="196" t="s">
        <v>25</v>
      </c>
      <c r="F69" s="197">
        <v>6510</v>
      </c>
      <c r="G69" s="197">
        <v>6450</v>
      </c>
      <c r="H69" s="196">
        <f>6510-6450</f>
        <v>60</v>
      </c>
      <c r="I69" s="197">
        <v>100</v>
      </c>
      <c r="J69" s="268">
        <f t="shared" si="5"/>
        <v>6000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45036</v>
      </c>
      <c r="D70" s="196" t="s">
        <v>23</v>
      </c>
      <c r="E70" s="196" t="s">
        <v>25</v>
      </c>
      <c r="F70" s="197">
        <v>6410</v>
      </c>
      <c r="G70" s="197">
        <v>6340</v>
      </c>
      <c r="H70" s="196">
        <f>6410-6340</f>
        <v>70</v>
      </c>
      <c r="I70" s="197">
        <v>100</v>
      </c>
      <c r="J70" s="268">
        <f t="shared" si="5"/>
        <v>7000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45037</v>
      </c>
      <c r="D71" s="196" t="s">
        <v>23</v>
      </c>
      <c r="E71" s="196" t="s">
        <v>25</v>
      </c>
      <c r="F71" s="197">
        <v>6375</v>
      </c>
      <c r="G71" s="197">
        <v>6357</v>
      </c>
      <c r="H71" s="196">
        <f>6375-6357</f>
        <v>18</v>
      </c>
      <c r="I71" s="197">
        <v>100</v>
      </c>
      <c r="J71" s="268">
        <f t="shared" si="5"/>
        <v>1800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45040</v>
      </c>
      <c r="D72" s="196" t="s">
        <v>23</v>
      </c>
      <c r="E72" s="196" t="s">
        <v>25</v>
      </c>
      <c r="F72" s="197">
        <v>6390</v>
      </c>
      <c r="G72" s="197">
        <v>6323</v>
      </c>
      <c r="H72" s="196">
        <f>6390-6323</f>
        <v>67</v>
      </c>
      <c r="I72" s="197">
        <v>100</v>
      </c>
      <c r="J72" s="268">
        <f t="shared" si="5"/>
        <v>6700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45041</v>
      </c>
      <c r="D73" s="196" t="s">
        <v>23</v>
      </c>
      <c r="E73" s="196" t="s">
        <v>25</v>
      </c>
      <c r="F73" s="197">
        <v>6470</v>
      </c>
      <c r="G73" s="197">
        <v>6427</v>
      </c>
      <c r="H73" s="196">
        <f>6470-6427</f>
        <v>43</v>
      </c>
      <c r="I73" s="197">
        <v>100</v>
      </c>
      <c r="J73" s="268">
        <f t="shared" si="5"/>
        <v>4300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45042</v>
      </c>
      <c r="D74" s="196" t="s">
        <v>23</v>
      </c>
      <c r="E74" s="196" t="s">
        <v>25</v>
      </c>
      <c r="F74" s="197">
        <v>6360</v>
      </c>
      <c r="G74" s="197">
        <v>6290</v>
      </c>
      <c r="H74" s="196">
        <f>6360-6290</f>
        <v>70</v>
      </c>
      <c r="I74" s="197">
        <v>100</v>
      </c>
      <c r="J74" s="268">
        <f t="shared" si="5"/>
        <v>7000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45043</v>
      </c>
      <c r="D75" s="196" t="s">
        <v>23</v>
      </c>
      <c r="E75" s="196" t="s">
        <v>25</v>
      </c>
      <c r="F75" s="197">
        <v>6110</v>
      </c>
      <c r="G75" s="197">
        <v>6080</v>
      </c>
      <c r="H75" s="196">
        <f>6110-6080</f>
        <v>30</v>
      </c>
      <c r="I75" s="197">
        <v>100</v>
      </c>
      <c r="J75" s="268">
        <f t="shared" si="5"/>
        <v>3000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45044</v>
      </c>
      <c r="D76" s="196" t="s">
        <v>23</v>
      </c>
      <c r="E76" s="196" t="s">
        <v>25</v>
      </c>
      <c r="F76" s="197">
        <v>6120</v>
      </c>
      <c r="G76" s="197">
        <v>6080</v>
      </c>
      <c r="H76" s="196">
        <f>6120-6080</f>
        <v>40</v>
      </c>
      <c r="I76" s="197">
        <v>100</v>
      </c>
      <c r="J76" s="268">
        <f t="shared" si="5"/>
        <v>4000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/>
      <c r="D77" s="196"/>
      <c r="E77" s="196"/>
      <c r="F77" s="197"/>
      <c r="G77" s="197"/>
      <c r="H77" s="196"/>
      <c r="I77" s="197"/>
      <c r="J77" s="268">
        <f t="shared" si="5"/>
        <v>0</v>
      </c>
      <c r="K77" s="185"/>
      <c r="V77" s="183">
        <f t="shared" si="6"/>
        <v>0</v>
      </c>
      <c r="W77" s="183">
        <f t="shared" si="7"/>
        <v>0</v>
      </c>
    </row>
    <row r="78" spans="1:23" x14ac:dyDescent="0.3">
      <c r="A78" s="184"/>
      <c r="B78" s="194">
        <v>19</v>
      </c>
      <c r="C78" s="195"/>
      <c r="D78" s="196"/>
      <c r="E78" s="196"/>
      <c r="F78" s="197"/>
      <c r="G78" s="197"/>
      <c r="H78" s="196"/>
      <c r="I78" s="197"/>
      <c r="J78" s="268">
        <f t="shared" si="5"/>
        <v>0</v>
      </c>
      <c r="K78" s="185"/>
      <c r="V78" s="183">
        <f t="shared" si="6"/>
        <v>0</v>
      </c>
      <c r="W78" s="183">
        <f t="shared" si="7"/>
        <v>0</v>
      </c>
    </row>
    <row r="79" spans="1:23" x14ac:dyDescent="0.3">
      <c r="A79" s="184"/>
      <c r="B79" s="194">
        <v>20</v>
      </c>
      <c r="C79" s="195"/>
      <c r="D79" s="196"/>
      <c r="E79" s="196"/>
      <c r="F79" s="197"/>
      <c r="G79" s="197"/>
      <c r="H79" s="196"/>
      <c r="I79" s="197"/>
      <c r="J79" s="268">
        <f t="shared" si="5"/>
        <v>0</v>
      </c>
      <c r="K79" s="185"/>
      <c r="V79" s="183">
        <f t="shared" si="6"/>
        <v>0</v>
      </c>
      <c r="W79" s="183">
        <f t="shared" si="7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5"/>
        <v>0</v>
      </c>
      <c r="K80" s="185"/>
      <c r="V80" s="183">
        <f t="shared" si="6"/>
        <v>0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82100</v>
      </c>
      <c r="K83" s="185"/>
      <c r="V83" s="183">
        <f>SUM(V60:V82)</f>
        <v>17</v>
      </c>
      <c r="W83" s="183">
        <f>SUM(W60:W82)</f>
        <v>0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45017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45019</v>
      </c>
      <c r="D91" s="216" t="s">
        <v>23</v>
      </c>
      <c r="E91" s="256" t="s">
        <v>28</v>
      </c>
      <c r="F91" s="256">
        <v>257.8</v>
      </c>
      <c r="G91" s="256">
        <v>256.8</v>
      </c>
      <c r="H91" s="256">
        <v>1</v>
      </c>
      <c r="I91" s="218">
        <v>5000</v>
      </c>
      <c r="J91" s="273">
        <f>I91*H91</f>
        <v>5000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45021</v>
      </c>
      <c r="D92" s="196" t="s">
        <v>23</v>
      </c>
      <c r="E92" s="222" t="s">
        <v>28</v>
      </c>
      <c r="F92" s="222">
        <v>250.2</v>
      </c>
      <c r="G92" s="222">
        <v>249.6</v>
      </c>
      <c r="H92" s="222">
        <f>250.2-249.6</f>
        <v>0.59999999999999432</v>
      </c>
      <c r="I92" s="197">
        <v>5000</v>
      </c>
      <c r="J92" s="268">
        <f t="shared" ref="J92:J111" si="8">I92*H92</f>
        <v>2999.9999999999718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45022</v>
      </c>
      <c r="D93" s="196" t="s">
        <v>23</v>
      </c>
      <c r="E93" s="222" t="s">
        <v>28</v>
      </c>
      <c r="F93" s="222">
        <v>248.5</v>
      </c>
      <c r="G93" s="222">
        <v>247.5</v>
      </c>
      <c r="H93" s="222">
        <v>1</v>
      </c>
      <c r="I93" s="197">
        <v>5000</v>
      </c>
      <c r="J93" s="268">
        <f t="shared" si="8"/>
        <v>5000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45026</v>
      </c>
      <c r="D94" s="196" t="s">
        <v>23</v>
      </c>
      <c r="E94" s="222" t="s">
        <v>28</v>
      </c>
      <c r="F94" s="222">
        <v>247.2</v>
      </c>
      <c r="G94" s="222">
        <v>248.2</v>
      </c>
      <c r="H94" s="222">
        <v>-1</v>
      </c>
      <c r="I94" s="197">
        <v>5000</v>
      </c>
      <c r="J94" s="268">
        <f t="shared" si="8"/>
        <v>-5000</v>
      </c>
      <c r="K94" s="185"/>
      <c r="V94" s="183">
        <f t="shared" si="9"/>
        <v>0</v>
      </c>
      <c r="W94" s="183">
        <f t="shared" si="10"/>
        <v>1</v>
      </c>
    </row>
    <row r="95" spans="1:23" x14ac:dyDescent="0.3">
      <c r="A95" s="184"/>
      <c r="B95" s="194">
        <v>5</v>
      </c>
      <c r="C95" s="195">
        <v>45027</v>
      </c>
      <c r="D95" s="196" t="s">
        <v>23</v>
      </c>
      <c r="E95" s="222" t="s">
        <v>28</v>
      </c>
      <c r="F95" s="222">
        <v>247.8</v>
      </c>
      <c r="G95" s="222">
        <v>246.4</v>
      </c>
      <c r="H95" s="222">
        <f>247.8-246.4</f>
        <v>1.4000000000000057</v>
      </c>
      <c r="I95" s="197">
        <v>5000</v>
      </c>
      <c r="J95" s="268">
        <f t="shared" si="8"/>
        <v>7000.0000000000282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45028</v>
      </c>
      <c r="D96" s="196" t="s">
        <v>23</v>
      </c>
      <c r="E96" s="222" t="s">
        <v>28</v>
      </c>
      <c r="F96" s="222">
        <v>244.5</v>
      </c>
      <c r="G96" s="222">
        <v>245.5</v>
      </c>
      <c r="H96" s="222">
        <v>-1</v>
      </c>
      <c r="I96" s="197">
        <v>5000</v>
      </c>
      <c r="J96" s="268">
        <f t="shared" si="8"/>
        <v>-5000</v>
      </c>
      <c r="K96" s="185"/>
      <c r="V96" s="183">
        <f t="shared" si="9"/>
        <v>0</v>
      </c>
      <c r="W96" s="183">
        <f t="shared" si="10"/>
        <v>1</v>
      </c>
    </row>
    <row r="97" spans="1:23" x14ac:dyDescent="0.3">
      <c r="A97" s="184"/>
      <c r="B97" s="194">
        <v>7</v>
      </c>
      <c r="C97" s="195">
        <v>45029</v>
      </c>
      <c r="D97" s="196" t="s">
        <v>23</v>
      </c>
      <c r="E97" s="222" t="s">
        <v>28</v>
      </c>
      <c r="F97" s="222">
        <v>249</v>
      </c>
      <c r="G97" s="222">
        <v>250</v>
      </c>
      <c r="H97" s="274">
        <v>-1</v>
      </c>
      <c r="I97" s="197">
        <v>5000</v>
      </c>
      <c r="J97" s="268">
        <f t="shared" si="8"/>
        <v>-5000</v>
      </c>
      <c r="K97" s="185"/>
      <c r="V97" s="183">
        <f t="shared" si="9"/>
        <v>0</v>
      </c>
      <c r="W97" s="183">
        <f t="shared" si="10"/>
        <v>1</v>
      </c>
    </row>
    <row r="98" spans="1:23" x14ac:dyDescent="0.3">
      <c r="A98" s="184"/>
      <c r="B98" s="194">
        <v>8</v>
      </c>
      <c r="C98" s="195">
        <v>45033</v>
      </c>
      <c r="D98" s="196" t="s">
        <v>23</v>
      </c>
      <c r="E98" s="222" t="s">
        <v>28</v>
      </c>
      <c r="F98" s="222">
        <v>252</v>
      </c>
      <c r="G98" s="222">
        <v>251.1</v>
      </c>
      <c r="H98" s="222">
        <f>252-251.1</f>
        <v>0.90000000000000568</v>
      </c>
      <c r="I98" s="197">
        <v>5000</v>
      </c>
      <c r="J98" s="268">
        <f t="shared" si="8"/>
        <v>4500.0000000000282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45034</v>
      </c>
      <c r="D99" s="196" t="s">
        <v>23</v>
      </c>
      <c r="E99" s="222" t="s">
        <v>28</v>
      </c>
      <c r="F99" s="222">
        <v>252.4</v>
      </c>
      <c r="G99" s="222">
        <v>252</v>
      </c>
      <c r="H99" s="222">
        <v>0.4</v>
      </c>
      <c r="I99" s="197">
        <v>5000</v>
      </c>
      <c r="J99" s="268">
        <f t="shared" si="8"/>
        <v>2000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45035</v>
      </c>
      <c r="D100" s="196" t="s">
        <v>23</v>
      </c>
      <c r="E100" s="222" t="s">
        <v>28</v>
      </c>
      <c r="F100" s="222">
        <v>249</v>
      </c>
      <c r="G100" s="222">
        <v>247.5</v>
      </c>
      <c r="H100" s="222">
        <f>249-247.5</f>
        <v>1.5</v>
      </c>
      <c r="I100" s="197">
        <v>5000</v>
      </c>
      <c r="J100" s="268">
        <f t="shared" si="8"/>
        <v>7500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45036</v>
      </c>
      <c r="D101" s="196" t="s">
        <v>23</v>
      </c>
      <c r="E101" s="222" t="s">
        <v>28</v>
      </c>
      <c r="F101" s="222">
        <v>245.3</v>
      </c>
      <c r="G101" s="222">
        <v>246.3</v>
      </c>
      <c r="H101" s="274">
        <v>-1</v>
      </c>
      <c r="I101" s="197">
        <v>5000</v>
      </c>
      <c r="J101" s="268">
        <f t="shared" si="8"/>
        <v>-5000</v>
      </c>
      <c r="K101" s="185"/>
      <c r="V101" s="183">
        <f t="shared" si="9"/>
        <v>0</v>
      </c>
      <c r="W101" s="183">
        <f t="shared" si="10"/>
        <v>1</v>
      </c>
    </row>
    <row r="102" spans="1:23" x14ac:dyDescent="0.3">
      <c r="A102" s="184"/>
      <c r="B102" s="194">
        <v>12</v>
      </c>
      <c r="C102" s="195">
        <v>45037</v>
      </c>
      <c r="D102" s="196" t="s">
        <v>23</v>
      </c>
      <c r="E102" s="222" t="s">
        <v>28</v>
      </c>
      <c r="F102" s="222">
        <v>245.5</v>
      </c>
      <c r="G102" s="222">
        <v>244.1</v>
      </c>
      <c r="H102" s="274">
        <f>245.5-244.1</f>
        <v>1.4000000000000057</v>
      </c>
      <c r="I102" s="197">
        <v>5000</v>
      </c>
      <c r="J102" s="268">
        <f t="shared" si="8"/>
        <v>7000.0000000000282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45040</v>
      </c>
      <c r="D103" s="196" t="s">
        <v>23</v>
      </c>
      <c r="E103" s="222" t="s">
        <v>28</v>
      </c>
      <c r="F103" s="222">
        <v>238.5</v>
      </c>
      <c r="G103" s="222">
        <v>237</v>
      </c>
      <c r="H103" s="274">
        <f>238.5-237</f>
        <v>1.5</v>
      </c>
      <c r="I103" s="197">
        <v>5000</v>
      </c>
      <c r="J103" s="268">
        <f t="shared" si="8"/>
        <v>7500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45041</v>
      </c>
      <c r="D104" s="196" t="s">
        <v>23</v>
      </c>
      <c r="E104" s="222" t="s">
        <v>28</v>
      </c>
      <c r="F104" s="222">
        <v>237</v>
      </c>
      <c r="G104" s="222">
        <v>236</v>
      </c>
      <c r="H104" s="274">
        <v>1</v>
      </c>
      <c r="I104" s="197">
        <v>5000</v>
      </c>
      <c r="J104" s="268">
        <f t="shared" si="8"/>
        <v>5000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45042</v>
      </c>
      <c r="D105" s="196" t="s">
        <v>23</v>
      </c>
      <c r="E105" s="196" t="s">
        <v>28</v>
      </c>
      <c r="F105" s="222">
        <v>234.5</v>
      </c>
      <c r="G105" s="222">
        <v>234</v>
      </c>
      <c r="H105" s="222">
        <v>0.5</v>
      </c>
      <c r="I105" s="197">
        <v>5000</v>
      </c>
      <c r="J105" s="268">
        <f t="shared" si="8"/>
        <v>2500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45043</v>
      </c>
      <c r="D106" s="196" t="s">
        <v>23</v>
      </c>
      <c r="E106" s="196" t="s">
        <v>28</v>
      </c>
      <c r="F106" s="222">
        <v>233.3</v>
      </c>
      <c r="G106" s="274">
        <v>232.7</v>
      </c>
      <c r="H106" s="274">
        <f>233.3-232.7</f>
        <v>0.60000000000002274</v>
      </c>
      <c r="I106" s="197">
        <v>5000</v>
      </c>
      <c r="J106" s="268">
        <f t="shared" si="8"/>
        <v>3000.0000000001137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45044</v>
      </c>
      <c r="D107" s="196" t="s">
        <v>23</v>
      </c>
      <c r="E107" s="196" t="s">
        <v>28</v>
      </c>
      <c r="F107" s="222">
        <v>235.3</v>
      </c>
      <c r="G107" s="222">
        <v>236.3</v>
      </c>
      <c r="H107" s="274">
        <v>-1</v>
      </c>
      <c r="I107" s="197">
        <v>5000</v>
      </c>
      <c r="J107" s="268">
        <f t="shared" si="8"/>
        <v>-5000</v>
      </c>
      <c r="K107" s="185"/>
      <c r="V107" s="183">
        <f t="shared" si="9"/>
        <v>0</v>
      </c>
      <c r="W107" s="183">
        <f t="shared" si="10"/>
        <v>1</v>
      </c>
    </row>
    <row r="108" spans="1:23" x14ac:dyDescent="0.3">
      <c r="A108" s="184"/>
      <c r="B108" s="194">
        <v>18</v>
      </c>
      <c r="C108" s="195"/>
      <c r="D108" s="196"/>
      <c r="E108" s="196"/>
      <c r="F108" s="222"/>
      <c r="G108" s="222"/>
      <c r="H108" s="274"/>
      <c r="I108" s="197"/>
      <c r="J108" s="268">
        <f t="shared" si="8"/>
        <v>0</v>
      </c>
      <c r="K108" s="185"/>
      <c r="V108" s="183">
        <f t="shared" si="9"/>
        <v>0</v>
      </c>
      <c r="W108" s="183">
        <f t="shared" si="10"/>
        <v>0</v>
      </c>
    </row>
    <row r="109" spans="1:23" x14ac:dyDescent="0.3">
      <c r="A109" s="184"/>
      <c r="B109" s="194">
        <v>19</v>
      </c>
      <c r="C109" s="195"/>
      <c r="D109" s="196"/>
      <c r="E109" s="196"/>
      <c r="F109" s="222"/>
      <c r="G109" s="222"/>
      <c r="H109" s="274"/>
      <c r="I109" s="197"/>
      <c r="J109" s="268">
        <f t="shared" si="8"/>
        <v>0</v>
      </c>
      <c r="K109" s="185"/>
      <c r="V109" s="183">
        <f t="shared" si="9"/>
        <v>0</v>
      </c>
      <c r="W109" s="183">
        <f t="shared" si="10"/>
        <v>0</v>
      </c>
    </row>
    <row r="110" spans="1:23" x14ac:dyDescent="0.3">
      <c r="A110" s="184"/>
      <c r="B110" s="194">
        <v>20</v>
      </c>
      <c r="C110" s="195"/>
      <c r="D110" s="196"/>
      <c r="E110" s="222"/>
      <c r="F110" s="222"/>
      <c r="G110" s="222"/>
      <c r="H110" s="274"/>
      <c r="I110" s="197"/>
      <c r="J110" s="268">
        <f t="shared" si="8"/>
        <v>0</v>
      </c>
      <c r="K110" s="185"/>
      <c r="V110" s="183">
        <f t="shared" si="9"/>
        <v>0</v>
      </c>
      <c r="W110" s="183">
        <f t="shared" si="10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8"/>
        <v>0</v>
      </c>
      <c r="K111" s="185"/>
      <c r="V111" s="183">
        <f>IF($J111&gt;0,1,0)</f>
        <v>0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34000.000000000175</v>
      </c>
      <c r="K114" s="185"/>
      <c r="V114" s="183">
        <f>SUM(V91:V113)</f>
        <v>12</v>
      </c>
      <c r="W114" s="183">
        <f>SUM(W91:W113)</f>
        <v>5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07" t="s">
        <v>873</v>
      </c>
      <c r="C118" s="308"/>
      <c r="D118" s="308"/>
      <c r="E118" s="308"/>
      <c r="F118" s="308"/>
      <c r="G118" s="308"/>
      <c r="H118" s="308"/>
      <c r="I118" s="308"/>
      <c r="J118" s="309"/>
      <c r="K118" s="185"/>
    </row>
    <row r="119" spans="1:23" ht="16.2" thickBot="1" x14ac:dyDescent="0.35">
      <c r="A119" s="184"/>
      <c r="B119" s="310">
        <v>45017</v>
      </c>
      <c r="C119" s="311"/>
      <c r="D119" s="311"/>
      <c r="E119" s="311"/>
      <c r="F119" s="311"/>
      <c r="G119" s="311"/>
      <c r="H119" s="311"/>
      <c r="I119" s="311"/>
      <c r="J119" s="312"/>
      <c r="K119" s="185"/>
    </row>
    <row r="120" spans="1:23" ht="16.2" thickBot="1" x14ac:dyDescent="0.35">
      <c r="A120" s="184"/>
      <c r="B120" s="313" t="s">
        <v>905</v>
      </c>
      <c r="C120" s="314"/>
      <c r="D120" s="314"/>
      <c r="E120" s="314"/>
      <c r="F120" s="314"/>
      <c r="G120" s="314"/>
      <c r="H120" s="314"/>
      <c r="I120" s="314"/>
      <c r="J120" s="315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45019</v>
      </c>
      <c r="D122" s="216" t="s">
        <v>16</v>
      </c>
      <c r="E122" s="256" t="s">
        <v>913</v>
      </c>
      <c r="F122" s="256">
        <v>200</v>
      </c>
      <c r="G122" s="256">
        <v>180</v>
      </c>
      <c r="H122" s="256">
        <v>-20</v>
      </c>
      <c r="I122" s="218">
        <v>100</v>
      </c>
      <c r="J122" s="273">
        <f>I122*H122</f>
        <v>-2000</v>
      </c>
      <c r="K122" s="185"/>
      <c r="V122" s="183">
        <f>IF($J122&gt;0,1,0)</f>
        <v>0</v>
      </c>
      <c r="W122" s="183">
        <f>IF($J122&lt;0,1,0)</f>
        <v>1</v>
      </c>
    </row>
    <row r="123" spans="1:23" x14ac:dyDescent="0.3">
      <c r="A123" s="184"/>
      <c r="B123" s="194">
        <v>2</v>
      </c>
      <c r="C123" s="195">
        <v>45021</v>
      </c>
      <c r="D123" s="196" t="s">
        <v>16</v>
      </c>
      <c r="E123" s="222" t="s">
        <v>912</v>
      </c>
      <c r="F123" s="222">
        <v>200</v>
      </c>
      <c r="G123" s="222">
        <v>220</v>
      </c>
      <c r="H123" s="222">
        <v>20</v>
      </c>
      <c r="I123" s="218">
        <v>100</v>
      </c>
      <c r="J123" s="268">
        <f t="shared" ref="J123:J142" si="11">I123*H123</f>
        <v>2000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45022</v>
      </c>
      <c r="D124" s="196" t="s">
        <v>16</v>
      </c>
      <c r="E124" s="222" t="s">
        <v>921</v>
      </c>
      <c r="F124" s="222">
        <v>175</v>
      </c>
      <c r="G124" s="222">
        <v>194</v>
      </c>
      <c r="H124" s="222">
        <f>194-175</f>
        <v>19</v>
      </c>
      <c r="I124" s="218">
        <v>100</v>
      </c>
      <c r="J124" s="268">
        <f t="shared" si="11"/>
        <v>1900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45026</v>
      </c>
      <c r="D125" s="196" t="s">
        <v>16</v>
      </c>
      <c r="E125" s="222" t="s">
        <v>914</v>
      </c>
      <c r="F125" s="222">
        <v>190</v>
      </c>
      <c r="G125" s="222">
        <v>230</v>
      </c>
      <c r="H125" s="222">
        <f>230-190</f>
        <v>40</v>
      </c>
      <c r="I125" s="218">
        <v>100</v>
      </c>
      <c r="J125" s="268">
        <f t="shared" si="11"/>
        <v>4000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45027</v>
      </c>
      <c r="D126" s="196" t="s">
        <v>16</v>
      </c>
      <c r="E126" s="222" t="s">
        <v>914</v>
      </c>
      <c r="F126" s="222">
        <v>190</v>
      </c>
      <c r="G126" s="222">
        <v>230</v>
      </c>
      <c r="H126" s="222">
        <f>230-190</f>
        <v>40</v>
      </c>
      <c r="I126" s="218">
        <v>100</v>
      </c>
      <c r="J126" s="268">
        <f t="shared" si="11"/>
        <v>4000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45028</v>
      </c>
      <c r="D127" s="196" t="s">
        <v>16</v>
      </c>
      <c r="E127" s="222" t="s">
        <v>914</v>
      </c>
      <c r="F127" s="222">
        <v>120</v>
      </c>
      <c r="G127" s="222">
        <v>134.80000000000001</v>
      </c>
      <c r="H127" s="222">
        <f>134.8-120</f>
        <v>14.800000000000011</v>
      </c>
      <c r="I127" s="218">
        <v>100</v>
      </c>
      <c r="J127" s="268">
        <f t="shared" si="11"/>
        <v>1480.0000000000011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45029</v>
      </c>
      <c r="D128" s="196" t="s">
        <v>16</v>
      </c>
      <c r="E128" s="222" t="s">
        <v>922</v>
      </c>
      <c r="F128" s="222">
        <v>145</v>
      </c>
      <c r="G128" s="222">
        <v>173.8</v>
      </c>
      <c r="H128" s="274">
        <f>173.8-145</f>
        <v>28.800000000000011</v>
      </c>
      <c r="I128" s="218">
        <v>100</v>
      </c>
      <c r="J128" s="268">
        <f t="shared" si="11"/>
        <v>2880.0000000000009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45033</v>
      </c>
      <c r="D129" s="196" t="s">
        <v>16</v>
      </c>
      <c r="E129" s="222" t="s">
        <v>914</v>
      </c>
      <c r="F129" s="222">
        <v>240</v>
      </c>
      <c r="G129" s="222">
        <v>270</v>
      </c>
      <c r="H129" s="222">
        <v>30</v>
      </c>
      <c r="I129" s="218">
        <v>100</v>
      </c>
      <c r="J129" s="268">
        <f t="shared" si="11"/>
        <v>3000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45034</v>
      </c>
      <c r="D130" s="196" t="s">
        <v>16</v>
      </c>
      <c r="E130" s="222" t="s">
        <v>912</v>
      </c>
      <c r="F130" s="222">
        <v>240</v>
      </c>
      <c r="G130" s="222">
        <v>260</v>
      </c>
      <c r="H130" s="222">
        <v>20</v>
      </c>
      <c r="I130" s="218">
        <v>100</v>
      </c>
      <c r="J130" s="268">
        <f t="shared" si="11"/>
        <v>2000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45035</v>
      </c>
      <c r="D131" s="196" t="s">
        <v>16</v>
      </c>
      <c r="E131" s="222" t="s">
        <v>913</v>
      </c>
      <c r="F131" s="222">
        <v>240</v>
      </c>
      <c r="G131" s="222">
        <v>270</v>
      </c>
      <c r="H131" s="222">
        <v>30</v>
      </c>
      <c r="I131" s="218">
        <v>100</v>
      </c>
      <c r="J131" s="268">
        <f t="shared" si="11"/>
        <v>3000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45036</v>
      </c>
      <c r="D132" s="196" t="s">
        <v>16</v>
      </c>
      <c r="E132" s="222" t="s">
        <v>910</v>
      </c>
      <c r="F132" s="222">
        <v>250</v>
      </c>
      <c r="G132" s="222">
        <v>280</v>
      </c>
      <c r="H132" s="274">
        <v>30</v>
      </c>
      <c r="I132" s="218">
        <v>100</v>
      </c>
      <c r="J132" s="268">
        <f t="shared" si="11"/>
        <v>3000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45037</v>
      </c>
      <c r="D133" s="196" t="s">
        <v>16</v>
      </c>
      <c r="E133" s="222" t="s">
        <v>910</v>
      </c>
      <c r="F133" s="222">
        <v>260</v>
      </c>
      <c r="G133" s="222">
        <v>270</v>
      </c>
      <c r="H133" s="274">
        <v>10</v>
      </c>
      <c r="I133" s="218">
        <v>100</v>
      </c>
      <c r="J133" s="268">
        <f t="shared" si="11"/>
        <v>1000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45040</v>
      </c>
      <c r="D134" s="196" t="s">
        <v>16</v>
      </c>
      <c r="E134" s="222" t="s">
        <v>910</v>
      </c>
      <c r="F134" s="222">
        <v>240</v>
      </c>
      <c r="G134" s="222">
        <v>268</v>
      </c>
      <c r="H134" s="274">
        <f>268-240</f>
        <v>28</v>
      </c>
      <c r="I134" s="218">
        <v>100</v>
      </c>
      <c r="J134" s="268">
        <f t="shared" si="11"/>
        <v>2800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45040</v>
      </c>
      <c r="D135" s="196" t="s">
        <v>16</v>
      </c>
      <c r="E135" s="222" t="s">
        <v>910</v>
      </c>
      <c r="F135" s="222">
        <v>190</v>
      </c>
      <c r="G135" s="222">
        <v>220</v>
      </c>
      <c r="H135" s="274">
        <f>220-190</f>
        <v>30</v>
      </c>
      <c r="I135" s="218">
        <v>100</v>
      </c>
      <c r="J135" s="268">
        <f t="shared" si="11"/>
        <v>3000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45042</v>
      </c>
      <c r="D136" s="196" t="s">
        <v>16</v>
      </c>
      <c r="E136" s="196" t="s">
        <v>910</v>
      </c>
      <c r="F136" s="222">
        <v>240</v>
      </c>
      <c r="G136" s="222">
        <v>280</v>
      </c>
      <c r="H136" s="222">
        <v>40</v>
      </c>
      <c r="I136" s="218">
        <v>100</v>
      </c>
      <c r="J136" s="268">
        <f t="shared" si="11"/>
        <v>4000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45043</v>
      </c>
      <c r="D137" s="196" t="s">
        <v>16</v>
      </c>
      <c r="E137" s="196" t="s">
        <v>915</v>
      </c>
      <c r="F137" s="222">
        <v>220</v>
      </c>
      <c r="G137" s="274">
        <v>227</v>
      </c>
      <c r="H137" s="274">
        <v>7</v>
      </c>
      <c r="I137" s="218">
        <v>100</v>
      </c>
      <c r="J137" s="268">
        <f t="shared" si="11"/>
        <v>700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45044</v>
      </c>
      <c r="D138" s="196" t="s">
        <v>16</v>
      </c>
      <c r="E138" s="196" t="s">
        <v>915</v>
      </c>
      <c r="F138" s="222">
        <v>205</v>
      </c>
      <c r="G138" s="222">
        <v>225</v>
      </c>
      <c r="H138" s="274">
        <f>225-205</f>
        <v>20</v>
      </c>
      <c r="I138" s="218">
        <v>100</v>
      </c>
      <c r="J138" s="268">
        <f t="shared" si="11"/>
        <v>2000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/>
      <c r="D139" s="196"/>
      <c r="E139" s="196"/>
      <c r="F139" s="222"/>
      <c r="G139" s="222"/>
      <c r="H139" s="274"/>
      <c r="I139" s="218"/>
      <c r="J139" s="268">
        <f t="shared" si="11"/>
        <v>0</v>
      </c>
      <c r="K139" s="185"/>
      <c r="V139" s="183">
        <f t="shared" si="12"/>
        <v>0</v>
      </c>
      <c r="W139" s="183">
        <f t="shared" si="13"/>
        <v>0</v>
      </c>
    </row>
    <row r="140" spans="1:23" x14ac:dyDescent="0.3">
      <c r="A140" s="184"/>
      <c r="B140" s="194">
        <v>19</v>
      </c>
      <c r="C140" s="195"/>
      <c r="D140" s="196"/>
      <c r="E140" s="196"/>
      <c r="F140" s="222"/>
      <c r="G140" s="222"/>
      <c r="H140" s="274"/>
      <c r="I140" s="218"/>
      <c r="J140" s="268">
        <f t="shared" si="11"/>
        <v>0</v>
      </c>
      <c r="K140" s="185"/>
      <c r="V140" s="183">
        <f t="shared" si="12"/>
        <v>0</v>
      </c>
      <c r="W140" s="183">
        <f t="shared" si="13"/>
        <v>0</v>
      </c>
    </row>
    <row r="141" spans="1:23" x14ac:dyDescent="0.3">
      <c r="A141" s="184"/>
      <c r="B141" s="194">
        <v>20</v>
      </c>
      <c r="C141" s="195"/>
      <c r="D141" s="196"/>
      <c r="E141" s="222"/>
      <c r="F141" s="222"/>
      <c r="G141" s="222"/>
      <c r="H141" s="274"/>
      <c r="I141" s="218"/>
      <c r="J141" s="268">
        <f t="shared" si="11"/>
        <v>0</v>
      </c>
      <c r="K141" s="185"/>
      <c r="V141" s="183">
        <f t="shared" si="12"/>
        <v>0</v>
      </c>
      <c r="W141" s="183">
        <f t="shared" si="13"/>
        <v>0</v>
      </c>
    </row>
    <row r="142" spans="1:23" x14ac:dyDescent="0.3">
      <c r="A142" s="184"/>
      <c r="B142" s="194">
        <v>21</v>
      </c>
      <c r="C142" s="195"/>
      <c r="D142" s="196"/>
      <c r="E142" s="222"/>
      <c r="F142" s="222"/>
      <c r="G142" s="222"/>
      <c r="H142" s="274"/>
      <c r="I142" s="218"/>
      <c r="J142" s="268">
        <f t="shared" si="11"/>
        <v>0</v>
      </c>
      <c r="K142" s="185"/>
      <c r="V142" s="183">
        <f t="shared" si="12"/>
        <v>0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04" t="s">
        <v>879</v>
      </c>
      <c r="C145" s="305"/>
      <c r="D145" s="305"/>
      <c r="E145" s="305"/>
      <c r="F145" s="305"/>
      <c r="G145" s="305"/>
      <c r="H145" s="306"/>
      <c r="I145" s="203" t="s">
        <v>880</v>
      </c>
      <c r="J145" s="204">
        <f>SUM(J122:J144)</f>
        <v>38760</v>
      </c>
      <c r="K145" s="185"/>
      <c r="V145" s="183">
        <f>SUM(V122:V144)</f>
        <v>16</v>
      </c>
      <c r="W145" s="183">
        <f>SUM(W122:W144)</f>
        <v>1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</mergeCells>
  <hyperlinks>
    <hyperlink ref="B52" r:id="rId1" xr:uid="{00000000-0004-0000-7C00-000000000000}"/>
    <hyperlink ref="B83" r:id="rId2" xr:uid="{00000000-0004-0000-7C00-000001000000}"/>
    <hyperlink ref="M4:M5" location="'FEB 2023'!A1" display="BULLION" xr:uid="{00000000-0004-0000-7C00-000002000000}"/>
    <hyperlink ref="B114" r:id="rId3" xr:uid="{00000000-0004-0000-7C00-000003000000}"/>
    <hyperlink ref="M8:M9" location="'FEB 2023'!A86" display="BASE METAL" xr:uid="{00000000-0004-0000-7C00-000004000000}"/>
    <hyperlink ref="M1" location="MASTER!A1" display="Back" xr:uid="{00000000-0004-0000-7C00-000005000000}"/>
    <hyperlink ref="M6:M7" location="'FEB 2023'!A55" display="ENERGY" xr:uid="{00000000-0004-0000-7C00-000006000000}"/>
    <hyperlink ref="B145" r:id="rId4" xr:uid="{00000000-0004-0000-7C00-000007000000}"/>
    <hyperlink ref="M10:M11" location="'FEB 2023'!A117" display="CRUDEOIL OPTION" xr:uid="{00000000-0004-0000-7C00-000008000000}"/>
  </hyperlinks>
  <pageMargins left="0" right="0" top="0" bottom="0" header="0" footer="0"/>
  <pageSetup paperSize="9" orientation="portrait" r:id="rId5"/>
  <drawing r:id="rId6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W146"/>
  <sheetViews>
    <sheetView topLeftCell="A16" zoomScaleNormal="100" workbookViewId="0">
      <selection activeCell="M20" sqref="M2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45047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33</v>
      </c>
      <c r="P4" s="369">
        <f>W52</f>
        <v>9</v>
      </c>
      <c r="Q4" s="349">
        <f>N4-O4-P4</f>
        <v>0</v>
      </c>
      <c r="R4" s="343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45048</v>
      </c>
      <c r="D6" s="192" t="s">
        <v>23</v>
      </c>
      <c r="E6" s="192" t="s">
        <v>24</v>
      </c>
      <c r="F6" s="193">
        <v>59900</v>
      </c>
      <c r="G6" s="193">
        <v>60000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COUNT(C60:C82)</f>
        <v>21</v>
      </c>
      <c r="O6" s="348">
        <f>V83</f>
        <v>16</v>
      </c>
      <c r="P6" s="348">
        <f>W83</f>
        <v>5</v>
      </c>
      <c r="Q6" s="349">
        <v>0</v>
      </c>
      <c r="R6" s="345">
        <f t="shared" ref="R6" si="0">O6/N6</f>
        <v>0.76190476190476186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45048</v>
      </c>
      <c r="D7" s="196" t="s">
        <v>23</v>
      </c>
      <c r="E7" s="196" t="s">
        <v>22</v>
      </c>
      <c r="F7" s="197">
        <v>74900</v>
      </c>
      <c r="G7" s="197">
        <v>74630</v>
      </c>
      <c r="H7" s="196">
        <f>74900-74630</f>
        <v>270</v>
      </c>
      <c r="I7" s="197">
        <v>30</v>
      </c>
      <c r="J7" s="268">
        <f t="shared" ref="J7:J51" si="1">H7*I7</f>
        <v>8100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45049</v>
      </c>
      <c r="D8" s="196" t="s">
        <v>23</v>
      </c>
      <c r="E8" s="196" t="s">
        <v>24</v>
      </c>
      <c r="F8" s="197">
        <v>60760</v>
      </c>
      <c r="G8" s="197">
        <v>60560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COUNT(C91:C113)</f>
        <v>20</v>
      </c>
      <c r="O8" s="348">
        <f>V114</f>
        <v>15</v>
      </c>
      <c r="P8" s="348">
        <f>W114</f>
        <v>5</v>
      </c>
      <c r="Q8" s="349">
        <f>N8-O8-P8</f>
        <v>0</v>
      </c>
      <c r="R8" s="345">
        <f t="shared" ref="R8" si="4">O8/N8</f>
        <v>0.75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45049</v>
      </c>
      <c r="D9" s="196" t="s">
        <v>23</v>
      </c>
      <c r="E9" s="196" t="s">
        <v>22</v>
      </c>
      <c r="F9" s="197">
        <v>76500</v>
      </c>
      <c r="G9" s="197">
        <v>75900</v>
      </c>
      <c r="H9" s="196">
        <v>600</v>
      </c>
      <c r="I9" s="197">
        <v>30</v>
      </c>
      <c r="J9" s="268">
        <f t="shared" si="1"/>
        <v>18000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45050</v>
      </c>
      <c r="D10" s="196" t="s">
        <v>23</v>
      </c>
      <c r="E10" s="196" t="s">
        <v>24</v>
      </c>
      <c r="F10" s="197">
        <v>61320</v>
      </c>
      <c r="G10" s="197">
        <v>61420</v>
      </c>
      <c r="H10" s="196">
        <v>-100</v>
      </c>
      <c r="I10" s="197">
        <v>100</v>
      </c>
      <c r="J10" s="268">
        <f t="shared" si="1"/>
        <v>-10000</v>
      </c>
      <c r="K10" s="185"/>
      <c r="M10" s="364" t="s">
        <v>906</v>
      </c>
      <c r="N10" s="347">
        <f>COUNT(C122:C144)</f>
        <v>21</v>
      </c>
      <c r="O10" s="348">
        <f>V145</f>
        <v>15</v>
      </c>
      <c r="P10" s="348">
        <f>W145</f>
        <v>6</v>
      </c>
      <c r="Q10" s="349">
        <f>N10-O10-P10</f>
        <v>0</v>
      </c>
      <c r="R10" s="345">
        <f>O10/N10</f>
        <v>0.7142857142857143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45050</v>
      </c>
      <c r="D11" s="196" t="s">
        <v>23</v>
      </c>
      <c r="E11" s="196" t="s">
        <v>22</v>
      </c>
      <c r="F11" s="197">
        <v>77200</v>
      </c>
      <c r="G11" s="197">
        <v>76900</v>
      </c>
      <c r="H11" s="196">
        <f>77200-76900</f>
        <v>300</v>
      </c>
      <c r="I11" s="197">
        <v>30</v>
      </c>
      <c r="J11" s="268">
        <f t="shared" si="1"/>
        <v>9000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45051</v>
      </c>
      <c r="D12" s="196" t="s">
        <v>23</v>
      </c>
      <c r="E12" s="196" t="s">
        <v>24</v>
      </c>
      <c r="F12" s="197">
        <v>61300</v>
      </c>
      <c r="G12" s="197">
        <v>61100</v>
      </c>
      <c r="H12" s="196">
        <v>200</v>
      </c>
      <c r="I12" s="197">
        <v>100</v>
      </c>
      <c r="J12" s="268">
        <f t="shared" si="1"/>
        <v>20000</v>
      </c>
      <c r="K12" s="185"/>
      <c r="M12" s="319" t="s">
        <v>300</v>
      </c>
      <c r="N12" s="371">
        <f>SUM(N4:N11)</f>
        <v>104</v>
      </c>
      <c r="O12" s="371">
        <f>SUM(O4:O11)</f>
        <v>79</v>
      </c>
      <c r="P12" s="371">
        <f>SUM(P4:P11)</f>
        <v>25</v>
      </c>
      <c r="Q12" s="371">
        <f>SUM(Q4:Q11)</f>
        <v>0</v>
      </c>
      <c r="R12" s="343">
        <f>O12/N12</f>
        <v>0.75961538461538458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45051</v>
      </c>
      <c r="D13" s="196" t="s">
        <v>23</v>
      </c>
      <c r="E13" s="196" t="s">
        <v>22</v>
      </c>
      <c r="F13" s="197">
        <v>77900</v>
      </c>
      <c r="G13" s="197">
        <v>77350</v>
      </c>
      <c r="H13" s="196">
        <f>77900-77350</f>
        <v>550</v>
      </c>
      <c r="I13" s="197">
        <v>30</v>
      </c>
      <c r="J13" s="268">
        <f t="shared" si="1"/>
        <v>16500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45054</v>
      </c>
      <c r="D14" s="196" t="s">
        <v>23</v>
      </c>
      <c r="E14" s="196" t="s">
        <v>24</v>
      </c>
      <c r="F14" s="197">
        <v>60830</v>
      </c>
      <c r="G14" s="197">
        <v>60930</v>
      </c>
      <c r="H14" s="196">
        <v>-100</v>
      </c>
      <c r="I14" s="197">
        <v>100</v>
      </c>
      <c r="J14" s="268">
        <f t="shared" si="1"/>
        <v>-10000</v>
      </c>
      <c r="K14" s="185"/>
      <c r="M14" s="323" t="s">
        <v>878</v>
      </c>
      <c r="N14" s="324"/>
      <c r="O14" s="325"/>
      <c r="P14" s="332">
        <f>R12</f>
        <v>0.75961538461538458</v>
      </c>
      <c r="Q14" s="333"/>
      <c r="R14" s="334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45054</v>
      </c>
      <c r="D15" s="196" t="s">
        <v>23</v>
      </c>
      <c r="E15" s="196" t="s">
        <v>22</v>
      </c>
      <c r="F15" s="197">
        <v>77200</v>
      </c>
      <c r="G15" s="197">
        <v>76900</v>
      </c>
      <c r="H15" s="196">
        <f>77200-76900</f>
        <v>300</v>
      </c>
      <c r="I15" s="197">
        <v>30</v>
      </c>
      <c r="J15" s="268">
        <f t="shared" si="1"/>
        <v>9000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45055</v>
      </c>
      <c r="D16" s="196" t="s">
        <v>23</v>
      </c>
      <c r="E16" s="196" t="s">
        <v>24</v>
      </c>
      <c r="F16" s="197">
        <v>61320</v>
      </c>
      <c r="G16" s="197">
        <v>61120</v>
      </c>
      <c r="H16" s="196">
        <v>200</v>
      </c>
      <c r="I16" s="197">
        <v>100</v>
      </c>
      <c r="J16" s="268">
        <f t="shared" si="1"/>
        <v>20000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45055</v>
      </c>
      <c r="D17" s="196" t="s">
        <v>23</v>
      </c>
      <c r="E17" s="196" t="s">
        <v>22</v>
      </c>
      <c r="F17" s="197">
        <v>77200</v>
      </c>
      <c r="G17" s="197">
        <v>76900</v>
      </c>
      <c r="H17" s="196">
        <f>77200-76900</f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45056</v>
      </c>
      <c r="D18" s="196" t="s">
        <v>23</v>
      </c>
      <c r="E18" s="196" t="s">
        <v>24</v>
      </c>
      <c r="F18" s="197">
        <v>61250</v>
      </c>
      <c r="G18" s="197">
        <v>61153</v>
      </c>
      <c r="H18" s="196">
        <f>61250-61153</f>
        <v>97</v>
      </c>
      <c r="I18" s="197">
        <v>100</v>
      </c>
      <c r="J18" s="268">
        <f t="shared" si="1"/>
        <v>9700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45056</v>
      </c>
      <c r="D19" s="196" t="s">
        <v>23</v>
      </c>
      <c r="E19" s="196" t="s">
        <v>22</v>
      </c>
      <c r="F19" s="197">
        <v>77300</v>
      </c>
      <c r="G19" s="197">
        <v>77130</v>
      </c>
      <c r="H19" s="196">
        <f>77300-77130</f>
        <v>170</v>
      </c>
      <c r="I19" s="197">
        <v>30</v>
      </c>
      <c r="J19" s="268">
        <f t="shared" si="1"/>
        <v>5100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45057</v>
      </c>
      <c r="D20" s="196" t="s">
        <v>23</v>
      </c>
      <c r="E20" s="196" t="s">
        <v>24</v>
      </c>
      <c r="F20" s="197">
        <v>61100</v>
      </c>
      <c r="G20" s="197">
        <v>61200</v>
      </c>
      <c r="H20" s="196">
        <v>-100</v>
      </c>
      <c r="I20" s="197">
        <v>100</v>
      </c>
      <c r="J20" s="268">
        <f t="shared" si="1"/>
        <v>-10000</v>
      </c>
      <c r="K20" s="185"/>
      <c r="M20" s="183" t="s">
        <v>870</v>
      </c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45057</v>
      </c>
      <c r="D21" s="196" t="s">
        <v>23</v>
      </c>
      <c r="E21" s="196" t="s">
        <v>22</v>
      </c>
      <c r="F21" s="197">
        <v>75600</v>
      </c>
      <c r="G21" s="197">
        <v>75900</v>
      </c>
      <c r="H21" s="196">
        <v>-300</v>
      </c>
      <c r="I21" s="197">
        <v>30</v>
      </c>
      <c r="J21" s="268">
        <f t="shared" si="1"/>
        <v>-9000</v>
      </c>
      <c r="K21" s="185"/>
      <c r="M21" s="183" t="s">
        <v>904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45058</v>
      </c>
      <c r="D22" s="196" t="s">
        <v>23</v>
      </c>
      <c r="E22" s="196" t="s">
        <v>24</v>
      </c>
      <c r="F22" s="197">
        <v>60660</v>
      </c>
      <c r="G22" s="197">
        <v>60560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45058</v>
      </c>
      <c r="D23" s="196" t="s">
        <v>23</v>
      </c>
      <c r="E23" s="196" t="s">
        <v>22</v>
      </c>
      <c r="F23" s="197">
        <v>73000</v>
      </c>
      <c r="G23" s="197">
        <v>73700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45062</v>
      </c>
      <c r="D24" s="196" t="s">
        <v>16</v>
      </c>
      <c r="E24" s="196" t="s">
        <v>24</v>
      </c>
      <c r="F24" s="197">
        <v>60800</v>
      </c>
      <c r="G24" s="197">
        <v>60900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45062</v>
      </c>
      <c r="D25" s="196" t="s">
        <v>16</v>
      </c>
      <c r="E25" s="196" t="s">
        <v>22</v>
      </c>
      <c r="F25" s="197">
        <v>72700</v>
      </c>
      <c r="G25" s="197">
        <v>72900</v>
      </c>
      <c r="H25" s="196">
        <v>200</v>
      </c>
      <c r="I25" s="197">
        <v>30</v>
      </c>
      <c r="J25" s="268">
        <f t="shared" si="1"/>
        <v>6000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45063</v>
      </c>
      <c r="D26" s="196" t="s">
        <v>16</v>
      </c>
      <c r="E26" s="196" t="s">
        <v>24</v>
      </c>
      <c r="F26" s="197">
        <v>60250</v>
      </c>
      <c r="G26" s="197">
        <v>60300</v>
      </c>
      <c r="H26" s="196">
        <v>50</v>
      </c>
      <c r="I26" s="197">
        <v>100</v>
      </c>
      <c r="J26" s="268">
        <f t="shared" si="1"/>
        <v>5000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45063</v>
      </c>
      <c r="D27" s="196" t="s">
        <v>16</v>
      </c>
      <c r="E27" s="196" t="s">
        <v>22</v>
      </c>
      <c r="F27" s="197">
        <v>72400</v>
      </c>
      <c r="G27" s="197">
        <v>72550</v>
      </c>
      <c r="H27" s="196">
        <f>72550-72400</f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45064</v>
      </c>
      <c r="D28" s="196" t="s">
        <v>23</v>
      </c>
      <c r="E28" s="196" t="s">
        <v>24</v>
      </c>
      <c r="F28" s="197">
        <v>60000</v>
      </c>
      <c r="G28" s="197">
        <v>59945</v>
      </c>
      <c r="H28" s="196">
        <f>60000-59945</f>
        <v>55</v>
      </c>
      <c r="I28" s="197">
        <v>100</v>
      </c>
      <c r="J28" s="268">
        <f t="shared" si="1"/>
        <v>5500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45064</v>
      </c>
      <c r="D29" s="196" t="s">
        <v>23</v>
      </c>
      <c r="E29" s="196" t="s">
        <v>22</v>
      </c>
      <c r="F29" s="197">
        <v>72000</v>
      </c>
      <c r="G29" s="197">
        <v>72300</v>
      </c>
      <c r="H29" s="196">
        <v>-300</v>
      </c>
      <c r="I29" s="197">
        <v>30</v>
      </c>
      <c r="J29" s="268">
        <f t="shared" si="1"/>
        <v>-9000</v>
      </c>
      <c r="K29" s="185"/>
      <c r="V29" s="183">
        <f t="shared" si="2"/>
        <v>0</v>
      </c>
      <c r="W29" s="183">
        <f t="shared" si="3"/>
        <v>1</v>
      </c>
    </row>
    <row r="30" spans="1:23" x14ac:dyDescent="0.3">
      <c r="A30" s="184"/>
      <c r="B30" s="194">
        <v>25</v>
      </c>
      <c r="C30" s="195">
        <v>45065</v>
      </c>
      <c r="D30" s="196" t="s">
        <v>16</v>
      </c>
      <c r="E30" s="196" t="s">
        <v>24</v>
      </c>
      <c r="F30" s="197">
        <v>59900</v>
      </c>
      <c r="G30" s="197">
        <v>60100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45065</v>
      </c>
      <c r="D31" s="196" t="s">
        <v>16</v>
      </c>
      <c r="E31" s="196" t="s">
        <v>22</v>
      </c>
      <c r="F31" s="197">
        <v>72700</v>
      </c>
      <c r="G31" s="197">
        <v>72400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45068</v>
      </c>
      <c r="D32" s="196" t="s">
        <v>23</v>
      </c>
      <c r="E32" s="196" t="s">
        <v>24</v>
      </c>
      <c r="F32" s="197">
        <v>60420</v>
      </c>
      <c r="G32" s="197">
        <v>60220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45068</v>
      </c>
      <c r="D33" s="196" t="s">
        <v>23</v>
      </c>
      <c r="E33" s="196" t="s">
        <v>22</v>
      </c>
      <c r="F33" s="197">
        <v>73200</v>
      </c>
      <c r="G33" s="197">
        <v>72600</v>
      </c>
      <c r="H33" s="196"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45069</v>
      </c>
      <c r="D34" s="196" t="s">
        <v>23</v>
      </c>
      <c r="E34" s="196" t="s">
        <v>24</v>
      </c>
      <c r="F34" s="197">
        <v>59800</v>
      </c>
      <c r="G34" s="197">
        <v>59745</v>
      </c>
      <c r="H34" s="196">
        <f>59800-59745</f>
        <v>55</v>
      </c>
      <c r="I34" s="197">
        <v>100</v>
      </c>
      <c r="J34" s="268">
        <f t="shared" si="1"/>
        <v>5500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45069</v>
      </c>
      <c r="D35" s="196" t="s">
        <v>23</v>
      </c>
      <c r="E35" s="196" t="s">
        <v>22</v>
      </c>
      <c r="F35" s="197">
        <v>71250</v>
      </c>
      <c r="G35" s="197">
        <v>71110</v>
      </c>
      <c r="H35" s="196">
        <f>71250-71110</f>
        <v>140</v>
      </c>
      <c r="I35" s="197">
        <v>30</v>
      </c>
      <c r="J35" s="268">
        <f t="shared" si="1"/>
        <v>4200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45070</v>
      </c>
      <c r="D36" s="196" t="s">
        <v>23</v>
      </c>
      <c r="E36" s="196" t="s">
        <v>24</v>
      </c>
      <c r="F36" s="197">
        <v>60180</v>
      </c>
      <c r="G36" s="197">
        <v>60280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3"/>
        <v>1</v>
      </c>
    </row>
    <row r="37" spans="1:23" x14ac:dyDescent="0.3">
      <c r="A37" s="184"/>
      <c r="B37" s="194">
        <v>32</v>
      </c>
      <c r="C37" s="195">
        <v>45070</v>
      </c>
      <c r="D37" s="196" t="s">
        <v>23</v>
      </c>
      <c r="E37" s="196" t="s">
        <v>22</v>
      </c>
      <c r="F37" s="197">
        <v>71800</v>
      </c>
      <c r="G37" s="197">
        <v>71500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45071</v>
      </c>
      <c r="D38" s="196" t="s">
        <v>23</v>
      </c>
      <c r="E38" s="196" t="s">
        <v>24</v>
      </c>
      <c r="F38" s="197">
        <v>59900</v>
      </c>
      <c r="G38" s="197">
        <v>59800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45071</v>
      </c>
      <c r="D39" s="196" t="s">
        <v>23</v>
      </c>
      <c r="E39" s="196" t="s">
        <v>22</v>
      </c>
      <c r="F39" s="197">
        <v>71000</v>
      </c>
      <c r="G39" s="197">
        <v>70700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45072</v>
      </c>
      <c r="D40" s="196" t="s">
        <v>23</v>
      </c>
      <c r="E40" s="196" t="s">
        <v>24</v>
      </c>
      <c r="F40" s="197">
        <v>59600</v>
      </c>
      <c r="G40" s="197">
        <v>59406</v>
      </c>
      <c r="H40" s="196">
        <f>59600-59406</f>
        <v>194</v>
      </c>
      <c r="I40" s="197">
        <v>100</v>
      </c>
      <c r="J40" s="268">
        <f t="shared" si="1"/>
        <v>19400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45072</v>
      </c>
      <c r="D41" s="196" t="s">
        <v>23</v>
      </c>
      <c r="E41" s="196" t="s">
        <v>22</v>
      </c>
      <c r="F41" s="197">
        <v>70950</v>
      </c>
      <c r="G41" s="197">
        <v>70650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45075</v>
      </c>
      <c r="D42" s="196" t="s">
        <v>23</v>
      </c>
      <c r="E42" s="196" t="s">
        <v>24</v>
      </c>
      <c r="F42" s="197">
        <v>59520</v>
      </c>
      <c r="G42" s="197">
        <v>59470</v>
      </c>
      <c r="H42" s="196">
        <f>59520-59470</f>
        <v>50</v>
      </c>
      <c r="I42" s="197">
        <v>100</v>
      </c>
      <c r="J42" s="268">
        <f t="shared" si="1"/>
        <v>5000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45075</v>
      </c>
      <c r="D43" s="196" t="s">
        <v>23</v>
      </c>
      <c r="E43" s="196" t="s">
        <v>22</v>
      </c>
      <c r="F43" s="197">
        <v>71300</v>
      </c>
      <c r="G43" s="197">
        <v>71000</v>
      </c>
      <c r="H43" s="196">
        <v>300</v>
      </c>
      <c r="I43" s="197">
        <v>30</v>
      </c>
      <c r="J43" s="268">
        <f t="shared" si="1"/>
        <v>9000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45076</v>
      </c>
      <c r="D44" s="196" t="s">
        <v>23</v>
      </c>
      <c r="E44" s="196" t="s">
        <v>24</v>
      </c>
      <c r="F44" s="197">
        <v>59770</v>
      </c>
      <c r="G44" s="197">
        <v>59870</v>
      </c>
      <c r="H44" s="196">
        <v>-100</v>
      </c>
      <c r="I44" s="197">
        <v>100</v>
      </c>
      <c r="J44" s="268">
        <f t="shared" si="1"/>
        <v>-10000</v>
      </c>
      <c r="K44" s="185"/>
      <c r="V44" s="183">
        <f t="shared" si="2"/>
        <v>0</v>
      </c>
      <c r="W44" s="183">
        <f t="shared" si="3"/>
        <v>1</v>
      </c>
    </row>
    <row r="45" spans="1:23" x14ac:dyDescent="0.3">
      <c r="A45" s="184"/>
      <c r="B45" s="194">
        <v>40</v>
      </c>
      <c r="C45" s="195">
        <v>45076</v>
      </c>
      <c r="D45" s="196" t="s">
        <v>23</v>
      </c>
      <c r="E45" s="196" t="s">
        <v>22</v>
      </c>
      <c r="F45" s="197">
        <v>71200</v>
      </c>
      <c r="G45" s="197">
        <v>70691</v>
      </c>
      <c r="H45" s="196">
        <f>71200-70691</f>
        <v>509</v>
      </c>
      <c r="I45" s="197">
        <v>30</v>
      </c>
      <c r="J45" s="268">
        <f t="shared" si="1"/>
        <v>15270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45077</v>
      </c>
      <c r="D46" s="196" t="s">
        <v>23</v>
      </c>
      <c r="E46" s="196" t="s">
        <v>24</v>
      </c>
      <c r="F46" s="197">
        <v>60100</v>
      </c>
      <c r="G46" s="197">
        <v>60040</v>
      </c>
      <c r="H46" s="196">
        <v>60</v>
      </c>
      <c r="I46" s="197">
        <v>100</v>
      </c>
      <c r="J46" s="268">
        <f t="shared" si="1"/>
        <v>6000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45077</v>
      </c>
      <c r="D47" s="196" t="s">
        <v>23</v>
      </c>
      <c r="E47" s="196" t="s">
        <v>22</v>
      </c>
      <c r="F47" s="197">
        <v>71300</v>
      </c>
      <c r="G47" s="197">
        <v>71000</v>
      </c>
      <c r="H47" s="196">
        <v>300</v>
      </c>
      <c r="I47" s="197">
        <v>30</v>
      </c>
      <c r="J47" s="268">
        <f t="shared" si="1"/>
        <v>9000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275770</v>
      </c>
      <c r="K52" s="185"/>
      <c r="V52" s="183">
        <f>SUM(V6:V51)</f>
        <v>33</v>
      </c>
      <c r="W52" s="183">
        <f>SUM(W6:W51)</f>
        <v>9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45047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45048</v>
      </c>
      <c r="D60" s="192" t="s">
        <v>23</v>
      </c>
      <c r="E60" s="192" t="s">
        <v>25</v>
      </c>
      <c r="F60" s="193">
        <v>6190</v>
      </c>
      <c r="G60" s="193">
        <v>6120</v>
      </c>
      <c r="H60" s="192">
        <v>70</v>
      </c>
      <c r="I60" s="193">
        <v>100</v>
      </c>
      <c r="J60" s="267">
        <f t="shared" ref="J60:J82" si="5">I60*H60</f>
        <v>7000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45049</v>
      </c>
      <c r="D61" s="196" t="s">
        <v>23</v>
      </c>
      <c r="E61" s="196" t="s">
        <v>25</v>
      </c>
      <c r="F61" s="197">
        <v>5740</v>
      </c>
      <c r="G61" s="197">
        <v>5700</v>
      </c>
      <c r="H61" s="196">
        <v>40</v>
      </c>
      <c r="I61" s="197">
        <v>100</v>
      </c>
      <c r="J61" s="268">
        <f t="shared" si="5"/>
        <v>4000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45050</v>
      </c>
      <c r="D62" s="196" t="s">
        <v>23</v>
      </c>
      <c r="E62" s="196" t="s">
        <v>25</v>
      </c>
      <c r="F62" s="197">
        <v>5680</v>
      </c>
      <c r="G62" s="197">
        <v>5610</v>
      </c>
      <c r="H62" s="196">
        <f>5680-5610</f>
        <v>70</v>
      </c>
      <c r="I62" s="197">
        <v>100</v>
      </c>
      <c r="J62" s="268">
        <f t="shared" si="5"/>
        <v>7000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45051</v>
      </c>
      <c r="D63" s="196" t="s">
        <v>23</v>
      </c>
      <c r="E63" s="196" t="s">
        <v>25</v>
      </c>
      <c r="F63" s="197">
        <v>5770</v>
      </c>
      <c r="G63" s="197">
        <v>5810</v>
      </c>
      <c r="H63" s="196">
        <v>-40</v>
      </c>
      <c r="I63" s="197">
        <v>100</v>
      </c>
      <c r="J63" s="268">
        <f t="shared" si="5"/>
        <v>-4000</v>
      </c>
      <c r="K63" s="185"/>
      <c r="V63" s="183">
        <f t="shared" si="6"/>
        <v>0</v>
      </c>
      <c r="W63" s="183">
        <f t="shared" si="7"/>
        <v>1</v>
      </c>
    </row>
    <row r="64" spans="1:23" x14ac:dyDescent="0.3">
      <c r="A64" s="184"/>
      <c r="B64" s="194">
        <v>5</v>
      </c>
      <c r="C64" s="195">
        <v>45054</v>
      </c>
      <c r="D64" s="196" t="s">
        <v>23</v>
      </c>
      <c r="E64" s="196" t="s">
        <v>25</v>
      </c>
      <c r="F64" s="197">
        <v>5960</v>
      </c>
      <c r="G64" s="197">
        <v>5945</v>
      </c>
      <c r="H64" s="196">
        <f>5960-5945</f>
        <v>15</v>
      </c>
      <c r="I64" s="197">
        <v>100</v>
      </c>
      <c r="J64" s="268">
        <f t="shared" si="5"/>
        <v>1500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45055</v>
      </c>
      <c r="D65" s="196" t="s">
        <v>23</v>
      </c>
      <c r="E65" s="196" t="s">
        <v>25</v>
      </c>
      <c r="F65" s="197">
        <v>5960</v>
      </c>
      <c r="G65" s="197">
        <v>5917</v>
      </c>
      <c r="H65" s="196">
        <f>5960-5917</f>
        <v>43</v>
      </c>
      <c r="I65" s="197">
        <v>100</v>
      </c>
      <c r="J65" s="268">
        <f t="shared" si="5"/>
        <v>4300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45056</v>
      </c>
      <c r="D66" s="196" t="s">
        <v>23</v>
      </c>
      <c r="E66" s="196" t="s">
        <v>25</v>
      </c>
      <c r="F66" s="222">
        <v>5970</v>
      </c>
      <c r="G66" s="222">
        <v>5950</v>
      </c>
      <c r="H66" s="196">
        <v>20</v>
      </c>
      <c r="I66" s="197">
        <v>100</v>
      </c>
      <c r="J66" s="268">
        <f t="shared" si="5"/>
        <v>2000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45057</v>
      </c>
      <c r="D67" s="196" t="s">
        <v>23</v>
      </c>
      <c r="E67" s="196" t="s">
        <v>25</v>
      </c>
      <c r="F67" s="197">
        <v>6020</v>
      </c>
      <c r="G67" s="197">
        <v>5950</v>
      </c>
      <c r="H67" s="196">
        <f>6020-5950</f>
        <v>70</v>
      </c>
      <c r="I67" s="197">
        <v>100</v>
      </c>
      <c r="J67" s="268">
        <f t="shared" si="5"/>
        <v>7000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45058</v>
      </c>
      <c r="D68" s="196" t="s">
        <v>23</v>
      </c>
      <c r="E68" s="196" t="s">
        <v>25</v>
      </c>
      <c r="F68" s="197">
        <v>5800</v>
      </c>
      <c r="G68" s="197">
        <v>5840</v>
      </c>
      <c r="H68" s="196">
        <v>-40</v>
      </c>
      <c r="I68" s="197">
        <v>100</v>
      </c>
      <c r="J68" s="268">
        <f t="shared" si="5"/>
        <v>-4000</v>
      </c>
      <c r="K68" s="185"/>
      <c r="V68" s="183">
        <f t="shared" si="6"/>
        <v>0</v>
      </c>
      <c r="W68" s="183">
        <f t="shared" si="7"/>
        <v>1</v>
      </c>
    </row>
    <row r="69" spans="1:23" x14ac:dyDescent="0.3">
      <c r="A69" s="184"/>
      <c r="B69" s="194">
        <v>10</v>
      </c>
      <c r="C69" s="195">
        <v>45062</v>
      </c>
      <c r="D69" s="196" t="s">
        <v>23</v>
      </c>
      <c r="E69" s="196" t="s">
        <v>25</v>
      </c>
      <c r="F69" s="197">
        <v>5865</v>
      </c>
      <c r="G69" s="197">
        <v>5810</v>
      </c>
      <c r="H69" s="196">
        <f>5865-5810</f>
        <v>55</v>
      </c>
      <c r="I69" s="197">
        <v>100</v>
      </c>
      <c r="J69" s="268">
        <f t="shared" si="5"/>
        <v>5500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45063</v>
      </c>
      <c r="D70" s="196" t="s">
        <v>23</v>
      </c>
      <c r="E70" s="196" t="s">
        <v>25</v>
      </c>
      <c r="F70" s="197">
        <v>5800</v>
      </c>
      <c r="G70" s="197">
        <v>5830</v>
      </c>
      <c r="H70" s="196">
        <v>-30</v>
      </c>
      <c r="I70" s="197">
        <v>100</v>
      </c>
      <c r="J70" s="268">
        <f t="shared" si="5"/>
        <v>-3000</v>
      </c>
      <c r="K70" s="185"/>
      <c r="V70" s="183">
        <f t="shared" si="6"/>
        <v>0</v>
      </c>
      <c r="W70" s="183">
        <f t="shared" si="7"/>
        <v>1</v>
      </c>
    </row>
    <row r="71" spans="1:23" x14ac:dyDescent="0.3">
      <c r="A71" s="184"/>
      <c r="B71" s="194">
        <v>12</v>
      </c>
      <c r="C71" s="195">
        <v>45064</v>
      </c>
      <c r="D71" s="196" t="s">
        <v>23</v>
      </c>
      <c r="E71" s="196" t="s">
        <v>25</v>
      </c>
      <c r="F71" s="197">
        <v>6030</v>
      </c>
      <c r="G71" s="197">
        <v>6005</v>
      </c>
      <c r="H71" s="196">
        <v>25</v>
      </c>
      <c r="I71" s="197">
        <v>100</v>
      </c>
      <c r="J71" s="268">
        <f t="shared" si="5"/>
        <v>2500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45065</v>
      </c>
      <c r="D72" s="196" t="s">
        <v>16</v>
      </c>
      <c r="E72" s="196" t="s">
        <v>25</v>
      </c>
      <c r="F72" s="197">
        <v>6015</v>
      </c>
      <c r="G72" s="197">
        <v>6075</v>
      </c>
      <c r="H72" s="196">
        <v>60</v>
      </c>
      <c r="I72" s="197">
        <v>100</v>
      </c>
      <c r="J72" s="268">
        <f t="shared" si="5"/>
        <v>6000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45068</v>
      </c>
      <c r="D73" s="196" t="s">
        <v>23</v>
      </c>
      <c r="E73" s="196" t="s">
        <v>25</v>
      </c>
      <c r="F73" s="197">
        <v>5960</v>
      </c>
      <c r="G73" s="197">
        <v>5945</v>
      </c>
      <c r="H73" s="196">
        <f>5960-5945</f>
        <v>15</v>
      </c>
      <c r="I73" s="197">
        <v>100</v>
      </c>
      <c r="J73" s="268">
        <f t="shared" si="5"/>
        <v>1500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45069</v>
      </c>
      <c r="D74" s="196" t="s">
        <v>23</v>
      </c>
      <c r="E74" s="196" t="s">
        <v>25</v>
      </c>
      <c r="F74" s="197">
        <v>5990</v>
      </c>
      <c r="G74" s="197">
        <v>6030</v>
      </c>
      <c r="H74" s="196">
        <v>-40</v>
      </c>
      <c r="I74" s="197">
        <v>100</v>
      </c>
      <c r="J74" s="268">
        <f t="shared" si="5"/>
        <v>-4000</v>
      </c>
      <c r="K74" s="185"/>
      <c r="V74" s="183">
        <f t="shared" si="6"/>
        <v>0</v>
      </c>
      <c r="W74" s="183">
        <f t="shared" si="7"/>
        <v>1</v>
      </c>
    </row>
    <row r="75" spans="1:23" x14ac:dyDescent="0.3">
      <c r="A75" s="184"/>
      <c r="B75" s="194">
        <v>16</v>
      </c>
      <c r="C75" s="195">
        <v>45070</v>
      </c>
      <c r="D75" s="196" t="s">
        <v>23</v>
      </c>
      <c r="E75" s="196" t="s">
        <v>25</v>
      </c>
      <c r="F75" s="197">
        <v>6170</v>
      </c>
      <c r="G75" s="197">
        <v>6130</v>
      </c>
      <c r="H75" s="196">
        <v>40</v>
      </c>
      <c r="I75" s="197">
        <v>100</v>
      </c>
      <c r="J75" s="268">
        <f t="shared" si="5"/>
        <v>4000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45071</v>
      </c>
      <c r="D76" s="196" t="s">
        <v>23</v>
      </c>
      <c r="E76" s="196" t="s">
        <v>25</v>
      </c>
      <c r="F76" s="197">
        <v>6090</v>
      </c>
      <c r="G76" s="197">
        <v>6045</v>
      </c>
      <c r="H76" s="196">
        <f>6090-6045</f>
        <v>45</v>
      </c>
      <c r="I76" s="197">
        <v>100</v>
      </c>
      <c r="J76" s="268">
        <f t="shared" si="5"/>
        <v>4500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45072</v>
      </c>
      <c r="D77" s="196" t="s">
        <v>23</v>
      </c>
      <c r="E77" s="196" t="s">
        <v>25</v>
      </c>
      <c r="F77" s="197">
        <v>5990</v>
      </c>
      <c r="G77" s="197">
        <v>6030</v>
      </c>
      <c r="H77" s="196">
        <v>-40</v>
      </c>
      <c r="I77" s="197">
        <v>100</v>
      </c>
      <c r="J77" s="268">
        <f t="shared" si="5"/>
        <v>-4000</v>
      </c>
      <c r="K77" s="185"/>
      <c r="V77" s="183">
        <f t="shared" si="6"/>
        <v>0</v>
      </c>
      <c r="W77" s="183">
        <f t="shared" si="7"/>
        <v>1</v>
      </c>
    </row>
    <row r="78" spans="1:23" x14ac:dyDescent="0.3">
      <c r="A78" s="184"/>
      <c r="B78" s="194">
        <v>19</v>
      </c>
      <c r="C78" s="195">
        <v>45075</v>
      </c>
      <c r="D78" s="196" t="s">
        <v>23</v>
      </c>
      <c r="E78" s="196" t="s">
        <v>25</v>
      </c>
      <c r="F78" s="197">
        <v>6020</v>
      </c>
      <c r="G78" s="197">
        <v>5976</v>
      </c>
      <c r="H78" s="196">
        <f>6020-5976</f>
        <v>44</v>
      </c>
      <c r="I78" s="197">
        <v>100</v>
      </c>
      <c r="J78" s="268">
        <f t="shared" si="5"/>
        <v>4400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45076</v>
      </c>
      <c r="D79" s="196" t="s">
        <v>23</v>
      </c>
      <c r="E79" s="196" t="s">
        <v>25</v>
      </c>
      <c r="F79" s="197">
        <v>5975</v>
      </c>
      <c r="G79" s="197">
        <v>5905</v>
      </c>
      <c r="H79" s="196">
        <v>70</v>
      </c>
      <c r="I79" s="197">
        <v>100</v>
      </c>
      <c r="J79" s="268">
        <f t="shared" si="5"/>
        <v>7000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45077</v>
      </c>
      <c r="D80" s="196" t="s">
        <v>23</v>
      </c>
      <c r="E80" s="196" t="s">
        <v>25</v>
      </c>
      <c r="F80" s="197">
        <v>5670</v>
      </c>
      <c r="G80" s="197">
        <v>5600</v>
      </c>
      <c r="H80" s="196">
        <v>70</v>
      </c>
      <c r="I80" s="197">
        <v>100</v>
      </c>
      <c r="J80" s="268">
        <f t="shared" si="5"/>
        <v>7000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56200</v>
      </c>
      <c r="K83" s="185"/>
      <c r="V83" s="183">
        <f>SUM(V60:V82)</f>
        <v>16</v>
      </c>
      <c r="W83" s="183">
        <f>SUM(W60:W82)</f>
        <v>5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45047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45048</v>
      </c>
      <c r="D91" s="216" t="s">
        <v>23</v>
      </c>
      <c r="E91" s="256" t="s">
        <v>28</v>
      </c>
      <c r="F91" s="256">
        <v>234.2</v>
      </c>
      <c r="G91" s="256">
        <v>233.2</v>
      </c>
      <c r="H91" s="256">
        <v>1</v>
      </c>
      <c r="I91" s="218">
        <v>5000</v>
      </c>
      <c r="J91" s="273">
        <f>I91*H91</f>
        <v>5000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45049</v>
      </c>
      <c r="D92" s="196" t="s">
        <v>23</v>
      </c>
      <c r="E92" s="222" t="s">
        <v>28</v>
      </c>
      <c r="F92" s="222">
        <v>234.8</v>
      </c>
      <c r="G92" s="222">
        <v>233.8</v>
      </c>
      <c r="H92" s="222">
        <v>1</v>
      </c>
      <c r="I92" s="197">
        <v>5000</v>
      </c>
      <c r="J92" s="268">
        <f t="shared" ref="J92:J111" si="8">I92*H92</f>
        <v>5000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45050</v>
      </c>
      <c r="D93" s="196" t="s">
        <v>23</v>
      </c>
      <c r="E93" s="222" t="s">
        <v>28</v>
      </c>
      <c r="F93" s="222">
        <v>234.6</v>
      </c>
      <c r="G93" s="222">
        <v>233.6</v>
      </c>
      <c r="H93" s="222">
        <v>1</v>
      </c>
      <c r="I93" s="197">
        <v>5000</v>
      </c>
      <c r="J93" s="268">
        <f t="shared" si="8"/>
        <v>5000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45051</v>
      </c>
      <c r="D94" s="196" t="s">
        <v>23</v>
      </c>
      <c r="E94" s="222" t="s">
        <v>28</v>
      </c>
      <c r="F94" s="222">
        <v>235.6</v>
      </c>
      <c r="G94" s="222">
        <v>236.6</v>
      </c>
      <c r="H94" s="222">
        <v>-1</v>
      </c>
      <c r="I94" s="197">
        <v>5000</v>
      </c>
      <c r="J94" s="268">
        <f t="shared" si="8"/>
        <v>-5000</v>
      </c>
      <c r="K94" s="185"/>
      <c r="V94" s="183">
        <f t="shared" si="9"/>
        <v>0</v>
      </c>
      <c r="W94" s="183">
        <f t="shared" si="10"/>
        <v>1</v>
      </c>
    </row>
    <row r="95" spans="1:23" x14ac:dyDescent="0.3">
      <c r="A95" s="184"/>
      <c r="B95" s="194">
        <v>5</v>
      </c>
      <c r="C95" s="195">
        <v>45054</v>
      </c>
      <c r="D95" s="196" t="s">
        <v>23</v>
      </c>
      <c r="E95" s="222" t="s">
        <v>28</v>
      </c>
      <c r="F95" s="222">
        <v>239.3</v>
      </c>
      <c r="G95" s="222">
        <v>238.9</v>
      </c>
      <c r="H95" s="222">
        <v>0.4</v>
      </c>
      <c r="I95" s="197">
        <v>5000</v>
      </c>
      <c r="J95" s="268">
        <f t="shared" si="8"/>
        <v>2000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45055</v>
      </c>
      <c r="D96" s="196" t="s">
        <v>23</v>
      </c>
      <c r="E96" s="222" t="s">
        <v>28</v>
      </c>
      <c r="F96" s="222">
        <v>238.1</v>
      </c>
      <c r="G96" s="222">
        <v>237.7</v>
      </c>
      <c r="H96" s="222">
        <f>238.1-237.7</f>
        <v>0.40000000000000568</v>
      </c>
      <c r="I96" s="197">
        <v>5000</v>
      </c>
      <c r="J96" s="268">
        <f t="shared" si="8"/>
        <v>2000.0000000000284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45056</v>
      </c>
      <c r="D97" s="196" t="s">
        <v>23</v>
      </c>
      <c r="E97" s="222" t="s">
        <v>28</v>
      </c>
      <c r="F97" s="222">
        <v>235.5</v>
      </c>
      <c r="G97" s="222">
        <v>236.5</v>
      </c>
      <c r="H97" s="274">
        <v>-1</v>
      </c>
      <c r="I97" s="197">
        <v>5000</v>
      </c>
      <c r="J97" s="268">
        <f t="shared" si="8"/>
        <v>-5000</v>
      </c>
      <c r="K97" s="185"/>
      <c r="V97" s="183">
        <f t="shared" si="9"/>
        <v>0</v>
      </c>
      <c r="W97" s="183">
        <f t="shared" si="10"/>
        <v>1</v>
      </c>
    </row>
    <row r="98" spans="1:23" x14ac:dyDescent="0.3">
      <c r="A98" s="184"/>
      <c r="B98" s="194">
        <v>8</v>
      </c>
      <c r="C98" s="195">
        <v>45057</v>
      </c>
      <c r="D98" s="196" t="s">
        <v>23</v>
      </c>
      <c r="E98" s="222" t="s">
        <v>28</v>
      </c>
      <c r="F98" s="222">
        <v>234.2</v>
      </c>
      <c r="G98" s="222">
        <v>233.2</v>
      </c>
      <c r="H98" s="222">
        <v>1</v>
      </c>
      <c r="I98" s="197">
        <v>5000</v>
      </c>
      <c r="J98" s="268">
        <f t="shared" si="8"/>
        <v>5000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45062</v>
      </c>
      <c r="D99" s="196" t="s">
        <v>16</v>
      </c>
      <c r="E99" s="222" t="s">
        <v>28</v>
      </c>
      <c r="F99" s="222">
        <v>227</v>
      </c>
      <c r="G99" s="222">
        <v>226</v>
      </c>
      <c r="H99" s="222">
        <v>-1</v>
      </c>
      <c r="I99" s="197">
        <v>5000</v>
      </c>
      <c r="J99" s="268">
        <f t="shared" si="8"/>
        <v>-5000</v>
      </c>
      <c r="K99" s="185"/>
      <c r="V99" s="183">
        <f t="shared" si="9"/>
        <v>0</v>
      </c>
      <c r="W99" s="183">
        <f t="shared" si="10"/>
        <v>1</v>
      </c>
    </row>
    <row r="100" spans="1:23" x14ac:dyDescent="0.3">
      <c r="A100" s="184"/>
      <c r="B100" s="194">
        <v>10</v>
      </c>
      <c r="C100" s="195">
        <v>45063</v>
      </c>
      <c r="D100" s="196" t="s">
        <v>16</v>
      </c>
      <c r="E100" s="222" t="s">
        <v>28</v>
      </c>
      <c r="F100" s="222">
        <v>226.7</v>
      </c>
      <c r="G100" s="222">
        <v>227.7</v>
      </c>
      <c r="H100" s="222">
        <v>1</v>
      </c>
      <c r="I100" s="197">
        <v>5000</v>
      </c>
      <c r="J100" s="268">
        <f t="shared" si="8"/>
        <v>5000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45064</v>
      </c>
      <c r="D101" s="196" t="s">
        <v>23</v>
      </c>
      <c r="E101" s="222" t="s">
        <v>28</v>
      </c>
      <c r="F101" s="222">
        <v>225.5</v>
      </c>
      <c r="G101" s="222">
        <v>225</v>
      </c>
      <c r="H101" s="274">
        <v>0.5</v>
      </c>
      <c r="I101" s="197">
        <v>5000</v>
      </c>
      <c r="J101" s="268">
        <f t="shared" si="8"/>
        <v>2500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45065</v>
      </c>
      <c r="D102" s="196" t="s">
        <v>16</v>
      </c>
      <c r="E102" s="222" t="s">
        <v>28</v>
      </c>
      <c r="F102" s="222">
        <v>225.1</v>
      </c>
      <c r="G102" s="222">
        <v>226.35</v>
      </c>
      <c r="H102" s="274">
        <f>226.35-225.1</f>
        <v>1.25</v>
      </c>
      <c r="I102" s="197">
        <v>5000</v>
      </c>
      <c r="J102" s="268">
        <f t="shared" si="8"/>
        <v>6250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45068</v>
      </c>
      <c r="D103" s="196" t="s">
        <v>23</v>
      </c>
      <c r="E103" s="222" t="s">
        <v>28</v>
      </c>
      <c r="F103" s="222">
        <v>223</v>
      </c>
      <c r="G103" s="222">
        <v>221.25</v>
      </c>
      <c r="H103" s="274">
        <f>223-221.25</f>
        <v>1.75</v>
      </c>
      <c r="I103" s="197">
        <v>5000</v>
      </c>
      <c r="J103" s="268">
        <f t="shared" si="8"/>
        <v>8750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45069</v>
      </c>
      <c r="D104" s="196" t="s">
        <v>23</v>
      </c>
      <c r="E104" s="222" t="s">
        <v>28</v>
      </c>
      <c r="F104" s="222">
        <v>216.7</v>
      </c>
      <c r="G104" s="222">
        <v>216.2</v>
      </c>
      <c r="H104" s="274">
        <f>216.7-216.2</f>
        <v>0.5</v>
      </c>
      <c r="I104" s="197">
        <v>5000</v>
      </c>
      <c r="J104" s="268">
        <f t="shared" si="8"/>
        <v>2500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45070</v>
      </c>
      <c r="D105" s="196" t="s">
        <v>23</v>
      </c>
      <c r="E105" s="196" t="s">
        <v>28</v>
      </c>
      <c r="F105" s="222">
        <v>210.2</v>
      </c>
      <c r="G105" s="222">
        <v>209.2</v>
      </c>
      <c r="H105" s="222">
        <v>1</v>
      </c>
      <c r="I105" s="197">
        <v>5000</v>
      </c>
      <c r="J105" s="268">
        <f t="shared" si="8"/>
        <v>5000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45071</v>
      </c>
      <c r="D106" s="196" t="s">
        <v>23</v>
      </c>
      <c r="E106" s="196" t="s">
        <v>28</v>
      </c>
      <c r="F106" s="222">
        <v>207.5</v>
      </c>
      <c r="G106" s="274">
        <v>205.5</v>
      </c>
      <c r="H106" s="274">
        <v>2</v>
      </c>
      <c r="I106" s="197">
        <v>5000</v>
      </c>
      <c r="J106" s="268">
        <f t="shared" si="8"/>
        <v>10000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45072</v>
      </c>
      <c r="D107" s="196" t="s">
        <v>23</v>
      </c>
      <c r="E107" s="196" t="s">
        <v>28</v>
      </c>
      <c r="F107" s="222">
        <v>210.4</v>
      </c>
      <c r="G107" s="222">
        <v>211.4</v>
      </c>
      <c r="H107" s="274">
        <v>-1</v>
      </c>
      <c r="I107" s="197">
        <v>5000</v>
      </c>
      <c r="J107" s="268">
        <f t="shared" si="8"/>
        <v>-5000</v>
      </c>
      <c r="K107" s="185"/>
      <c r="V107" s="183">
        <f t="shared" si="9"/>
        <v>0</v>
      </c>
      <c r="W107" s="183">
        <f t="shared" si="10"/>
        <v>1</v>
      </c>
    </row>
    <row r="108" spans="1:23" x14ac:dyDescent="0.3">
      <c r="A108" s="184"/>
      <c r="B108" s="194">
        <v>18</v>
      </c>
      <c r="C108" s="195">
        <v>45075</v>
      </c>
      <c r="D108" s="196" t="s">
        <v>23</v>
      </c>
      <c r="E108" s="196" t="s">
        <v>28</v>
      </c>
      <c r="F108" s="222">
        <v>212.2</v>
      </c>
      <c r="G108" s="222">
        <v>213.2</v>
      </c>
      <c r="H108" s="274">
        <v>-1</v>
      </c>
      <c r="I108" s="197">
        <v>5000</v>
      </c>
      <c r="J108" s="268">
        <f t="shared" si="8"/>
        <v>-5000</v>
      </c>
      <c r="K108" s="185"/>
      <c r="V108" s="183">
        <f t="shared" si="9"/>
        <v>0</v>
      </c>
      <c r="W108" s="183">
        <f t="shared" si="10"/>
        <v>1</v>
      </c>
    </row>
    <row r="109" spans="1:23" x14ac:dyDescent="0.3">
      <c r="A109" s="184"/>
      <c r="B109" s="194">
        <v>19</v>
      </c>
      <c r="C109" s="195">
        <v>45076</v>
      </c>
      <c r="D109" s="196" t="s">
        <v>23</v>
      </c>
      <c r="E109" s="196" t="s">
        <v>28</v>
      </c>
      <c r="F109" s="222">
        <v>210</v>
      </c>
      <c r="G109" s="222">
        <v>209</v>
      </c>
      <c r="H109" s="274">
        <v>1</v>
      </c>
      <c r="I109" s="197">
        <v>5000</v>
      </c>
      <c r="J109" s="268">
        <f t="shared" si="8"/>
        <v>5000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>
        <v>45077</v>
      </c>
      <c r="D110" s="196" t="s">
        <v>23</v>
      </c>
      <c r="E110" s="222" t="s">
        <v>28</v>
      </c>
      <c r="F110" s="222">
        <v>206.5</v>
      </c>
      <c r="G110" s="222">
        <v>205.5</v>
      </c>
      <c r="H110" s="274">
        <v>1</v>
      </c>
      <c r="I110" s="197">
        <v>5000</v>
      </c>
      <c r="J110" s="268">
        <f t="shared" si="8"/>
        <v>5000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8"/>
        <v>0</v>
      </c>
      <c r="K111" s="185"/>
      <c r="V111" s="183">
        <f>IF($J111&gt;0,1,0)</f>
        <v>0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49000.000000000029</v>
      </c>
      <c r="K114" s="185"/>
      <c r="V114" s="183">
        <f>SUM(V91:V113)</f>
        <v>15</v>
      </c>
      <c r="W114" s="183">
        <f>SUM(W91:W113)</f>
        <v>5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  <c r="L115" s="183" t="s">
        <v>926</v>
      </c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07" t="s">
        <v>873</v>
      </c>
      <c r="C118" s="308"/>
      <c r="D118" s="308"/>
      <c r="E118" s="308"/>
      <c r="F118" s="308"/>
      <c r="G118" s="308"/>
      <c r="H118" s="308"/>
      <c r="I118" s="308"/>
      <c r="J118" s="309"/>
      <c r="K118" s="185"/>
    </row>
    <row r="119" spans="1:23" ht="16.2" thickBot="1" x14ac:dyDescent="0.35">
      <c r="A119" s="184"/>
      <c r="B119" s="310">
        <v>45047</v>
      </c>
      <c r="C119" s="311"/>
      <c r="D119" s="311"/>
      <c r="E119" s="311"/>
      <c r="F119" s="311"/>
      <c r="G119" s="311"/>
      <c r="H119" s="311"/>
      <c r="I119" s="311"/>
      <c r="J119" s="312"/>
      <c r="K119" s="185"/>
    </row>
    <row r="120" spans="1:23" ht="16.2" thickBot="1" x14ac:dyDescent="0.35">
      <c r="A120" s="184"/>
      <c r="B120" s="313" t="s">
        <v>905</v>
      </c>
      <c r="C120" s="314"/>
      <c r="D120" s="314"/>
      <c r="E120" s="314"/>
      <c r="F120" s="314"/>
      <c r="G120" s="314"/>
      <c r="H120" s="314"/>
      <c r="I120" s="314"/>
      <c r="J120" s="315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45048</v>
      </c>
      <c r="D122" s="216" t="s">
        <v>16</v>
      </c>
      <c r="E122" s="256" t="s">
        <v>908</v>
      </c>
      <c r="F122" s="256">
        <v>195</v>
      </c>
      <c r="G122" s="256">
        <v>235</v>
      </c>
      <c r="H122" s="256">
        <f>235-195</f>
        <v>40</v>
      </c>
      <c r="I122" s="218">
        <v>100</v>
      </c>
      <c r="J122" s="273">
        <f>I122*H122</f>
        <v>4000</v>
      </c>
      <c r="K122" s="185"/>
      <c r="V122" s="183">
        <f>IF($J122&gt;0,1,0)</f>
        <v>1</v>
      </c>
      <c r="W122" s="183">
        <f>IF($J122&lt;0,1,0)</f>
        <v>0</v>
      </c>
    </row>
    <row r="123" spans="1:23" x14ac:dyDescent="0.3">
      <c r="A123" s="184"/>
      <c r="B123" s="194">
        <v>2</v>
      </c>
      <c r="C123" s="195">
        <v>45049</v>
      </c>
      <c r="D123" s="196" t="s">
        <v>16</v>
      </c>
      <c r="E123" s="222" t="s">
        <v>919</v>
      </c>
      <c r="F123" s="222">
        <v>190</v>
      </c>
      <c r="G123" s="222">
        <v>220</v>
      </c>
      <c r="H123" s="222">
        <f>220-190</f>
        <v>30</v>
      </c>
      <c r="I123" s="218">
        <v>100</v>
      </c>
      <c r="J123" s="268">
        <f t="shared" ref="J123:J142" si="11">I123*H123</f>
        <v>3000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45050</v>
      </c>
      <c r="D124" s="196" t="s">
        <v>16</v>
      </c>
      <c r="E124" s="222" t="s">
        <v>919</v>
      </c>
      <c r="F124" s="222">
        <v>205</v>
      </c>
      <c r="G124" s="222">
        <v>245</v>
      </c>
      <c r="H124" s="222">
        <f>245-205</f>
        <v>40</v>
      </c>
      <c r="I124" s="218">
        <v>100</v>
      </c>
      <c r="J124" s="268">
        <f t="shared" si="11"/>
        <v>4000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45051</v>
      </c>
      <c r="D125" s="196" t="s">
        <v>16</v>
      </c>
      <c r="E125" s="222" t="s">
        <v>923</v>
      </c>
      <c r="F125" s="222">
        <v>190</v>
      </c>
      <c r="G125" s="222">
        <v>170</v>
      </c>
      <c r="H125" s="222">
        <v>-20</v>
      </c>
      <c r="I125" s="218">
        <v>100</v>
      </c>
      <c r="J125" s="268">
        <f t="shared" si="11"/>
        <v>-2000</v>
      </c>
      <c r="K125" s="185"/>
      <c r="V125" s="183">
        <f t="shared" si="12"/>
        <v>0</v>
      </c>
      <c r="W125" s="183">
        <f t="shared" si="13"/>
        <v>1</v>
      </c>
    </row>
    <row r="126" spans="1:23" x14ac:dyDescent="0.3">
      <c r="A126" s="184"/>
      <c r="B126" s="194">
        <v>5</v>
      </c>
      <c r="C126" s="195">
        <v>45054</v>
      </c>
      <c r="D126" s="196" t="s">
        <v>16</v>
      </c>
      <c r="E126" s="222" t="s">
        <v>916</v>
      </c>
      <c r="F126" s="222">
        <v>180</v>
      </c>
      <c r="G126" s="222">
        <v>160</v>
      </c>
      <c r="H126" s="222">
        <v>-20</v>
      </c>
      <c r="I126" s="218">
        <v>100</v>
      </c>
      <c r="J126" s="268">
        <f t="shared" si="11"/>
        <v>-2000</v>
      </c>
      <c r="K126" s="185"/>
      <c r="V126" s="183">
        <f t="shared" si="12"/>
        <v>0</v>
      </c>
      <c r="W126" s="183">
        <f t="shared" si="13"/>
        <v>1</v>
      </c>
    </row>
    <row r="127" spans="1:23" x14ac:dyDescent="0.3">
      <c r="A127" s="184"/>
      <c r="B127" s="194">
        <v>6</v>
      </c>
      <c r="C127" s="195">
        <v>45055</v>
      </c>
      <c r="D127" s="196" t="s">
        <v>16</v>
      </c>
      <c r="E127" s="222" t="s">
        <v>916</v>
      </c>
      <c r="F127" s="222">
        <v>160</v>
      </c>
      <c r="G127" s="222">
        <v>179</v>
      </c>
      <c r="H127" s="222">
        <v>19</v>
      </c>
      <c r="I127" s="218">
        <v>100</v>
      </c>
      <c r="J127" s="268">
        <f t="shared" si="11"/>
        <v>1900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45056</v>
      </c>
      <c r="D128" s="196" t="s">
        <v>16</v>
      </c>
      <c r="E128" s="222" t="s">
        <v>916</v>
      </c>
      <c r="F128" s="222">
        <v>150</v>
      </c>
      <c r="G128" s="222">
        <v>160</v>
      </c>
      <c r="H128" s="274">
        <v>10</v>
      </c>
      <c r="I128" s="218">
        <v>100</v>
      </c>
      <c r="J128" s="268">
        <f t="shared" si="11"/>
        <v>1000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45057</v>
      </c>
      <c r="D129" s="196" t="s">
        <v>16</v>
      </c>
      <c r="E129" s="222" t="s">
        <v>915</v>
      </c>
      <c r="F129" s="222">
        <v>165</v>
      </c>
      <c r="G129" s="222">
        <v>205</v>
      </c>
      <c r="H129" s="222">
        <f>205-165</f>
        <v>40</v>
      </c>
      <c r="I129" s="218">
        <v>100</v>
      </c>
      <c r="J129" s="268">
        <f t="shared" si="11"/>
        <v>4000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45058</v>
      </c>
      <c r="D130" s="196" t="s">
        <v>16</v>
      </c>
      <c r="E130" s="222" t="s">
        <v>924</v>
      </c>
      <c r="F130" s="222">
        <v>170</v>
      </c>
      <c r="G130" s="222">
        <v>150</v>
      </c>
      <c r="H130" s="222">
        <v>-20</v>
      </c>
      <c r="I130" s="218">
        <v>100</v>
      </c>
      <c r="J130" s="268">
        <f t="shared" si="11"/>
        <v>-2000</v>
      </c>
      <c r="K130" s="185"/>
      <c r="V130" s="183">
        <f t="shared" si="12"/>
        <v>0</v>
      </c>
      <c r="W130" s="183">
        <f t="shared" si="13"/>
        <v>1</v>
      </c>
    </row>
    <row r="131" spans="1:23" x14ac:dyDescent="0.3">
      <c r="A131" s="184"/>
      <c r="B131" s="194">
        <v>10</v>
      </c>
      <c r="C131" s="195">
        <v>45062</v>
      </c>
      <c r="D131" s="196" t="s">
        <v>16</v>
      </c>
      <c r="E131" s="222" t="s">
        <v>916</v>
      </c>
      <c r="F131" s="222">
        <v>170</v>
      </c>
      <c r="G131" s="222">
        <v>190</v>
      </c>
      <c r="H131" s="222">
        <v>20</v>
      </c>
      <c r="I131" s="218">
        <v>100</v>
      </c>
      <c r="J131" s="268">
        <f t="shared" si="11"/>
        <v>2000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45063</v>
      </c>
      <c r="D132" s="196" t="s">
        <v>16</v>
      </c>
      <c r="E132" s="222" t="s">
        <v>919</v>
      </c>
      <c r="F132" s="222">
        <v>190</v>
      </c>
      <c r="G132" s="222">
        <v>170</v>
      </c>
      <c r="H132" s="274">
        <v>-20</v>
      </c>
      <c r="I132" s="218">
        <v>100</v>
      </c>
      <c r="J132" s="268">
        <f t="shared" si="11"/>
        <v>-2000</v>
      </c>
      <c r="K132" s="185"/>
      <c r="V132" s="183">
        <f t="shared" si="12"/>
        <v>0</v>
      </c>
      <c r="W132" s="183">
        <f t="shared" si="13"/>
        <v>1</v>
      </c>
    </row>
    <row r="133" spans="1:23" x14ac:dyDescent="0.3">
      <c r="A133" s="184"/>
      <c r="B133" s="194">
        <v>12</v>
      </c>
      <c r="C133" s="195">
        <v>45064</v>
      </c>
      <c r="D133" s="196" t="s">
        <v>16</v>
      </c>
      <c r="E133" s="222" t="s">
        <v>916</v>
      </c>
      <c r="F133" s="222">
        <v>235</v>
      </c>
      <c r="G133" s="222">
        <v>275</v>
      </c>
      <c r="H133" s="274">
        <v>40</v>
      </c>
      <c r="I133" s="218">
        <v>100</v>
      </c>
      <c r="J133" s="268">
        <f t="shared" si="11"/>
        <v>4000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45065</v>
      </c>
      <c r="D134" s="196" t="s">
        <v>16</v>
      </c>
      <c r="E134" s="222" t="s">
        <v>925</v>
      </c>
      <c r="F134" s="222">
        <v>235</v>
      </c>
      <c r="G134" s="222">
        <v>270</v>
      </c>
      <c r="H134" s="274">
        <f>270-235</f>
        <v>35</v>
      </c>
      <c r="I134" s="218">
        <v>100</v>
      </c>
      <c r="J134" s="268">
        <f t="shared" si="11"/>
        <v>3500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45068</v>
      </c>
      <c r="D135" s="196" t="s">
        <v>16</v>
      </c>
      <c r="E135" s="222" t="s">
        <v>924</v>
      </c>
      <c r="F135" s="222">
        <v>195</v>
      </c>
      <c r="G135" s="222">
        <v>207</v>
      </c>
      <c r="H135" s="274">
        <f>207-195</f>
        <v>12</v>
      </c>
      <c r="I135" s="218">
        <v>100</v>
      </c>
      <c r="J135" s="268">
        <f t="shared" si="11"/>
        <v>1200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45069</v>
      </c>
      <c r="D136" s="196" t="s">
        <v>16</v>
      </c>
      <c r="E136" s="196" t="s">
        <v>916</v>
      </c>
      <c r="F136" s="222">
        <v>200</v>
      </c>
      <c r="G136" s="222">
        <v>180</v>
      </c>
      <c r="H136" s="222">
        <v>-20</v>
      </c>
      <c r="I136" s="218">
        <v>100</v>
      </c>
      <c r="J136" s="268">
        <f t="shared" si="11"/>
        <v>-2000</v>
      </c>
      <c r="K136" s="185"/>
      <c r="V136" s="183">
        <f t="shared" si="12"/>
        <v>0</v>
      </c>
      <c r="W136" s="183">
        <f t="shared" si="13"/>
        <v>1</v>
      </c>
    </row>
    <row r="137" spans="1:23" x14ac:dyDescent="0.3">
      <c r="A137" s="184"/>
      <c r="B137" s="194">
        <v>16</v>
      </c>
      <c r="C137" s="195">
        <v>45070</v>
      </c>
      <c r="D137" s="196" t="s">
        <v>16</v>
      </c>
      <c r="E137" s="196" t="s">
        <v>908</v>
      </c>
      <c r="F137" s="222">
        <v>230</v>
      </c>
      <c r="G137" s="274">
        <v>248</v>
      </c>
      <c r="H137" s="274">
        <f>248-230</f>
        <v>18</v>
      </c>
      <c r="I137" s="218">
        <v>100</v>
      </c>
      <c r="J137" s="268">
        <f t="shared" si="11"/>
        <v>1800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45071</v>
      </c>
      <c r="D138" s="196" t="s">
        <v>16</v>
      </c>
      <c r="E138" s="196" t="s">
        <v>915</v>
      </c>
      <c r="F138" s="222">
        <v>220</v>
      </c>
      <c r="G138" s="222">
        <v>240</v>
      </c>
      <c r="H138" s="274">
        <v>20</v>
      </c>
      <c r="I138" s="218">
        <v>100</v>
      </c>
      <c r="J138" s="268">
        <f t="shared" si="11"/>
        <v>2000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>
        <v>45072</v>
      </c>
      <c r="D139" s="196" t="s">
        <v>16</v>
      </c>
      <c r="E139" s="196" t="s">
        <v>916</v>
      </c>
      <c r="F139" s="222">
        <v>215</v>
      </c>
      <c r="G139" s="222">
        <v>195</v>
      </c>
      <c r="H139" s="274">
        <v>-20</v>
      </c>
      <c r="I139" s="218">
        <v>100</v>
      </c>
      <c r="J139" s="268">
        <f t="shared" si="11"/>
        <v>-2000</v>
      </c>
      <c r="K139" s="185"/>
      <c r="V139" s="183">
        <f t="shared" si="12"/>
        <v>0</v>
      </c>
      <c r="W139" s="183">
        <f t="shared" si="13"/>
        <v>1</v>
      </c>
    </row>
    <row r="140" spans="1:23" x14ac:dyDescent="0.3">
      <c r="A140" s="184"/>
      <c r="B140" s="194">
        <v>19</v>
      </c>
      <c r="C140" s="195">
        <v>45075</v>
      </c>
      <c r="D140" s="196" t="s">
        <v>16</v>
      </c>
      <c r="E140" s="196" t="s">
        <v>916</v>
      </c>
      <c r="F140" s="222">
        <v>190</v>
      </c>
      <c r="G140" s="222">
        <v>210</v>
      </c>
      <c r="H140" s="274">
        <v>20</v>
      </c>
      <c r="I140" s="218">
        <v>100</v>
      </c>
      <c r="J140" s="268">
        <f t="shared" si="11"/>
        <v>2000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45076</v>
      </c>
      <c r="D141" s="196" t="s">
        <v>16</v>
      </c>
      <c r="E141" s="222" t="s">
        <v>916</v>
      </c>
      <c r="F141" s="222">
        <v>205</v>
      </c>
      <c r="G141" s="222">
        <v>245</v>
      </c>
      <c r="H141" s="274">
        <v>40</v>
      </c>
      <c r="I141" s="218">
        <v>100</v>
      </c>
      <c r="J141" s="268">
        <f t="shared" si="11"/>
        <v>4000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>
        <v>45077</v>
      </c>
      <c r="D142" s="196" t="s">
        <v>16</v>
      </c>
      <c r="E142" s="222" t="s">
        <v>919</v>
      </c>
      <c r="F142" s="222">
        <v>220</v>
      </c>
      <c r="G142" s="222">
        <v>260</v>
      </c>
      <c r="H142" s="274">
        <v>40</v>
      </c>
      <c r="I142" s="218">
        <v>100</v>
      </c>
      <c r="J142" s="268">
        <f t="shared" si="11"/>
        <v>4000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04" t="s">
        <v>879</v>
      </c>
      <c r="C145" s="305"/>
      <c r="D145" s="305"/>
      <c r="E145" s="305"/>
      <c r="F145" s="305"/>
      <c r="G145" s="305"/>
      <c r="H145" s="306"/>
      <c r="I145" s="203" t="s">
        <v>880</v>
      </c>
      <c r="J145" s="204">
        <f>SUM(J122:J144)</f>
        <v>30400</v>
      </c>
      <c r="K145" s="185"/>
      <c r="V145" s="183">
        <f>SUM(V122:V144)</f>
        <v>15</v>
      </c>
      <c r="W145" s="183">
        <f>SUM(W122:W144)</f>
        <v>6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</mergeCells>
  <hyperlinks>
    <hyperlink ref="B52" r:id="rId1" xr:uid="{00000000-0004-0000-7D00-000000000000}"/>
    <hyperlink ref="B83" r:id="rId2" xr:uid="{00000000-0004-0000-7D00-000001000000}"/>
    <hyperlink ref="M4:M5" location="'FEB 2023'!A1" display="BULLION" xr:uid="{00000000-0004-0000-7D00-000002000000}"/>
    <hyperlink ref="B114" r:id="rId3" xr:uid="{00000000-0004-0000-7D00-000003000000}"/>
    <hyperlink ref="M8:M9" location="'FEB 2023'!A86" display="BASE METAL" xr:uid="{00000000-0004-0000-7D00-000004000000}"/>
    <hyperlink ref="M1" location="MASTER!A1" display="Back" xr:uid="{00000000-0004-0000-7D00-000005000000}"/>
    <hyperlink ref="M6:M7" location="'FEB 2023'!A55" display="ENERGY" xr:uid="{00000000-0004-0000-7D00-000006000000}"/>
    <hyperlink ref="B145" r:id="rId4" xr:uid="{00000000-0004-0000-7D00-000007000000}"/>
    <hyperlink ref="M10:M11" location="'FEB 2023'!A117" display="CRUDEOIL OPTION" xr:uid="{00000000-0004-0000-7D00-000008000000}"/>
  </hyperlinks>
  <pageMargins left="0" right="0" top="0" bottom="0" header="0" footer="0"/>
  <pageSetup paperSize="9" orientation="portrait" r:id="rId5"/>
  <drawing r:id="rId6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W146"/>
  <sheetViews>
    <sheetView topLeftCell="A112" zoomScaleNormal="100" workbookViewId="0">
      <selection activeCell="O133" sqref="O13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45078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33</v>
      </c>
      <c r="P4" s="369">
        <f>W52</f>
        <v>9</v>
      </c>
      <c r="Q4" s="349">
        <f>N4-O4-P4</f>
        <v>0</v>
      </c>
      <c r="R4" s="343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45078</v>
      </c>
      <c r="D6" s="192" t="s">
        <v>23</v>
      </c>
      <c r="E6" s="192" t="s">
        <v>24</v>
      </c>
      <c r="F6" s="193">
        <v>59950</v>
      </c>
      <c r="G6" s="193">
        <v>59850</v>
      </c>
      <c r="H6" s="192">
        <v>100</v>
      </c>
      <c r="I6" s="193">
        <v>100</v>
      </c>
      <c r="J6" s="267">
        <f>H6*I6</f>
        <v>10000</v>
      </c>
      <c r="K6" s="185"/>
      <c r="M6" s="364" t="s">
        <v>258</v>
      </c>
      <c r="N6" s="347">
        <f>COUNT(C60:C82)</f>
        <v>21</v>
      </c>
      <c r="O6" s="348">
        <f>V83</f>
        <v>20</v>
      </c>
      <c r="P6" s="348">
        <f>W83</f>
        <v>0</v>
      </c>
      <c r="Q6" s="349">
        <v>0</v>
      </c>
      <c r="R6" s="345">
        <f t="shared" ref="R6" si="0">O6/N6</f>
        <v>0.95238095238095233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45078</v>
      </c>
      <c r="D7" s="196" t="s">
        <v>23</v>
      </c>
      <c r="E7" s="196" t="s">
        <v>22</v>
      </c>
      <c r="F7" s="197">
        <v>71600</v>
      </c>
      <c r="G7" s="197">
        <v>71460</v>
      </c>
      <c r="H7" s="196">
        <f>71600-71460</f>
        <v>140</v>
      </c>
      <c r="I7" s="197">
        <v>100</v>
      </c>
      <c r="J7" s="268">
        <f t="shared" ref="J7:J51" si="1">H7*I7</f>
        <v>14000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45079</v>
      </c>
      <c r="D8" s="196" t="s">
        <v>23</v>
      </c>
      <c r="E8" s="196" t="s">
        <v>24</v>
      </c>
      <c r="F8" s="197">
        <v>60200</v>
      </c>
      <c r="G8" s="197">
        <v>60300</v>
      </c>
      <c r="H8" s="196">
        <v>-100</v>
      </c>
      <c r="I8" s="197">
        <v>30</v>
      </c>
      <c r="J8" s="268">
        <f t="shared" si="1"/>
        <v>-3000</v>
      </c>
      <c r="K8" s="185"/>
      <c r="M8" s="362" t="s">
        <v>877</v>
      </c>
      <c r="N8" s="347">
        <f>COUNT(C91:C113)</f>
        <v>21</v>
      </c>
      <c r="O8" s="348">
        <f>V114</f>
        <v>19</v>
      </c>
      <c r="P8" s="348">
        <f>W114</f>
        <v>2</v>
      </c>
      <c r="Q8" s="349">
        <f>N8-O8-P8</f>
        <v>0</v>
      </c>
      <c r="R8" s="345">
        <f t="shared" ref="R8" si="4">O8/N8</f>
        <v>0.90476190476190477</v>
      </c>
      <c r="V8" s="183">
        <f t="shared" si="2"/>
        <v>0</v>
      </c>
      <c r="W8" s="183">
        <f t="shared" si="3"/>
        <v>1</v>
      </c>
    </row>
    <row r="9" spans="1:23" x14ac:dyDescent="0.3">
      <c r="A9" s="184"/>
      <c r="B9" s="194">
        <v>4</v>
      </c>
      <c r="C9" s="195">
        <v>45079</v>
      </c>
      <c r="D9" s="196" t="s">
        <v>23</v>
      </c>
      <c r="E9" s="196" t="s">
        <v>22</v>
      </c>
      <c r="F9" s="197">
        <v>72800</v>
      </c>
      <c r="G9" s="197">
        <v>72650</v>
      </c>
      <c r="H9" s="196">
        <f>72800-72650</f>
        <v>150</v>
      </c>
      <c r="I9" s="197">
        <v>100</v>
      </c>
      <c r="J9" s="268">
        <f t="shared" si="1"/>
        <v>15000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45082</v>
      </c>
      <c r="D10" s="196" t="s">
        <v>16</v>
      </c>
      <c r="E10" s="196" t="s">
        <v>24</v>
      </c>
      <c r="F10" s="197">
        <v>59500</v>
      </c>
      <c r="G10" s="197">
        <v>59560</v>
      </c>
      <c r="H10" s="196">
        <v>60</v>
      </c>
      <c r="I10" s="197">
        <v>100</v>
      </c>
      <c r="J10" s="268">
        <f t="shared" si="1"/>
        <v>6000</v>
      </c>
      <c r="K10" s="185"/>
      <c r="M10" s="364" t="s">
        <v>906</v>
      </c>
      <c r="N10" s="347">
        <f>COUNT(C122:C144)</f>
        <v>21</v>
      </c>
      <c r="O10" s="348">
        <f>V145</f>
        <v>20</v>
      </c>
      <c r="P10" s="348">
        <f>W145</f>
        <v>1</v>
      </c>
      <c r="Q10" s="349">
        <f>N10-O10-P10</f>
        <v>0</v>
      </c>
      <c r="R10" s="345">
        <f>O10/N10</f>
        <v>0.95238095238095233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45082</v>
      </c>
      <c r="D11" s="196" t="s">
        <v>16</v>
      </c>
      <c r="E11" s="196" t="s">
        <v>22</v>
      </c>
      <c r="F11" s="197">
        <v>71800</v>
      </c>
      <c r="G11" s="197">
        <v>71950</v>
      </c>
      <c r="H11" s="196">
        <v>150</v>
      </c>
      <c r="I11" s="197">
        <v>30</v>
      </c>
      <c r="J11" s="268">
        <f t="shared" si="1"/>
        <v>4500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45083</v>
      </c>
      <c r="D12" s="196" t="s">
        <v>16</v>
      </c>
      <c r="E12" s="196" t="s">
        <v>24</v>
      </c>
      <c r="F12" s="197">
        <v>59960</v>
      </c>
      <c r="G12" s="197">
        <v>60060</v>
      </c>
      <c r="H12" s="196">
        <v>100</v>
      </c>
      <c r="I12" s="197">
        <v>100</v>
      </c>
      <c r="J12" s="268">
        <f t="shared" si="1"/>
        <v>10000</v>
      </c>
      <c r="K12" s="185"/>
      <c r="M12" s="319" t="s">
        <v>300</v>
      </c>
      <c r="N12" s="371">
        <f>SUM(N4:N11)</f>
        <v>105</v>
      </c>
      <c r="O12" s="371">
        <f>SUM(O4:O11)</f>
        <v>92</v>
      </c>
      <c r="P12" s="371">
        <f>SUM(P4:P11)</f>
        <v>12</v>
      </c>
      <c r="Q12" s="371">
        <f>SUM(Q4:Q11)</f>
        <v>0</v>
      </c>
      <c r="R12" s="343">
        <f>O12/N12</f>
        <v>0.87619047619047619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45083</v>
      </c>
      <c r="D13" s="196" t="s">
        <v>16</v>
      </c>
      <c r="E13" s="196" t="s">
        <v>22</v>
      </c>
      <c r="F13" s="197">
        <v>72200</v>
      </c>
      <c r="G13" s="197">
        <v>72500</v>
      </c>
      <c r="H13" s="196">
        <v>300</v>
      </c>
      <c r="I13" s="197">
        <v>30</v>
      </c>
      <c r="J13" s="268">
        <f t="shared" si="1"/>
        <v>9000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45084</v>
      </c>
      <c r="D14" s="196" t="s">
        <v>23</v>
      </c>
      <c r="E14" s="196" t="s">
        <v>24</v>
      </c>
      <c r="F14" s="197">
        <v>59940</v>
      </c>
      <c r="G14" s="197">
        <v>59800</v>
      </c>
      <c r="H14" s="196">
        <v>140</v>
      </c>
      <c r="I14" s="197">
        <v>100</v>
      </c>
      <c r="J14" s="268">
        <f t="shared" si="1"/>
        <v>14000</v>
      </c>
      <c r="K14" s="185"/>
      <c r="M14" s="323" t="s">
        <v>878</v>
      </c>
      <c r="N14" s="324"/>
      <c r="O14" s="325"/>
      <c r="P14" s="332">
        <f>R12</f>
        <v>0.87619047619047619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45084</v>
      </c>
      <c r="D15" s="196" t="s">
        <v>23</v>
      </c>
      <c r="E15" s="196" t="s">
        <v>22</v>
      </c>
      <c r="F15" s="197">
        <v>72000</v>
      </c>
      <c r="G15" s="197">
        <v>71850</v>
      </c>
      <c r="H15" s="196">
        <f>72000-71850</f>
        <v>150</v>
      </c>
      <c r="I15" s="197">
        <v>30</v>
      </c>
      <c r="J15" s="268">
        <f t="shared" si="1"/>
        <v>4500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45085</v>
      </c>
      <c r="D16" s="196" t="s">
        <v>23</v>
      </c>
      <c r="E16" s="196" t="s">
        <v>24</v>
      </c>
      <c r="F16" s="197">
        <v>59520</v>
      </c>
      <c r="G16" s="197">
        <v>59470</v>
      </c>
      <c r="H16" s="196">
        <f>59520-59470</f>
        <v>50</v>
      </c>
      <c r="I16" s="197">
        <v>100</v>
      </c>
      <c r="J16" s="268">
        <f t="shared" si="1"/>
        <v>5000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45085</v>
      </c>
      <c r="D17" s="196" t="s">
        <v>23</v>
      </c>
      <c r="E17" s="196" t="s">
        <v>22</v>
      </c>
      <c r="F17" s="197">
        <v>72250</v>
      </c>
      <c r="G17" s="197">
        <v>72550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45086</v>
      </c>
      <c r="D18" s="196" t="s">
        <v>16</v>
      </c>
      <c r="E18" s="196" t="s">
        <v>24</v>
      </c>
      <c r="F18" s="197">
        <v>59900</v>
      </c>
      <c r="G18" s="197">
        <v>60100</v>
      </c>
      <c r="H18" s="196">
        <v>200</v>
      </c>
      <c r="I18" s="197">
        <v>100</v>
      </c>
      <c r="J18" s="268">
        <f t="shared" si="1"/>
        <v>20000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45086</v>
      </c>
      <c r="D19" s="196" t="s">
        <v>16</v>
      </c>
      <c r="E19" s="196" t="s">
        <v>22</v>
      </c>
      <c r="F19" s="197">
        <v>73850</v>
      </c>
      <c r="G19" s="197">
        <v>74050</v>
      </c>
      <c r="H19" s="196">
        <f>74050-73850</f>
        <v>200</v>
      </c>
      <c r="I19" s="197">
        <v>30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45089</v>
      </c>
      <c r="D20" s="196" t="s">
        <v>16</v>
      </c>
      <c r="E20" s="196" t="s">
        <v>24</v>
      </c>
      <c r="F20" s="197">
        <v>59880</v>
      </c>
      <c r="G20" s="197">
        <v>59780</v>
      </c>
      <c r="H20" s="196">
        <v>-100</v>
      </c>
      <c r="I20" s="197">
        <v>100</v>
      </c>
      <c r="J20" s="268">
        <f t="shared" si="1"/>
        <v>-10000</v>
      </c>
      <c r="K20" s="185"/>
      <c r="M20" s="183" t="s">
        <v>870</v>
      </c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45089</v>
      </c>
      <c r="D21" s="196" t="s">
        <v>16</v>
      </c>
      <c r="E21" s="196" t="s">
        <v>22</v>
      </c>
      <c r="F21" s="197">
        <v>73650</v>
      </c>
      <c r="G21" s="197">
        <v>73350</v>
      </c>
      <c r="H21" s="196">
        <v>-300</v>
      </c>
      <c r="I21" s="197">
        <v>30</v>
      </c>
      <c r="J21" s="268">
        <f t="shared" si="1"/>
        <v>-9000</v>
      </c>
      <c r="K21" s="185"/>
      <c r="M21" s="183" t="s">
        <v>904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45090</v>
      </c>
      <c r="D22" s="196" t="s">
        <v>16</v>
      </c>
      <c r="E22" s="196" t="s">
        <v>24</v>
      </c>
      <c r="F22" s="197">
        <v>59800</v>
      </c>
      <c r="G22" s="197">
        <v>59700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45090</v>
      </c>
      <c r="D23" s="196" t="s">
        <v>16</v>
      </c>
      <c r="E23" s="196" t="s">
        <v>22</v>
      </c>
      <c r="F23" s="197">
        <v>73400</v>
      </c>
      <c r="G23" s="197">
        <v>73100</v>
      </c>
      <c r="H23" s="196">
        <v>-30</v>
      </c>
      <c r="I23" s="197">
        <v>30</v>
      </c>
      <c r="J23" s="268">
        <f t="shared" si="1"/>
        <v>-900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45091</v>
      </c>
      <c r="D24" s="196" t="s">
        <v>23</v>
      </c>
      <c r="E24" s="196" t="s">
        <v>24</v>
      </c>
      <c r="F24" s="197">
        <v>59250</v>
      </c>
      <c r="G24" s="197">
        <v>59150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45091</v>
      </c>
      <c r="D25" s="196" t="s">
        <v>23</v>
      </c>
      <c r="E25" s="196" t="s">
        <v>22</v>
      </c>
      <c r="F25" s="197">
        <v>72400</v>
      </c>
      <c r="G25" s="197">
        <v>72270</v>
      </c>
      <c r="H25" s="196">
        <f>72400-72240</f>
        <v>160</v>
      </c>
      <c r="I25" s="197">
        <v>30</v>
      </c>
      <c r="J25" s="268">
        <f t="shared" si="1"/>
        <v>4800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45092</v>
      </c>
      <c r="D26" s="196" t="s">
        <v>23</v>
      </c>
      <c r="E26" s="196" t="s">
        <v>24</v>
      </c>
      <c r="F26" s="197">
        <v>59570</v>
      </c>
      <c r="G26" s="197">
        <v>58690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45092</v>
      </c>
      <c r="D27" s="196" t="s">
        <v>23</v>
      </c>
      <c r="E27" s="196" t="s">
        <v>22</v>
      </c>
      <c r="F27" s="197">
        <v>71000</v>
      </c>
      <c r="G27" s="197">
        <v>70760</v>
      </c>
      <c r="H27" s="196">
        <f>71000-70760</f>
        <v>240</v>
      </c>
      <c r="I27" s="197">
        <v>30</v>
      </c>
      <c r="J27" s="268">
        <f t="shared" si="1"/>
        <v>7200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45093</v>
      </c>
      <c r="D28" s="196" t="s">
        <v>23</v>
      </c>
      <c r="E28" s="196" t="s">
        <v>24</v>
      </c>
      <c r="F28" s="197">
        <v>59500</v>
      </c>
      <c r="G28" s="197">
        <v>59600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45093</v>
      </c>
      <c r="D29" s="196" t="s">
        <v>23</v>
      </c>
      <c r="E29" s="196" t="s">
        <v>22</v>
      </c>
      <c r="F29" s="197">
        <v>72500</v>
      </c>
      <c r="G29" s="197">
        <v>72800</v>
      </c>
      <c r="H29" s="196">
        <v>-300</v>
      </c>
      <c r="I29" s="197">
        <v>30</v>
      </c>
      <c r="J29" s="268">
        <f t="shared" si="1"/>
        <v>-9000</v>
      </c>
      <c r="K29" s="185"/>
      <c r="V29" s="183">
        <f t="shared" si="2"/>
        <v>0</v>
      </c>
      <c r="W29" s="183">
        <f t="shared" si="3"/>
        <v>1</v>
      </c>
    </row>
    <row r="30" spans="1:23" x14ac:dyDescent="0.3">
      <c r="A30" s="184"/>
      <c r="B30" s="194">
        <v>25</v>
      </c>
      <c r="C30" s="195">
        <v>45096</v>
      </c>
      <c r="D30" s="196" t="s">
        <v>23</v>
      </c>
      <c r="E30" s="196" t="s">
        <v>24</v>
      </c>
      <c r="F30" s="197">
        <v>59200</v>
      </c>
      <c r="G30" s="197">
        <v>59135</v>
      </c>
      <c r="H30" s="196">
        <f>59200-59135</f>
        <v>65</v>
      </c>
      <c r="I30" s="197">
        <v>100</v>
      </c>
      <c r="J30" s="268">
        <f t="shared" si="1"/>
        <v>6500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45096</v>
      </c>
      <c r="D31" s="196" t="s">
        <v>23</v>
      </c>
      <c r="E31" s="196" t="s">
        <v>22</v>
      </c>
      <c r="F31" s="197">
        <v>72550</v>
      </c>
      <c r="G31" s="197">
        <v>72350</v>
      </c>
      <c r="H31" s="196">
        <v>200</v>
      </c>
      <c r="I31" s="197">
        <v>30</v>
      </c>
      <c r="J31" s="268">
        <f t="shared" si="1"/>
        <v>6000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45097</v>
      </c>
      <c r="D32" s="196" t="s">
        <v>23</v>
      </c>
      <c r="E32" s="196" t="s">
        <v>24</v>
      </c>
      <c r="F32" s="197">
        <v>59300</v>
      </c>
      <c r="G32" s="197">
        <v>59100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45097</v>
      </c>
      <c r="D33" s="196" t="s">
        <v>23</v>
      </c>
      <c r="E33" s="196" t="s">
        <v>22</v>
      </c>
      <c r="F33" s="197">
        <v>72300</v>
      </c>
      <c r="G33" s="197">
        <v>71700</v>
      </c>
      <c r="H33" s="196"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45098</v>
      </c>
      <c r="D34" s="196" t="s">
        <v>23</v>
      </c>
      <c r="E34" s="196" t="s">
        <v>24</v>
      </c>
      <c r="F34" s="197">
        <v>58770</v>
      </c>
      <c r="G34" s="197">
        <v>58570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45098</v>
      </c>
      <c r="D35" s="196" t="s">
        <v>23</v>
      </c>
      <c r="E35" s="196" t="s">
        <v>22</v>
      </c>
      <c r="F35" s="197">
        <v>70100</v>
      </c>
      <c r="G35" s="197">
        <v>69500</v>
      </c>
      <c r="H35" s="196">
        <f>70100-69500</f>
        <v>600</v>
      </c>
      <c r="I35" s="197">
        <v>30</v>
      </c>
      <c r="J35" s="268">
        <f t="shared" si="1"/>
        <v>18000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45099</v>
      </c>
      <c r="D36" s="196" t="s">
        <v>16</v>
      </c>
      <c r="E36" s="196" t="s">
        <v>24</v>
      </c>
      <c r="F36" s="197">
        <v>58500</v>
      </c>
      <c r="G36" s="197">
        <v>58600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45099</v>
      </c>
      <c r="D37" s="196" t="s">
        <v>16</v>
      </c>
      <c r="E37" s="196" t="s">
        <v>22</v>
      </c>
      <c r="F37" s="197">
        <v>68850</v>
      </c>
      <c r="G37" s="197">
        <v>68500</v>
      </c>
      <c r="H37" s="196">
        <v>-350</v>
      </c>
      <c r="I37" s="197">
        <v>30</v>
      </c>
      <c r="J37" s="268">
        <f t="shared" si="1"/>
        <v>-10500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45100</v>
      </c>
      <c r="D38" s="196" t="s">
        <v>23</v>
      </c>
      <c r="E38" s="196" t="s">
        <v>24</v>
      </c>
      <c r="F38" s="197">
        <v>58300</v>
      </c>
      <c r="G38" s="197">
        <v>58240</v>
      </c>
      <c r="H38" s="196">
        <v>60</v>
      </c>
      <c r="I38" s="197">
        <v>100</v>
      </c>
      <c r="J38" s="268">
        <f t="shared" si="1"/>
        <v>6000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45100</v>
      </c>
      <c r="D39" s="196" t="s">
        <v>23</v>
      </c>
      <c r="E39" s="196" t="s">
        <v>22</v>
      </c>
      <c r="F39" s="197">
        <v>68050</v>
      </c>
      <c r="G39" s="197">
        <v>67810</v>
      </c>
      <c r="H39" s="196">
        <f>68050-67810</f>
        <v>240</v>
      </c>
      <c r="I39" s="197">
        <v>30</v>
      </c>
      <c r="J39" s="268">
        <f t="shared" si="1"/>
        <v>7200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45103</v>
      </c>
      <c r="D40" s="196" t="s">
        <v>23</v>
      </c>
      <c r="E40" s="196" t="s">
        <v>24</v>
      </c>
      <c r="F40" s="197">
        <v>58600</v>
      </c>
      <c r="G40" s="197">
        <v>58460</v>
      </c>
      <c r="H40" s="196">
        <f>58600-58460</f>
        <v>140</v>
      </c>
      <c r="I40" s="197">
        <v>100</v>
      </c>
      <c r="J40" s="268">
        <f t="shared" si="1"/>
        <v>14000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45103</v>
      </c>
      <c r="D41" s="196" t="s">
        <v>23</v>
      </c>
      <c r="E41" s="196" t="s">
        <v>22</v>
      </c>
      <c r="F41" s="197">
        <v>69150</v>
      </c>
      <c r="G41" s="197">
        <v>68860</v>
      </c>
      <c r="H41" s="196">
        <f>69150-68860</f>
        <v>290</v>
      </c>
      <c r="I41" s="197">
        <v>30</v>
      </c>
      <c r="J41" s="268">
        <f t="shared" si="1"/>
        <v>8700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45104</v>
      </c>
      <c r="D42" s="196" t="s">
        <v>23</v>
      </c>
      <c r="E42" s="196" t="s">
        <v>24</v>
      </c>
      <c r="F42" s="197">
        <v>58440</v>
      </c>
      <c r="G42" s="197">
        <v>58340</v>
      </c>
      <c r="H42" s="196">
        <v>100</v>
      </c>
      <c r="I42" s="197">
        <v>100</v>
      </c>
      <c r="J42" s="268">
        <f t="shared" si="1"/>
        <v>10000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45104</v>
      </c>
      <c r="D43" s="196" t="s">
        <v>23</v>
      </c>
      <c r="E43" s="196" t="s">
        <v>22</v>
      </c>
      <c r="F43" s="197">
        <v>69450</v>
      </c>
      <c r="G43" s="197">
        <v>69320</v>
      </c>
      <c r="H43" s="196">
        <f>69450-69320</f>
        <v>130</v>
      </c>
      <c r="I43" s="197">
        <v>30</v>
      </c>
      <c r="J43" s="268">
        <f t="shared" si="1"/>
        <v>3900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45105</v>
      </c>
      <c r="D44" s="196" t="s">
        <v>23</v>
      </c>
      <c r="E44" s="196" t="s">
        <v>24</v>
      </c>
      <c r="F44" s="197">
        <v>58000</v>
      </c>
      <c r="G44" s="197">
        <v>57955</v>
      </c>
      <c r="H44" s="196">
        <f>58000-57955</f>
        <v>45</v>
      </c>
      <c r="I44" s="197">
        <v>100</v>
      </c>
      <c r="J44" s="268">
        <f t="shared" si="1"/>
        <v>4500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45105</v>
      </c>
      <c r="D45" s="196" t="s">
        <v>23</v>
      </c>
      <c r="E45" s="196" t="s">
        <v>22</v>
      </c>
      <c r="F45" s="197">
        <v>69100</v>
      </c>
      <c r="G45" s="197">
        <v>68700</v>
      </c>
      <c r="H45" s="196">
        <f>69100-68700</f>
        <v>400</v>
      </c>
      <c r="I45" s="197">
        <v>30</v>
      </c>
      <c r="J45" s="268">
        <f t="shared" si="1"/>
        <v>12000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45107</v>
      </c>
      <c r="D46" s="196" t="s">
        <v>16</v>
      </c>
      <c r="E46" s="196" t="s">
        <v>24</v>
      </c>
      <c r="F46" s="197">
        <v>57900</v>
      </c>
      <c r="G46" s="197">
        <v>57950</v>
      </c>
      <c r="H46" s="196">
        <v>50</v>
      </c>
      <c r="I46" s="197">
        <v>100</v>
      </c>
      <c r="J46" s="268">
        <f t="shared" si="1"/>
        <v>5000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45107</v>
      </c>
      <c r="D47" s="196" t="s">
        <v>16</v>
      </c>
      <c r="E47" s="196" t="s">
        <v>22</v>
      </c>
      <c r="F47" s="197">
        <v>69200</v>
      </c>
      <c r="G47" s="197">
        <v>69400</v>
      </c>
      <c r="H47" s="196">
        <v>200</v>
      </c>
      <c r="I47" s="197">
        <v>30</v>
      </c>
      <c r="J47" s="268">
        <f t="shared" si="1"/>
        <v>6000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254400</v>
      </c>
      <c r="K52" s="185"/>
      <c r="V52" s="183">
        <f>SUM(V6:V51)</f>
        <v>33</v>
      </c>
      <c r="W52" s="183">
        <f>SUM(W6:W51)</f>
        <v>9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45078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45078</v>
      </c>
      <c r="D60" s="192" t="s">
        <v>23</v>
      </c>
      <c r="E60" s="192" t="s">
        <v>25</v>
      </c>
      <c r="F60" s="193">
        <v>5600</v>
      </c>
      <c r="G60" s="193"/>
      <c r="H60" s="192"/>
      <c r="I60" s="193">
        <v>100</v>
      </c>
      <c r="J60" s="267">
        <f t="shared" ref="J60:J82" si="5">I60*H60</f>
        <v>0</v>
      </c>
      <c r="K60" s="185"/>
      <c r="V60" s="183">
        <f>IF($J60&gt;0,1,0)</f>
        <v>0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45079</v>
      </c>
      <c r="D61" s="196" t="s">
        <v>23</v>
      </c>
      <c r="E61" s="196" t="s">
        <v>25</v>
      </c>
      <c r="F61" s="197">
        <v>5840</v>
      </c>
      <c r="G61" s="197">
        <v>5810</v>
      </c>
      <c r="H61" s="196">
        <v>30</v>
      </c>
      <c r="I61" s="197">
        <v>100</v>
      </c>
      <c r="J61" s="268">
        <f t="shared" si="5"/>
        <v>3000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45082</v>
      </c>
      <c r="D62" s="196" t="s">
        <v>23</v>
      </c>
      <c r="E62" s="196" t="s">
        <v>25</v>
      </c>
      <c r="F62" s="197">
        <v>6050</v>
      </c>
      <c r="G62" s="197">
        <v>6031</v>
      </c>
      <c r="H62" s="196">
        <f>6050-6031</f>
        <v>19</v>
      </c>
      <c r="I62" s="197">
        <v>100</v>
      </c>
      <c r="J62" s="268">
        <f t="shared" si="5"/>
        <v>1900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45083</v>
      </c>
      <c r="D63" s="196" t="s">
        <v>23</v>
      </c>
      <c r="E63" s="196" t="s">
        <v>25</v>
      </c>
      <c r="F63" s="197">
        <v>5850</v>
      </c>
      <c r="G63" s="197">
        <v>5825</v>
      </c>
      <c r="H63" s="196">
        <f>5850-5825</f>
        <v>25</v>
      </c>
      <c r="I63" s="197">
        <v>100</v>
      </c>
      <c r="J63" s="268">
        <f t="shared" si="5"/>
        <v>2500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45084</v>
      </c>
      <c r="D64" s="196" t="s">
        <v>23</v>
      </c>
      <c r="E64" s="196" t="s">
        <v>25</v>
      </c>
      <c r="F64" s="197">
        <v>6000</v>
      </c>
      <c r="G64" s="197">
        <v>5970</v>
      </c>
      <c r="H64" s="196">
        <v>30</v>
      </c>
      <c r="I64" s="197">
        <v>100</v>
      </c>
      <c r="J64" s="268">
        <f t="shared" si="5"/>
        <v>3000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45085</v>
      </c>
      <c r="D65" s="196" t="s">
        <v>23</v>
      </c>
      <c r="E65" s="196" t="s">
        <v>25</v>
      </c>
      <c r="F65" s="197">
        <v>6040</v>
      </c>
      <c r="G65" s="197">
        <v>5970</v>
      </c>
      <c r="H65" s="196">
        <f>6040-5970</f>
        <v>70</v>
      </c>
      <c r="I65" s="197">
        <v>100</v>
      </c>
      <c r="J65" s="268">
        <f t="shared" si="5"/>
        <v>7000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45086</v>
      </c>
      <c r="D66" s="196" t="s">
        <v>23</v>
      </c>
      <c r="E66" s="196" t="s">
        <v>25</v>
      </c>
      <c r="F66" s="222">
        <v>5890</v>
      </c>
      <c r="G66" s="222">
        <v>5850</v>
      </c>
      <c r="H66" s="196">
        <v>40</v>
      </c>
      <c r="I66" s="197">
        <v>100</v>
      </c>
      <c r="J66" s="268">
        <f t="shared" si="5"/>
        <v>4000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45089</v>
      </c>
      <c r="D67" s="196" t="s">
        <v>23</v>
      </c>
      <c r="E67" s="196" t="s">
        <v>25</v>
      </c>
      <c r="F67" s="197">
        <v>5675</v>
      </c>
      <c r="G67" s="197">
        <v>5636</v>
      </c>
      <c r="H67" s="196">
        <f>5675-5636</f>
        <v>39</v>
      </c>
      <c r="I67" s="197">
        <v>100</v>
      </c>
      <c r="J67" s="268">
        <f t="shared" si="5"/>
        <v>3900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45090</v>
      </c>
      <c r="D68" s="196" t="s">
        <v>23</v>
      </c>
      <c r="E68" s="196" t="s">
        <v>25</v>
      </c>
      <c r="F68" s="197">
        <v>5640</v>
      </c>
      <c r="G68" s="197">
        <v>5610</v>
      </c>
      <c r="H68" s="196">
        <v>30</v>
      </c>
      <c r="I68" s="197">
        <v>100</v>
      </c>
      <c r="J68" s="268">
        <f t="shared" si="5"/>
        <v>3000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45091</v>
      </c>
      <c r="D69" s="196" t="s">
        <v>23</v>
      </c>
      <c r="E69" s="196" t="s">
        <v>25</v>
      </c>
      <c r="F69" s="197">
        <v>5785</v>
      </c>
      <c r="G69" s="197">
        <v>5735</v>
      </c>
      <c r="H69" s="196">
        <f>5785-5735</f>
        <v>50</v>
      </c>
      <c r="I69" s="197">
        <v>100</v>
      </c>
      <c r="J69" s="268">
        <f t="shared" si="5"/>
        <v>5000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45092</v>
      </c>
      <c r="D70" s="196" t="s">
        <v>23</v>
      </c>
      <c r="E70" s="196" t="s">
        <v>25</v>
      </c>
      <c r="F70" s="197">
        <v>5670</v>
      </c>
      <c r="G70" s="197">
        <v>5650</v>
      </c>
      <c r="H70" s="196">
        <v>20</v>
      </c>
      <c r="I70" s="197">
        <v>100</v>
      </c>
      <c r="J70" s="268">
        <f t="shared" si="5"/>
        <v>2000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45093</v>
      </c>
      <c r="D71" s="196" t="s">
        <v>23</v>
      </c>
      <c r="E71" s="196" t="s">
        <v>25</v>
      </c>
      <c r="F71" s="197">
        <v>5740</v>
      </c>
      <c r="G71" s="197">
        <v>5725</v>
      </c>
      <c r="H71" s="196">
        <f>5740-5725</f>
        <v>15</v>
      </c>
      <c r="I71" s="197">
        <v>100</v>
      </c>
      <c r="J71" s="268">
        <f t="shared" si="5"/>
        <v>1500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45096</v>
      </c>
      <c r="D72" s="196" t="s">
        <v>23</v>
      </c>
      <c r="E72" s="196" t="s">
        <v>25</v>
      </c>
      <c r="F72" s="197">
        <v>5900</v>
      </c>
      <c r="G72" s="197">
        <v>5882</v>
      </c>
      <c r="H72" s="196">
        <f>5900-5882</f>
        <v>18</v>
      </c>
      <c r="I72" s="197">
        <v>100</v>
      </c>
      <c r="J72" s="268">
        <f t="shared" si="5"/>
        <v>1800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45097</v>
      </c>
      <c r="D73" s="196" t="s">
        <v>23</v>
      </c>
      <c r="E73" s="196" t="s">
        <v>25</v>
      </c>
      <c r="F73" s="197">
        <v>5930</v>
      </c>
      <c r="G73" s="197">
        <v>5860</v>
      </c>
      <c r="H73" s="196">
        <f>5930-5860</f>
        <v>70</v>
      </c>
      <c r="I73" s="197">
        <v>100</v>
      </c>
      <c r="J73" s="268">
        <f t="shared" si="5"/>
        <v>7000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45098</v>
      </c>
      <c r="D74" s="196" t="s">
        <v>23</v>
      </c>
      <c r="E74" s="196" t="s">
        <v>25</v>
      </c>
      <c r="F74" s="197">
        <v>5855</v>
      </c>
      <c r="G74" s="197">
        <v>5831</v>
      </c>
      <c r="H74" s="196">
        <f>5855-5831</f>
        <v>24</v>
      </c>
      <c r="I74" s="197">
        <v>100</v>
      </c>
      <c r="J74" s="268">
        <f t="shared" si="5"/>
        <v>2400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45099</v>
      </c>
      <c r="D75" s="196" t="s">
        <v>23</v>
      </c>
      <c r="E75" s="196" t="s">
        <v>25</v>
      </c>
      <c r="F75" s="197">
        <v>5870</v>
      </c>
      <c r="G75" s="197">
        <v>5840</v>
      </c>
      <c r="H75" s="196">
        <v>30</v>
      </c>
      <c r="I75" s="197">
        <v>100</v>
      </c>
      <c r="J75" s="268">
        <f t="shared" si="5"/>
        <v>3000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45100</v>
      </c>
      <c r="D76" s="196" t="s">
        <v>23</v>
      </c>
      <c r="E76" s="196" t="s">
        <v>25</v>
      </c>
      <c r="F76" s="197">
        <v>5665</v>
      </c>
      <c r="G76" s="197">
        <v>5595</v>
      </c>
      <c r="H76" s="196">
        <f>5665-5595</f>
        <v>70</v>
      </c>
      <c r="I76" s="197">
        <v>100</v>
      </c>
      <c r="J76" s="268">
        <f t="shared" si="5"/>
        <v>7000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45103</v>
      </c>
      <c r="D77" s="196" t="s">
        <v>23</v>
      </c>
      <c r="E77" s="196" t="s">
        <v>25</v>
      </c>
      <c r="F77" s="197">
        <v>5720</v>
      </c>
      <c r="G77" s="197">
        <v>5670</v>
      </c>
      <c r="H77" s="196">
        <v>50</v>
      </c>
      <c r="I77" s="197">
        <v>100</v>
      </c>
      <c r="J77" s="268">
        <f t="shared" si="5"/>
        <v>5000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45104</v>
      </c>
      <c r="D78" s="196" t="s">
        <v>23</v>
      </c>
      <c r="E78" s="196" t="s">
        <v>25</v>
      </c>
      <c r="F78" s="197">
        <v>5650</v>
      </c>
      <c r="G78" s="197">
        <v>5609</v>
      </c>
      <c r="H78" s="196">
        <v>41</v>
      </c>
      <c r="I78" s="197">
        <v>100</v>
      </c>
      <c r="J78" s="268">
        <f t="shared" si="5"/>
        <v>4100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45105</v>
      </c>
      <c r="D79" s="196" t="s">
        <v>23</v>
      </c>
      <c r="E79" s="196" t="s">
        <v>25</v>
      </c>
      <c r="F79" s="197">
        <v>5630</v>
      </c>
      <c r="G79" s="197">
        <v>5588</v>
      </c>
      <c r="H79" s="196">
        <v>42</v>
      </c>
      <c r="I79" s="197">
        <v>100</v>
      </c>
      <c r="J79" s="268">
        <f t="shared" si="5"/>
        <v>4200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45107</v>
      </c>
      <c r="D80" s="196" t="s">
        <v>23</v>
      </c>
      <c r="E80" s="196" t="s">
        <v>25</v>
      </c>
      <c r="F80" s="197">
        <v>5780</v>
      </c>
      <c r="G80" s="197">
        <v>5740</v>
      </c>
      <c r="H80" s="196">
        <v>40</v>
      </c>
      <c r="I80" s="197">
        <v>100</v>
      </c>
      <c r="J80" s="268">
        <f t="shared" si="5"/>
        <v>4000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75300</v>
      </c>
      <c r="K83" s="185"/>
      <c r="V83" s="183">
        <f>SUM(V60:V82)</f>
        <v>20</v>
      </c>
      <c r="W83" s="183">
        <f>SUM(W60:W82)</f>
        <v>0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45078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45078</v>
      </c>
      <c r="D91" s="216" t="s">
        <v>23</v>
      </c>
      <c r="E91" s="256" t="s">
        <v>28</v>
      </c>
      <c r="F91" s="256">
        <v>209</v>
      </c>
      <c r="G91" s="256">
        <v>207.5</v>
      </c>
      <c r="H91" s="256">
        <f>209-207.5</f>
        <v>1.5</v>
      </c>
      <c r="I91" s="218">
        <v>5000</v>
      </c>
      <c r="J91" s="273">
        <f>I91*H91</f>
        <v>7500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45079</v>
      </c>
      <c r="D92" s="196" t="s">
        <v>23</v>
      </c>
      <c r="E92" s="222" t="s">
        <v>28</v>
      </c>
      <c r="F92" s="222">
        <v>210.5</v>
      </c>
      <c r="G92" s="222">
        <v>210.1</v>
      </c>
      <c r="H92" s="222">
        <f>210.5-210.1</f>
        <v>0.40000000000000568</v>
      </c>
      <c r="I92" s="197">
        <v>5000</v>
      </c>
      <c r="J92" s="268">
        <f t="shared" ref="J92:J111" si="8">I92*H92</f>
        <v>2000.0000000000284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45082</v>
      </c>
      <c r="D93" s="196" t="s">
        <v>23</v>
      </c>
      <c r="E93" s="222" t="s">
        <v>28</v>
      </c>
      <c r="F93" s="222">
        <v>208.2</v>
      </c>
      <c r="G93" s="222">
        <v>207.4</v>
      </c>
      <c r="H93" s="222">
        <f>208.2-207.4</f>
        <v>0.79999999999998295</v>
      </c>
      <c r="I93" s="197">
        <v>5000</v>
      </c>
      <c r="J93" s="268">
        <f t="shared" si="8"/>
        <v>3999.9999999999145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45083</v>
      </c>
      <c r="D94" s="196" t="s">
        <v>23</v>
      </c>
      <c r="E94" s="222" t="s">
        <v>28</v>
      </c>
      <c r="F94" s="222">
        <v>209.2</v>
      </c>
      <c r="G94" s="222">
        <v>208.8</v>
      </c>
      <c r="H94" s="222">
        <f>209.2-208.8</f>
        <v>0.39999999999997726</v>
      </c>
      <c r="I94" s="197">
        <v>5000</v>
      </c>
      <c r="J94" s="268">
        <f t="shared" si="8"/>
        <v>1999.9999999998863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45084</v>
      </c>
      <c r="D95" s="196" t="s">
        <v>23</v>
      </c>
      <c r="E95" s="222" t="s">
        <v>28</v>
      </c>
      <c r="F95" s="222">
        <v>214.2</v>
      </c>
      <c r="G95" s="222">
        <v>213.65</v>
      </c>
      <c r="H95" s="222">
        <f>214.2-213.65</f>
        <v>0.54999999999998295</v>
      </c>
      <c r="I95" s="197">
        <v>5000</v>
      </c>
      <c r="J95" s="268">
        <f t="shared" si="8"/>
        <v>2749.9999999999145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45085</v>
      </c>
      <c r="D96" s="196" t="s">
        <v>23</v>
      </c>
      <c r="E96" s="222" t="s">
        <v>28</v>
      </c>
      <c r="F96" s="222">
        <v>213.8</v>
      </c>
      <c r="G96" s="222">
        <v>213.4</v>
      </c>
      <c r="H96" s="222">
        <v>0.4</v>
      </c>
      <c r="I96" s="197">
        <v>5000</v>
      </c>
      <c r="J96" s="268">
        <f t="shared" si="8"/>
        <v>2000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45086</v>
      </c>
      <c r="D97" s="196" t="s">
        <v>16</v>
      </c>
      <c r="E97" s="222" t="s">
        <v>28</v>
      </c>
      <c r="F97" s="222">
        <v>216.2</v>
      </c>
      <c r="G97" s="222">
        <v>216.6</v>
      </c>
      <c r="H97" s="274">
        <f>216.6-216.2</f>
        <v>0.40000000000000568</v>
      </c>
      <c r="I97" s="197">
        <v>5000</v>
      </c>
      <c r="J97" s="268">
        <f t="shared" si="8"/>
        <v>2000.0000000000284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45089</v>
      </c>
      <c r="D98" s="196" t="s">
        <v>23</v>
      </c>
      <c r="E98" s="222" t="s">
        <v>28</v>
      </c>
      <c r="F98" s="222">
        <v>213.5</v>
      </c>
      <c r="G98" s="222">
        <v>211.5</v>
      </c>
      <c r="H98" s="222">
        <v>2</v>
      </c>
      <c r="I98" s="197">
        <v>5000</v>
      </c>
      <c r="J98" s="268">
        <f t="shared" si="8"/>
        <v>10000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45090</v>
      </c>
      <c r="D99" s="196" t="s">
        <v>23</v>
      </c>
      <c r="E99" s="222" t="s">
        <v>28</v>
      </c>
      <c r="F99" s="222">
        <v>215</v>
      </c>
      <c r="G99" s="222">
        <v>214.5</v>
      </c>
      <c r="H99" s="222">
        <v>0.5</v>
      </c>
      <c r="I99" s="197">
        <v>5000</v>
      </c>
      <c r="J99" s="268">
        <f t="shared" si="8"/>
        <v>2500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45091</v>
      </c>
      <c r="D100" s="196" t="s">
        <v>16</v>
      </c>
      <c r="E100" s="222" t="s">
        <v>28</v>
      </c>
      <c r="F100" s="222">
        <v>219.4</v>
      </c>
      <c r="G100" s="222">
        <v>220.4</v>
      </c>
      <c r="H100" s="222">
        <v>1</v>
      </c>
      <c r="I100" s="197">
        <v>5000</v>
      </c>
      <c r="J100" s="268">
        <f t="shared" si="8"/>
        <v>5000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45092</v>
      </c>
      <c r="D101" s="196" t="s">
        <v>23</v>
      </c>
      <c r="E101" s="222" t="s">
        <v>28</v>
      </c>
      <c r="F101" s="222">
        <v>221.6</v>
      </c>
      <c r="G101" s="222">
        <v>221</v>
      </c>
      <c r="H101" s="274">
        <v>0.6</v>
      </c>
      <c r="I101" s="197">
        <v>5000</v>
      </c>
      <c r="J101" s="268">
        <f t="shared" si="8"/>
        <v>3000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45093</v>
      </c>
      <c r="D102" s="196" t="s">
        <v>23</v>
      </c>
      <c r="E102" s="222" t="s">
        <v>28</v>
      </c>
      <c r="F102" s="222">
        <v>223.7</v>
      </c>
      <c r="G102" s="222">
        <v>223.2</v>
      </c>
      <c r="H102" s="274">
        <f>223.7-223.2</f>
        <v>0.5</v>
      </c>
      <c r="I102" s="197">
        <v>5000</v>
      </c>
      <c r="J102" s="268">
        <f t="shared" si="8"/>
        <v>2500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45096</v>
      </c>
      <c r="D103" s="196" t="s">
        <v>23</v>
      </c>
      <c r="E103" s="222" t="s">
        <v>28</v>
      </c>
      <c r="F103" s="222">
        <v>220</v>
      </c>
      <c r="G103" s="222">
        <v>219.3</v>
      </c>
      <c r="H103" s="274">
        <f>220-219.3</f>
        <v>0.69999999999998863</v>
      </c>
      <c r="I103" s="197">
        <v>5000</v>
      </c>
      <c r="J103" s="268">
        <f t="shared" si="8"/>
        <v>3499.9999999999432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45097</v>
      </c>
      <c r="D104" s="196" t="s">
        <v>23</v>
      </c>
      <c r="E104" s="222" t="s">
        <v>28</v>
      </c>
      <c r="F104" s="222">
        <v>218</v>
      </c>
      <c r="G104" s="222">
        <v>216</v>
      </c>
      <c r="H104" s="274">
        <v>2</v>
      </c>
      <c r="I104" s="197">
        <v>5000</v>
      </c>
      <c r="J104" s="268">
        <f t="shared" si="8"/>
        <v>10000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45098</v>
      </c>
      <c r="D105" s="196" t="s">
        <v>23</v>
      </c>
      <c r="E105" s="196" t="s">
        <v>28</v>
      </c>
      <c r="F105" s="222">
        <v>214.6</v>
      </c>
      <c r="G105" s="222">
        <v>213.6</v>
      </c>
      <c r="H105" s="222">
        <v>1</v>
      </c>
      <c r="I105" s="197">
        <v>5000</v>
      </c>
      <c r="J105" s="268">
        <f t="shared" si="8"/>
        <v>5000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45099</v>
      </c>
      <c r="D106" s="196" t="s">
        <v>23</v>
      </c>
      <c r="E106" s="196" t="s">
        <v>28</v>
      </c>
      <c r="F106" s="222">
        <v>219</v>
      </c>
      <c r="G106" s="274">
        <v>218.2</v>
      </c>
      <c r="H106" s="274">
        <f>219-218.2</f>
        <v>0.80000000000001137</v>
      </c>
      <c r="I106" s="197">
        <v>5000</v>
      </c>
      <c r="J106" s="268">
        <f t="shared" si="8"/>
        <v>4000.0000000000568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45100</v>
      </c>
      <c r="D107" s="196" t="s">
        <v>23</v>
      </c>
      <c r="E107" s="196" t="s">
        <v>28</v>
      </c>
      <c r="F107" s="222">
        <v>213</v>
      </c>
      <c r="G107" s="222">
        <v>212.4</v>
      </c>
      <c r="H107" s="274">
        <f>213-212.4</f>
        <v>0.59999999999999432</v>
      </c>
      <c r="I107" s="197">
        <v>5000</v>
      </c>
      <c r="J107" s="268">
        <f t="shared" si="8"/>
        <v>2999.9999999999718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45103</v>
      </c>
      <c r="D108" s="196" t="s">
        <v>23</v>
      </c>
      <c r="E108" s="196" t="s">
        <v>28</v>
      </c>
      <c r="F108" s="222">
        <v>212.5</v>
      </c>
      <c r="G108" s="222">
        <v>211.5</v>
      </c>
      <c r="H108" s="274">
        <v>1</v>
      </c>
      <c r="I108" s="197">
        <v>5000</v>
      </c>
      <c r="J108" s="268">
        <f t="shared" si="8"/>
        <v>5000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45104</v>
      </c>
      <c r="D109" s="196" t="s">
        <v>23</v>
      </c>
      <c r="E109" s="196" t="s">
        <v>28</v>
      </c>
      <c r="F109" s="222">
        <v>214</v>
      </c>
      <c r="G109" s="222">
        <v>215</v>
      </c>
      <c r="H109" s="274">
        <v>-1</v>
      </c>
      <c r="I109" s="197">
        <v>5000</v>
      </c>
      <c r="J109" s="268">
        <f t="shared" si="8"/>
        <v>-5000</v>
      </c>
      <c r="K109" s="185"/>
      <c r="V109" s="183">
        <f t="shared" si="9"/>
        <v>0</v>
      </c>
      <c r="W109" s="183">
        <f t="shared" si="10"/>
        <v>1</v>
      </c>
    </row>
    <row r="110" spans="1:23" x14ac:dyDescent="0.3">
      <c r="A110" s="184"/>
      <c r="B110" s="194">
        <v>20</v>
      </c>
      <c r="C110" s="195">
        <v>45105</v>
      </c>
      <c r="D110" s="196" t="s">
        <v>23</v>
      </c>
      <c r="E110" s="222" t="s">
        <v>28</v>
      </c>
      <c r="F110" s="222">
        <v>213</v>
      </c>
      <c r="G110" s="222">
        <v>212</v>
      </c>
      <c r="H110" s="274">
        <v>1</v>
      </c>
      <c r="I110" s="197">
        <v>5000</v>
      </c>
      <c r="J110" s="268">
        <f t="shared" si="8"/>
        <v>5000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>
        <v>45107</v>
      </c>
      <c r="D111" s="196" t="s">
        <v>23</v>
      </c>
      <c r="E111" s="222" t="s">
        <v>28</v>
      </c>
      <c r="F111" s="222">
        <v>212.8</v>
      </c>
      <c r="G111" s="222">
        <v>213.8</v>
      </c>
      <c r="H111" s="274">
        <v>-1</v>
      </c>
      <c r="I111" s="197">
        <v>5000</v>
      </c>
      <c r="J111" s="268">
        <f t="shared" si="8"/>
        <v>-5000</v>
      </c>
      <c r="K111" s="185"/>
      <c r="V111" s="183">
        <f>IF($J111&gt;0,1,0)</f>
        <v>0</v>
      </c>
      <c r="W111" s="183">
        <f>IF($J111&lt;0,1,0)</f>
        <v>1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70749.999999999738</v>
      </c>
      <c r="K114" s="185"/>
      <c r="V114" s="183">
        <f>SUM(V91:V113)</f>
        <v>19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  <c r="L115" s="183" t="s">
        <v>926</v>
      </c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07" t="s">
        <v>873</v>
      </c>
      <c r="C118" s="308"/>
      <c r="D118" s="308"/>
      <c r="E118" s="308"/>
      <c r="F118" s="308"/>
      <c r="G118" s="308"/>
      <c r="H118" s="308"/>
      <c r="I118" s="308"/>
      <c r="J118" s="309"/>
      <c r="K118" s="185"/>
    </row>
    <row r="119" spans="1:23" ht="16.2" thickBot="1" x14ac:dyDescent="0.35">
      <c r="A119" s="184"/>
      <c r="B119" s="310">
        <v>45078</v>
      </c>
      <c r="C119" s="311"/>
      <c r="D119" s="311"/>
      <c r="E119" s="311"/>
      <c r="F119" s="311"/>
      <c r="G119" s="311"/>
      <c r="H119" s="311"/>
      <c r="I119" s="311"/>
      <c r="J119" s="312"/>
      <c r="K119" s="185"/>
    </row>
    <row r="120" spans="1:23" ht="16.2" thickBot="1" x14ac:dyDescent="0.35">
      <c r="A120" s="184"/>
      <c r="B120" s="313" t="s">
        <v>905</v>
      </c>
      <c r="C120" s="314"/>
      <c r="D120" s="314"/>
      <c r="E120" s="314"/>
      <c r="F120" s="314"/>
      <c r="G120" s="314"/>
      <c r="H120" s="314"/>
      <c r="I120" s="314"/>
      <c r="J120" s="315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45078</v>
      </c>
      <c r="D122" s="216" t="s">
        <v>16</v>
      </c>
      <c r="E122" s="256" t="s">
        <v>917</v>
      </c>
      <c r="F122" s="256">
        <v>200</v>
      </c>
      <c r="G122" s="256">
        <v>180</v>
      </c>
      <c r="H122" s="256">
        <v>-20</v>
      </c>
      <c r="I122" s="218">
        <v>100</v>
      </c>
      <c r="J122" s="273">
        <f>I122*H122</f>
        <v>-2000</v>
      </c>
      <c r="K122" s="185"/>
      <c r="V122" s="183">
        <f>IF($J122&gt;0,1,0)</f>
        <v>0</v>
      </c>
      <c r="W122" s="183">
        <f>IF($J122&lt;0,1,0)</f>
        <v>1</v>
      </c>
    </row>
    <row r="123" spans="1:23" x14ac:dyDescent="0.3">
      <c r="A123" s="184"/>
      <c r="B123" s="194">
        <v>2</v>
      </c>
      <c r="C123" s="195">
        <v>45079</v>
      </c>
      <c r="D123" s="196" t="s">
        <v>16</v>
      </c>
      <c r="E123" s="222" t="s">
        <v>924</v>
      </c>
      <c r="F123" s="222">
        <v>235</v>
      </c>
      <c r="G123" s="222">
        <v>248</v>
      </c>
      <c r="H123" s="222">
        <f>248-235</f>
        <v>13</v>
      </c>
      <c r="I123" s="218">
        <v>100</v>
      </c>
      <c r="J123" s="268">
        <f t="shared" ref="J123:J142" si="11">I123*H123</f>
        <v>1300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45082</v>
      </c>
      <c r="D124" s="196" t="s">
        <v>16</v>
      </c>
      <c r="E124" s="222" t="s">
        <v>915</v>
      </c>
      <c r="F124" s="222">
        <v>185</v>
      </c>
      <c r="G124" s="222">
        <v>199</v>
      </c>
      <c r="H124" s="222">
        <f>199-185</f>
        <v>14</v>
      </c>
      <c r="I124" s="218">
        <v>100</v>
      </c>
      <c r="J124" s="268">
        <f t="shared" si="11"/>
        <v>1400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45083</v>
      </c>
      <c r="D125" s="196" t="s">
        <v>16</v>
      </c>
      <c r="E125" s="222" t="s">
        <v>924</v>
      </c>
      <c r="F125" s="222">
        <v>180</v>
      </c>
      <c r="G125" s="222">
        <v>188</v>
      </c>
      <c r="H125" s="222">
        <v>8</v>
      </c>
      <c r="I125" s="218">
        <v>100</v>
      </c>
      <c r="J125" s="268">
        <f t="shared" si="11"/>
        <v>800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45084</v>
      </c>
      <c r="D126" s="196" t="s">
        <v>16</v>
      </c>
      <c r="E126" s="222" t="s">
        <v>916</v>
      </c>
      <c r="F126" s="222">
        <v>133</v>
      </c>
      <c r="G126" s="222">
        <v>143</v>
      </c>
      <c r="H126" s="222">
        <v>10</v>
      </c>
      <c r="I126" s="218">
        <v>100</v>
      </c>
      <c r="J126" s="268">
        <f t="shared" si="11"/>
        <v>1000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45085</v>
      </c>
      <c r="D127" s="196" t="s">
        <v>16</v>
      </c>
      <c r="E127" s="222" t="s">
        <v>915</v>
      </c>
      <c r="F127" s="222">
        <v>153</v>
      </c>
      <c r="G127" s="222">
        <v>193</v>
      </c>
      <c r="H127" s="222">
        <f>193-153</f>
        <v>40</v>
      </c>
      <c r="I127" s="218">
        <v>100</v>
      </c>
      <c r="J127" s="268">
        <f t="shared" si="11"/>
        <v>4000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45086</v>
      </c>
      <c r="D128" s="196" t="s">
        <v>16</v>
      </c>
      <c r="E128" s="222" t="s">
        <v>916</v>
      </c>
      <c r="F128" s="222">
        <v>170</v>
      </c>
      <c r="G128" s="222">
        <v>181</v>
      </c>
      <c r="H128" s="274">
        <v>11</v>
      </c>
      <c r="I128" s="218">
        <v>100</v>
      </c>
      <c r="J128" s="268">
        <f t="shared" si="11"/>
        <v>1100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45089</v>
      </c>
      <c r="D129" s="196" t="s">
        <v>16</v>
      </c>
      <c r="E129" s="222" t="s">
        <v>923</v>
      </c>
      <c r="F129" s="222">
        <v>174</v>
      </c>
      <c r="G129" s="222">
        <v>212</v>
      </c>
      <c r="H129" s="222">
        <f>212-174</f>
        <v>38</v>
      </c>
      <c r="I129" s="218">
        <v>100</v>
      </c>
      <c r="J129" s="268">
        <f t="shared" si="11"/>
        <v>3800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45090</v>
      </c>
      <c r="D130" s="196" t="s">
        <v>16</v>
      </c>
      <c r="E130" s="222" t="s">
        <v>923</v>
      </c>
      <c r="F130" s="222">
        <v>185</v>
      </c>
      <c r="G130" s="222">
        <v>205</v>
      </c>
      <c r="H130" s="222">
        <f>205-185</f>
        <v>20</v>
      </c>
      <c r="I130" s="218">
        <v>100</v>
      </c>
      <c r="J130" s="268">
        <f t="shared" si="11"/>
        <v>2000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45091</v>
      </c>
      <c r="D131" s="196" t="s">
        <v>16</v>
      </c>
      <c r="E131" s="222" t="s">
        <v>923</v>
      </c>
      <c r="F131" s="222">
        <v>253</v>
      </c>
      <c r="G131" s="222">
        <v>272</v>
      </c>
      <c r="H131" s="222">
        <f>272-253</f>
        <v>19</v>
      </c>
      <c r="I131" s="218">
        <v>100</v>
      </c>
      <c r="J131" s="268">
        <f t="shared" si="11"/>
        <v>1900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45092</v>
      </c>
      <c r="D132" s="196" t="s">
        <v>16</v>
      </c>
      <c r="E132" s="222" t="s">
        <v>917</v>
      </c>
      <c r="F132" s="222">
        <v>208</v>
      </c>
      <c r="G132" s="222">
        <v>228</v>
      </c>
      <c r="H132" s="274">
        <f>228-208</f>
        <v>20</v>
      </c>
      <c r="I132" s="218">
        <v>100</v>
      </c>
      <c r="J132" s="268">
        <f t="shared" si="11"/>
        <v>2000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45093</v>
      </c>
      <c r="D133" s="196" t="s">
        <v>16</v>
      </c>
      <c r="E133" s="222" t="s">
        <v>917</v>
      </c>
      <c r="F133" s="222">
        <v>173</v>
      </c>
      <c r="G133" s="222">
        <v>180</v>
      </c>
      <c r="H133" s="274">
        <f>180-173</f>
        <v>7</v>
      </c>
      <c r="I133" s="218">
        <v>100</v>
      </c>
      <c r="J133" s="268">
        <f t="shared" si="11"/>
        <v>700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45096</v>
      </c>
      <c r="D134" s="196" t="s">
        <v>16</v>
      </c>
      <c r="E134" s="222" t="s">
        <v>924</v>
      </c>
      <c r="F134" s="222">
        <v>238</v>
      </c>
      <c r="G134" s="222">
        <v>247</v>
      </c>
      <c r="H134" s="274">
        <f>247-238</f>
        <v>9</v>
      </c>
      <c r="I134" s="218">
        <v>100</v>
      </c>
      <c r="J134" s="268">
        <f t="shared" si="11"/>
        <v>900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45097</v>
      </c>
      <c r="D135" s="196" t="s">
        <v>16</v>
      </c>
      <c r="E135" s="222" t="s">
        <v>924</v>
      </c>
      <c r="F135" s="222">
        <v>220</v>
      </c>
      <c r="G135" s="222">
        <v>240</v>
      </c>
      <c r="H135" s="274">
        <v>20</v>
      </c>
      <c r="I135" s="218">
        <v>100</v>
      </c>
      <c r="J135" s="268">
        <f t="shared" si="11"/>
        <v>2000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45098</v>
      </c>
      <c r="D136" s="196" t="s">
        <v>16</v>
      </c>
      <c r="E136" s="196" t="s">
        <v>923</v>
      </c>
      <c r="F136" s="222">
        <v>206</v>
      </c>
      <c r="G136" s="222">
        <v>220</v>
      </c>
      <c r="H136" s="222">
        <f>220-206</f>
        <v>14</v>
      </c>
      <c r="I136" s="218">
        <v>100</v>
      </c>
      <c r="J136" s="268">
        <f t="shared" si="11"/>
        <v>1400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45099</v>
      </c>
      <c r="D137" s="196" t="s">
        <v>16</v>
      </c>
      <c r="E137" s="196" t="s">
        <v>923</v>
      </c>
      <c r="F137" s="222">
        <v>190</v>
      </c>
      <c r="G137" s="274">
        <v>218</v>
      </c>
      <c r="H137" s="274">
        <f>218-190</f>
        <v>28</v>
      </c>
      <c r="I137" s="218">
        <v>100</v>
      </c>
      <c r="J137" s="268">
        <f t="shared" si="11"/>
        <v>2800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45100</v>
      </c>
      <c r="D138" s="196" t="s">
        <v>16</v>
      </c>
      <c r="E138" s="196" t="s">
        <v>917</v>
      </c>
      <c r="F138" s="222">
        <v>205</v>
      </c>
      <c r="G138" s="222">
        <v>245</v>
      </c>
      <c r="H138" s="274">
        <f>245-205</f>
        <v>40</v>
      </c>
      <c r="I138" s="218">
        <v>100</v>
      </c>
      <c r="J138" s="268">
        <f t="shared" si="11"/>
        <v>4000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>
        <v>45103</v>
      </c>
      <c r="D139" s="196" t="s">
        <v>16</v>
      </c>
      <c r="E139" s="196" t="s">
        <v>919</v>
      </c>
      <c r="F139" s="222">
        <v>220</v>
      </c>
      <c r="G139" s="222">
        <v>240</v>
      </c>
      <c r="H139" s="274">
        <v>20</v>
      </c>
      <c r="I139" s="218">
        <v>100</v>
      </c>
      <c r="J139" s="268">
        <f t="shared" si="11"/>
        <v>2000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19</v>
      </c>
      <c r="C140" s="195">
        <v>45104</v>
      </c>
      <c r="D140" s="196" t="s">
        <v>16</v>
      </c>
      <c r="E140" s="196" t="s">
        <v>917</v>
      </c>
      <c r="F140" s="222">
        <v>205</v>
      </c>
      <c r="G140" s="222">
        <v>233</v>
      </c>
      <c r="H140" s="274">
        <f>233-205</f>
        <v>28</v>
      </c>
      <c r="I140" s="218">
        <v>100</v>
      </c>
      <c r="J140" s="268">
        <f t="shared" si="11"/>
        <v>2800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45105</v>
      </c>
      <c r="D141" s="196" t="s">
        <v>16</v>
      </c>
      <c r="E141" s="222" t="s">
        <v>917</v>
      </c>
      <c r="F141" s="222">
        <v>210</v>
      </c>
      <c r="G141" s="222">
        <v>250</v>
      </c>
      <c r="H141" s="274">
        <v>40</v>
      </c>
      <c r="I141" s="218">
        <v>100</v>
      </c>
      <c r="J141" s="268">
        <f t="shared" si="11"/>
        <v>4000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>
        <v>45107</v>
      </c>
      <c r="D142" s="196" t="s">
        <v>16</v>
      </c>
      <c r="E142" s="222" t="s">
        <v>923</v>
      </c>
      <c r="F142" s="222">
        <v>205</v>
      </c>
      <c r="G142" s="222">
        <v>225</v>
      </c>
      <c r="H142" s="274">
        <v>20</v>
      </c>
      <c r="I142" s="218">
        <v>100</v>
      </c>
      <c r="J142" s="268">
        <f t="shared" si="11"/>
        <v>2000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04" t="s">
        <v>879</v>
      </c>
      <c r="C145" s="305"/>
      <c r="D145" s="305"/>
      <c r="E145" s="305"/>
      <c r="F145" s="305"/>
      <c r="G145" s="305"/>
      <c r="H145" s="306"/>
      <c r="I145" s="203" t="s">
        <v>880</v>
      </c>
      <c r="J145" s="204">
        <f>SUM(J122:J144)</f>
        <v>39900</v>
      </c>
      <c r="K145" s="185"/>
      <c r="V145" s="183">
        <f>SUM(V122:V144)</f>
        <v>20</v>
      </c>
      <c r="W145" s="183">
        <f>SUM(W122:W144)</f>
        <v>1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7E00-000000000000}"/>
    <hyperlink ref="B83" r:id="rId2" xr:uid="{00000000-0004-0000-7E00-000001000000}"/>
    <hyperlink ref="M4:M5" location="'JUN 2023'!A1" display="BULLION" xr:uid="{00000000-0004-0000-7E00-000002000000}"/>
    <hyperlink ref="B114" r:id="rId3" xr:uid="{00000000-0004-0000-7E00-000003000000}"/>
    <hyperlink ref="M8:M9" location="'JUN 2023'!A86" display="BASE METAL" xr:uid="{00000000-0004-0000-7E00-000004000000}"/>
    <hyperlink ref="M1" location="MASTER!A1" display="Back" xr:uid="{00000000-0004-0000-7E00-000005000000}"/>
    <hyperlink ref="M6:M7" location="'JUN 2023'!A55" display="ENERGY" xr:uid="{00000000-0004-0000-7E00-000006000000}"/>
    <hyperlink ref="B145" r:id="rId4" xr:uid="{00000000-0004-0000-7E00-000007000000}"/>
    <hyperlink ref="M10:M11" location="'JUN 2023'!A117" display="CRUDEOIL OPTION" xr:uid="{00000000-0004-0000-7E00-000008000000}"/>
  </hyperlinks>
  <pageMargins left="0" right="0" top="0" bottom="0" header="0" footer="0"/>
  <pageSetup paperSize="9" orientation="portrait" r:id="rId5"/>
  <drawing r:id="rId6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W146"/>
  <sheetViews>
    <sheetView topLeftCell="A136" zoomScaleNormal="100" workbookViewId="0">
      <selection activeCell="B120" sqref="B120:J12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45108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38</v>
      </c>
      <c r="P4" s="369">
        <f>W52</f>
        <v>4</v>
      </c>
      <c r="Q4" s="349">
        <f>N4-O4-P4</f>
        <v>0</v>
      </c>
      <c r="R4" s="343">
        <f>O4/N4</f>
        <v>0.90476190476190477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45110</v>
      </c>
      <c r="D6" s="192" t="s">
        <v>16</v>
      </c>
      <c r="E6" s="192" t="s">
        <v>24</v>
      </c>
      <c r="F6" s="193">
        <v>58050</v>
      </c>
      <c r="G6" s="193">
        <v>58200</v>
      </c>
      <c r="H6" s="192">
        <f>58200-58050</f>
        <v>150</v>
      </c>
      <c r="I6" s="193">
        <v>100</v>
      </c>
      <c r="J6" s="267">
        <f>H6*I6</f>
        <v>15000</v>
      </c>
      <c r="K6" s="185"/>
      <c r="M6" s="364" t="s">
        <v>258</v>
      </c>
      <c r="N6" s="347">
        <f>COUNT(C60:C82)</f>
        <v>20</v>
      </c>
      <c r="O6" s="348">
        <f>V83</f>
        <v>18</v>
      </c>
      <c r="P6" s="348">
        <f>W83</f>
        <v>2</v>
      </c>
      <c r="Q6" s="349">
        <v>0</v>
      </c>
      <c r="R6" s="345">
        <f t="shared" ref="R6" si="0">O6/N6</f>
        <v>0.9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45110</v>
      </c>
      <c r="D7" s="196" t="s">
        <v>16</v>
      </c>
      <c r="E7" s="196" t="s">
        <v>22</v>
      </c>
      <c r="F7" s="197">
        <v>70000</v>
      </c>
      <c r="G7" s="197">
        <v>70400</v>
      </c>
      <c r="H7" s="196">
        <v>400</v>
      </c>
      <c r="I7" s="197">
        <v>30</v>
      </c>
      <c r="J7" s="268">
        <f t="shared" ref="J7:J51" si="1">H7*I7</f>
        <v>12000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45111</v>
      </c>
      <c r="D8" s="196" t="s">
        <v>23</v>
      </c>
      <c r="E8" s="196" t="s">
        <v>24</v>
      </c>
      <c r="F8" s="197">
        <v>58500</v>
      </c>
      <c r="G8" s="197">
        <v>58400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COUNT(C91:C113)</f>
        <v>21</v>
      </c>
      <c r="O8" s="348">
        <f>V114</f>
        <v>15</v>
      </c>
      <c r="P8" s="348">
        <f>W114</f>
        <v>6</v>
      </c>
      <c r="Q8" s="349">
        <f>N8-O8-P8</f>
        <v>0</v>
      </c>
      <c r="R8" s="345">
        <f t="shared" ref="R8" si="4">O8/N8</f>
        <v>0.7142857142857143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45111</v>
      </c>
      <c r="D9" s="196" t="s">
        <v>23</v>
      </c>
      <c r="E9" s="196" t="s">
        <v>22</v>
      </c>
      <c r="F9" s="197">
        <v>70700</v>
      </c>
      <c r="G9" s="197">
        <v>70400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45112</v>
      </c>
      <c r="D10" s="196" t="s">
        <v>23</v>
      </c>
      <c r="E10" s="196" t="s">
        <v>24</v>
      </c>
      <c r="F10" s="197">
        <v>58620</v>
      </c>
      <c r="G10" s="197">
        <v>58570</v>
      </c>
      <c r="H10" s="196">
        <f>58620-58570</f>
        <v>50</v>
      </c>
      <c r="I10" s="197">
        <v>100</v>
      </c>
      <c r="J10" s="268">
        <f t="shared" si="1"/>
        <v>5000</v>
      </c>
      <c r="K10" s="185"/>
      <c r="M10" s="364" t="s">
        <v>906</v>
      </c>
      <c r="N10" s="347">
        <f>COUNT(C122:C144)</f>
        <v>20</v>
      </c>
      <c r="O10" s="348">
        <f>V145</f>
        <v>18</v>
      </c>
      <c r="P10" s="348">
        <f>W145</f>
        <v>2</v>
      </c>
      <c r="Q10" s="349">
        <f>N10-O10-P10</f>
        <v>0</v>
      </c>
      <c r="R10" s="345">
        <f>O10/N10</f>
        <v>0.9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45112</v>
      </c>
      <c r="D11" s="196" t="s">
        <v>23</v>
      </c>
      <c r="E11" s="196" t="s">
        <v>22</v>
      </c>
      <c r="F11" s="197">
        <v>70450</v>
      </c>
      <c r="G11" s="197">
        <v>70230</v>
      </c>
      <c r="H11" s="196">
        <f>70450-70230</f>
        <v>220</v>
      </c>
      <c r="I11" s="197">
        <v>30</v>
      </c>
      <c r="J11" s="268">
        <f t="shared" si="1"/>
        <v>6600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45113</v>
      </c>
      <c r="D12" s="196" t="s">
        <v>23</v>
      </c>
      <c r="E12" s="196" t="s">
        <v>24</v>
      </c>
      <c r="F12" s="197">
        <v>58450</v>
      </c>
      <c r="G12" s="197">
        <v>58250</v>
      </c>
      <c r="H12" s="196">
        <f>58450-58250</f>
        <v>200</v>
      </c>
      <c r="I12" s="197">
        <v>100</v>
      </c>
      <c r="J12" s="268">
        <f t="shared" si="1"/>
        <v>20000</v>
      </c>
      <c r="K12" s="185"/>
      <c r="M12" s="319" t="s">
        <v>300</v>
      </c>
      <c r="N12" s="371">
        <f>SUM(N4:N11)</f>
        <v>103</v>
      </c>
      <c r="O12" s="371">
        <f>SUM(O4:O11)</f>
        <v>89</v>
      </c>
      <c r="P12" s="371">
        <f>SUM(P4:P11)</f>
        <v>14</v>
      </c>
      <c r="Q12" s="371">
        <f>SUM(Q4:Q11)</f>
        <v>0</v>
      </c>
      <c r="R12" s="343">
        <f>O12/N12</f>
        <v>0.86407766990291257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45113</v>
      </c>
      <c r="D13" s="196" t="s">
        <v>23</v>
      </c>
      <c r="E13" s="196" t="s">
        <v>22</v>
      </c>
      <c r="F13" s="197">
        <v>71300</v>
      </c>
      <c r="G13" s="197">
        <v>70700</v>
      </c>
      <c r="H13" s="196">
        <f>71300-70700</f>
        <v>600</v>
      </c>
      <c r="I13" s="197">
        <v>30</v>
      </c>
      <c r="J13" s="268">
        <f t="shared" si="1"/>
        <v>18000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45114</v>
      </c>
      <c r="D14" s="196" t="s">
        <v>23</v>
      </c>
      <c r="E14" s="196" t="s">
        <v>24</v>
      </c>
      <c r="F14" s="197">
        <v>58540</v>
      </c>
      <c r="G14" s="197">
        <v>58470</v>
      </c>
      <c r="H14" s="196">
        <f>58540-58470</f>
        <v>70</v>
      </c>
      <c r="I14" s="197">
        <v>100</v>
      </c>
      <c r="J14" s="268">
        <f t="shared" si="1"/>
        <v>7000</v>
      </c>
      <c r="K14" s="185"/>
      <c r="M14" s="323" t="s">
        <v>878</v>
      </c>
      <c r="N14" s="324"/>
      <c r="O14" s="325"/>
      <c r="P14" s="332">
        <f>R12</f>
        <v>0.86407766990291257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45114</v>
      </c>
      <c r="D15" s="196" t="s">
        <v>23</v>
      </c>
      <c r="E15" s="196" t="s">
        <v>22</v>
      </c>
      <c r="F15" s="197">
        <v>70400</v>
      </c>
      <c r="G15" s="197">
        <v>70200</v>
      </c>
      <c r="H15" s="196">
        <v>200</v>
      </c>
      <c r="I15" s="197">
        <v>30</v>
      </c>
      <c r="J15" s="268">
        <f t="shared" si="1"/>
        <v>6000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45117</v>
      </c>
      <c r="D16" s="196" t="s">
        <v>23</v>
      </c>
      <c r="E16" s="196" t="s">
        <v>24</v>
      </c>
      <c r="F16" s="197">
        <v>58670</v>
      </c>
      <c r="G16" s="197">
        <v>58530</v>
      </c>
      <c r="H16" s="196">
        <f>58670-58530</f>
        <v>140</v>
      </c>
      <c r="I16" s="197">
        <v>100</v>
      </c>
      <c r="J16" s="268">
        <f t="shared" si="1"/>
        <v>14000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45117</v>
      </c>
      <c r="D17" s="196" t="s">
        <v>23</v>
      </c>
      <c r="E17" s="196" t="s">
        <v>22</v>
      </c>
      <c r="F17" s="197">
        <v>71200</v>
      </c>
      <c r="G17" s="197">
        <v>70900</v>
      </c>
      <c r="H17" s="196">
        <f>71200-70900</f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45118</v>
      </c>
      <c r="D18" s="196" t="s">
        <v>23</v>
      </c>
      <c r="E18" s="196" t="s">
        <v>24</v>
      </c>
      <c r="F18" s="197">
        <v>58920</v>
      </c>
      <c r="G18" s="197">
        <v>58775</v>
      </c>
      <c r="H18" s="196">
        <f>58920-58775</f>
        <v>145</v>
      </c>
      <c r="I18" s="197">
        <v>100</v>
      </c>
      <c r="J18" s="268">
        <f t="shared" si="1"/>
        <v>14500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45118</v>
      </c>
      <c r="D19" s="196" t="s">
        <v>23</v>
      </c>
      <c r="E19" s="196" t="s">
        <v>22</v>
      </c>
      <c r="F19" s="197">
        <v>71500</v>
      </c>
      <c r="G19" s="197">
        <v>71100</v>
      </c>
      <c r="H19" s="196">
        <v>400</v>
      </c>
      <c r="I19" s="197">
        <v>30</v>
      </c>
      <c r="J19" s="268">
        <f t="shared" si="1"/>
        <v>12000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45119</v>
      </c>
      <c r="D20" s="196" t="s">
        <v>23</v>
      </c>
      <c r="E20" s="196" t="s">
        <v>24</v>
      </c>
      <c r="F20" s="197">
        <v>58770</v>
      </c>
      <c r="G20" s="197">
        <v>58670</v>
      </c>
      <c r="H20" s="196">
        <v>100</v>
      </c>
      <c r="I20" s="197">
        <v>100</v>
      </c>
      <c r="J20" s="268">
        <f t="shared" si="1"/>
        <v>10000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45119</v>
      </c>
      <c r="D21" s="196" t="s">
        <v>23</v>
      </c>
      <c r="E21" s="196" t="s">
        <v>22</v>
      </c>
      <c r="F21" s="197">
        <v>71300</v>
      </c>
      <c r="G21" s="197">
        <v>70700</v>
      </c>
      <c r="H21" s="196">
        <f>71300-70700</f>
        <v>600</v>
      </c>
      <c r="I21" s="197">
        <v>30</v>
      </c>
      <c r="J21" s="268">
        <f t="shared" si="1"/>
        <v>18000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45120</v>
      </c>
      <c r="D22" s="196" t="s">
        <v>23</v>
      </c>
      <c r="E22" s="196" t="s">
        <v>24</v>
      </c>
      <c r="F22" s="197">
        <v>59280</v>
      </c>
      <c r="G22" s="197">
        <v>59230</v>
      </c>
      <c r="H22" s="196">
        <f>59280-59230</f>
        <v>50</v>
      </c>
      <c r="I22" s="197">
        <v>100</v>
      </c>
      <c r="J22" s="268">
        <f t="shared" si="1"/>
        <v>5000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45120</v>
      </c>
      <c r="D23" s="196" t="s">
        <v>23</v>
      </c>
      <c r="E23" s="196" t="s">
        <v>22</v>
      </c>
      <c r="F23" s="197">
        <v>73900</v>
      </c>
      <c r="G23" s="197">
        <v>73600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45121</v>
      </c>
      <c r="D24" s="196" t="s">
        <v>23</v>
      </c>
      <c r="E24" s="196" t="s">
        <v>24</v>
      </c>
      <c r="F24" s="197">
        <v>59240</v>
      </c>
      <c r="G24" s="197">
        <v>59180</v>
      </c>
      <c r="H24" s="196">
        <f>59240-59180</f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45121</v>
      </c>
      <c r="D25" s="196" t="s">
        <v>23</v>
      </c>
      <c r="E25" s="196" t="s">
        <v>22</v>
      </c>
      <c r="F25" s="197">
        <v>75400</v>
      </c>
      <c r="G25" s="197">
        <v>75100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45124</v>
      </c>
      <c r="D26" s="196" t="s">
        <v>23</v>
      </c>
      <c r="E26" s="196" t="s">
        <v>24</v>
      </c>
      <c r="F26" s="197">
        <v>59150</v>
      </c>
      <c r="G26" s="197">
        <v>59000</v>
      </c>
      <c r="H26" s="196">
        <v>150</v>
      </c>
      <c r="I26" s="197">
        <v>100</v>
      </c>
      <c r="J26" s="268">
        <f t="shared" si="1"/>
        <v>15000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45124</v>
      </c>
      <c r="D27" s="196" t="s">
        <v>23</v>
      </c>
      <c r="E27" s="196" t="s">
        <v>22</v>
      </c>
      <c r="F27" s="197">
        <v>75500</v>
      </c>
      <c r="G27" s="197">
        <v>75200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45125</v>
      </c>
      <c r="D28" s="196" t="s">
        <v>23</v>
      </c>
      <c r="E28" s="196" t="s">
        <v>24</v>
      </c>
      <c r="F28" s="197">
        <v>59520</v>
      </c>
      <c r="G28" s="197">
        <v>59420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45125</v>
      </c>
      <c r="D29" s="196" t="s">
        <v>23</v>
      </c>
      <c r="E29" s="196" t="s">
        <v>22</v>
      </c>
      <c r="F29" s="197">
        <v>75750</v>
      </c>
      <c r="G29" s="197">
        <v>75450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45126</v>
      </c>
      <c r="D30" s="196" t="s">
        <v>23</v>
      </c>
      <c r="E30" s="196" t="s">
        <v>24</v>
      </c>
      <c r="F30" s="197">
        <v>59800</v>
      </c>
      <c r="G30" s="197">
        <v>59700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45126</v>
      </c>
      <c r="D31" s="196" t="s">
        <v>23</v>
      </c>
      <c r="E31" s="196" t="s">
        <v>22</v>
      </c>
      <c r="F31" s="197">
        <v>76200</v>
      </c>
      <c r="G31" s="197">
        <v>76050</v>
      </c>
      <c r="H31" s="196">
        <v>150</v>
      </c>
      <c r="I31" s="197">
        <v>30</v>
      </c>
      <c r="J31" s="268">
        <f t="shared" si="1"/>
        <v>4500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45127</v>
      </c>
      <c r="D32" s="196" t="s">
        <v>23</v>
      </c>
      <c r="E32" s="196" t="s">
        <v>24</v>
      </c>
      <c r="F32" s="197">
        <v>59870</v>
      </c>
      <c r="G32" s="197">
        <v>59670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45127</v>
      </c>
      <c r="D33" s="196" t="s">
        <v>23</v>
      </c>
      <c r="E33" s="196" t="s">
        <v>22</v>
      </c>
      <c r="F33" s="197">
        <v>76550</v>
      </c>
      <c r="G33" s="197">
        <v>76250</v>
      </c>
      <c r="H33" s="196">
        <v>300</v>
      </c>
      <c r="I33" s="197">
        <v>30</v>
      </c>
      <c r="J33" s="268">
        <f t="shared" si="1"/>
        <v>9000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45128</v>
      </c>
      <c r="D34" s="196" t="s">
        <v>23</v>
      </c>
      <c r="E34" s="196" t="s">
        <v>24</v>
      </c>
      <c r="F34" s="197">
        <v>59320</v>
      </c>
      <c r="G34" s="197">
        <v>59420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45128</v>
      </c>
      <c r="D35" s="196" t="s">
        <v>23</v>
      </c>
      <c r="E35" s="196" t="s">
        <v>22</v>
      </c>
      <c r="F35" s="197">
        <v>75200</v>
      </c>
      <c r="G35" s="197">
        <v>75500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>
        <v>45131</v>
      </c>
      <c r="D36" s="196" t="s">
        <v>23</v>
      </c>
      <c r="E36" s="196" t="s">
        <v>24</v>
      </c>
      <c r="F36" s="197">
        <v>59280</v>
      </c>
      <c r="G36" s="197">
        <v>59225</v>
      </c>
      <c r="H36" s="196">
        <f>59280-59225</f>
        <v>55</v>
      </c>
      <c r="I36" s="197">
        <v>100</v>
      </c>
      <c r="J36" s="268">
        <f t="shared" si="1"/>
        <v>5500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45131</v>
      </c>
      <c r="D37" s="196" t="s">
        <v>23</v>
      </c>
      <c r="E37" s="196" t="s">
        <v>22</v>
      </c>
      <c r="F37" s="197">
        <v>74700</v>
      </c>
      <c r="G37" s="197">
        <v>74580</v>
      </c>
      <c r="H37" s="196">
        <f>74700-74580</f>
        <v>120</v>
      </c>
      <c r="I37" s="197">
        <v>30</v>
      </c>
      <c r="J37" s="268">
        <f t="shared" si="1"/>
        <v>3600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45132</v>
      </c>
      <c r="D38" s="196" t="s">
        <v>23</v>
      </c>
      <c r="E38" s="196" t="s">
        <v>24</v>
      </c>
      <c r="F38" s="197">
        <v>59180</v>
      </c>
      <c r="G38" s="197">
        <v>59080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45132</v>
      </c>
      <c r="D39" s="196" t="s">
        <v>23</v>
      </c>
      <c r="E39" s="196" t="s">
        <v>22</v>
      </c>
      <c r="F39" s="197">
        <v>74550</v>
      </c>
      <c r="G39" s="197">
        <v>74435</v>
      </c>
      <c r="H39" s="196">
        <f>74550-74435</f>
        <v>115</v>
      </c>
      <c r="I39" s="197">
        <v>30</v>
      </c>
      <c r="J39" s="268">
        <f t="shared" si="1"/>
        <v>3450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45133</v>
      </c>
      <c r="D40" s="196" t="s">
        <v>23</v>
      </c>
      <c r="E40" s="196" t="s">
        <v>24</v>
      </c>
      <c r="F40" s="197">
        <v>59500</v>
      </c>
      <c r="G40" s="197">
        <v>59450</v>
      </c>
      <c r="H40" s="196">
        <v>50</v>
      </c>
      <c r="I40" s="197">
        <v>100</v>
      </c>
      <c r="J40" s="268">
        <f t="shared" si="1"/>
        <v>5000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45133</v>
      </c>
      <c r="D41" s="196" t="s">
        <v>23</v>
      </c>
      <c r="E41" s="196" t="s">
        <v>22</v>
      </c>
      <c r="F41" s="197">
        <v>75050</v>
      </c>
      <c r="G41" s="197">
        <v>74900</v>
      </c>
      <c r="H41" s="196">
        <f>75050-74900</f>
        <v>150</v>
      </c>
      <c r="I41" s="197">
        <v>30</v>
      </c>
      <c r="J41" s="268">
        <f t="shared" si="1"/>
        <v>4500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45134</v>
      </c>
      <c r="D42" s="196" t="s">
        <v>23</v>
      </c>
      <c r="E42" s="196" t="s">
        <v>24</v>
      </c>
      <c r="F42" s="197">
        <v>59520</v>
      </c>
      <c r="G42" s="197">
        <v>59320</v>
      </c>
      <c r="H42" s="196">
        <v>200</v>
      </c>
      <c r="I42" s="197">
        <v>100</v>
      </c>
      <c r="J42" s="268">
        <f t="shared" si="1"/>
        <v>20000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45134</v>
      </c>
      <c r="D43" s="196" t="s">
        <v>23</v>
      </c>
      <c r="E43" s="196" t="s">
        <v>22</v>
      </c>
      <c r="F43" s="197">
        <v>75900</v>
      </c>
      <c r="G43" s="197">
        <v>75300</v>
      </c>
      <c r="H43" s="196">
        <v>600</v>
      </c>
      <c r="I43" s="197">
        <v>30</v>
      </c>
      <c r="J43" s="268">
        <f t="shared" si="1"/>
        <v>18000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45135</v>
      </c>
      <c r="D44" s="196" t="s">
        <v>23</v>
      </c>
      <c r="E44" s="196" t="s">
        <v>24</v>
      </c>
      <c r="F44" s="197">
        <v>59150</v>
      </c>
      <c r="G44" s="197">
        <v>59050</v>
      </c>
      <c r="H44" s="196">
        <f>59150-59050</f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45135</v>
      </c>
      <c r="D45" s="196" t="s">
        <v>23</v>
      </c>
      <c r="E45" s="196" t="s">
        <v>22</v>
      </c>
      <c r="F45" s="197">
        <v>73900</v>
      </c>
      <c r="G45" s="197">
        <v>73750</v>
      </c>
      <c r="H45" s="196">
        <f>73900-73750</f>
        <v>150</v>
      </c>
      <c r="I45" s="197">
        <v>30</v>
      </c>
      <c r="J45" s="268">
        <f t="shared" si="1"/>
        <v>4500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45138</v>
      </c>
      <c r="D46" s="196" t="s">
        <v>23</v>
      </c>
      <c r="E46" s="196" t="s">
        <v>24</v>
      </c>
      <c r="F46" s="197">
        <v>59300</v>
      </c>
      <c r="G46" s="197">
        <v>59400</v>
      </c>
      <c r="H46" s="196">
        <v>-100</v>
      </c>
      <c r="I46" s="197">
        <v>100</v>
      </c>
      <c r="J46" s="268">
        <f t="shared" si="1"/>
        <v>-10000</v>
      </c>
      <c r="K46" s="185"/>
      <c r="V46" s="183">
        <f t="shared" si="2"/>
        <v>0</v>
      </c>
      <c r="W46" s="183">
        <f t="shared" si="3"/>
        <v>1</v>
      </c>
    </row>
    <row r="47" spans="1:23" x14ac:dyDescent="0.3">
      <c r="A47" s="184"/>
      <c r="B47" s="194">
        <v>42</v>
      </c>
      <c r="C47" s="195">
        <v>45138</v>
      </c>
      <c r="D47" s="196" t="s">
        <v>23</v>
      </c>
      <c r="E47" s="196" t="s">
        <v>22</v>
      </c>
      <c r="F47" s="197">
        <v>74300</v>
      </c>
      <c r="G47" s="197">
        <v>74600</v>
      </c>
      <c r="H47" s="196">
        <v>-300</v>
      </c>
      <c r="I47" s="197">
        <v>30</v>
      </c>
      <c r="J47" s="268">
        <f t="shared" si="1"/>
        <v>-9000</v>
      </c>
      <c r="K47" s="185"/>
      <c r="V47" s="183">
        <f t="shared" si="2"/>
        <v>0</v>
      </c>
      <c r="W47" s="183">
        <f t="shared" si="3"/>
        <v>1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348150</v>
      </c>
      <c r="K52" s="185"/>
      <c r="V52" s="183">
        <f>SUM(V6:V51)</f>
        <v>38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45108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45110</v>
      </c>
      <c r="D60" s="192" t="s">
        <v>23</v>
      </c>
      <c r="E60" s="192" t="s">
        <v>25</v>
      </c>
      <c r="F60" s="193">
        <v>5870</v>
      </c>
      <c r="G60" s="193">
        <v>5840</v>
      </c>
      <c r="H60" s="192">
        <v>30</v>
      </c>
      <c r="I60" s="193">
        <v>100</v>
      </c>
      <c r="J60" s="267">
        <f t="shared" ref="J60:J82" si="5">I60*H60</f>
        <v>3000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45111</v>
      </c>
      <c r="D61" s="196" t="s">
        <v>23</v>
      </c>
      <c r="E61" s="196" t="s">
        <v>25</v>
      </c>
      <c r="F61" s="197">
        <v>5815</v>
      </c>
      <c r="G61" s="197">
        <v>5800</v>
      </c>
      <c r="H61" s="196">
        <v>15</v>
      </c>
      <c r="I61" s="197">
        <v>100</v>
      </c>
      <c r="J61" s="268">
        <f t="shared" si="5"/>
        <v>1500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45112</v>
      </c>
      <c r="D62" s="196" t="s">
        <v>23</v>
      </c>
      <c r="E62" s="196" t="s">
        <v>25</v>
      </c>
      <c r="F62" s="197">
        <v>5870</v>
      </c>
      <c r="G62" s="197">
        <v>5855</v>
      </c>
      <c r="H62" s="196">
        <f>5870-5855</f>
        <v>15</v>
      </c>
      <c r="I62" s="197">
        <v>100</v>
      </c>
      <c r="J62" s="268">
        <f t="shared" si="5"/>
        <v>1500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45113</v>
      </c>
      <c r="D63" s="196" t="s">
        <v>23</v>
      </c>
      <c r="E63" s="196" t="s">
        <v>25</v>
      </c>
      <c r="F63" s="197">
        <v>5955</v>
      </c>
      <c r="G63" s="197">
        <v>5885</v>
      </c>
      <c r="H63" s="196">
        <f>5955-5885</f>
        <v>70</v>
      </c>
      <c r="I63" s="197">
        <v>100</v>
      </c>
      <c r="J63" s="268">
        <f t="shared" si="5"/>
        <v>7000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45114</v>
      </c>
      <c r="D64" s="196" t="s">
        <v>23</v>
      </c>
      <c r="E64" s="196" t="s">
        <v>25</v>
      </c>
      <c r="F64" s="197">
        <v>5970</v>
      </c>
      <c r="G64" s="197">
        <v>5940</v>
      </c>
      <c r="H64" s="196">
        <v>30</v>
      </c>
      <c r="I64" s="197">
        <v>100</v>
      </c>
      <c r="J64" s="268">
        <f t="shared" si="5"/>
        <v>3000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45117</v>
      </c>
      <c r="D65" s="196" t="s">
        <v>23</v>
      </c>
      <c r="E65" s="196" t="s">
        <v>25</v>
      </c>
      <c r="F65" s="197">
        <v>6080</v>
      </c>
      <c r="G65" s="197">
        <v>6050</v>
      </c>
      <c r="H65" s="196">
        <v>30</v>
      </c>
      <c r="I65" s="197">
        <v>100</v>
      </c>
      <c r="J65" s="268">
        <f t="shared" si="5"/>
        <v>3000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45119</v>
      </c>
      <c r="D66" s="196" t="s">
        <v>23</v>
      </c>
      <c r="E66" s="196" t="s">
        <v>25</v>
      </c>
      <c r="F66" s="222">
        <v>6180</v>
      </c>
      <c r="G66" s="222">
        <v>6162</v>
      </c>
      <c r="H66" s="196">
        <f>6180-6162</f>
        <v>18</v>
      </c>
      <c r="I66" s="197">
        <v>100</v>
      </c>
      <c r="J66" s="268">
        <f t="shared" si="5"/>
        <v>1800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45120</v>
      </c>
      <c r="D67" s="196" t="s">
        <v>23</v>
      </c>
      <c r="E67" s="196" t="s">
        <v>25</v>
      </c>
      <c r="F67" s="197">
        <v>6220</v>
      </c>
      <c r="G67" s="197">
        <v>6207</v>
      </c>
      <c r="H67" s="196">
        <f>6220-6207</f>
        <v>13</v>
      </c>
      <c r="I67" s="197">
        <v>100</v>
      </c>
      <c r="J67" s="268">
        <f t="shared" si="5"/>
        <v>1300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45121</v>
      </c>
      <c r="D68" s="196" t="s">
        <v>23</v>
      </c>
      <c r="E68" s="196" t="s">
        <v>25</v>
      </c>
      <c r="F68" s="197">
        <v>6315</v>
      </c>
      <c r="G68" s="197">
        <v>6300</v>
      </c>
      <c r="H68" s="196">
        <v>15</v>
      </c>
      <c r="I68" s="197">
        <v>100</v>
      </c>
      <c r="J68" s="268">
        <f t="shared" si="5"/>
        <v>1500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45124</v>
      </c>
      <c r="D69" s="196" t="s">
        <v>23</v>
      </c>
      <c r="E69" s="196" t="s">
        <v>25</v>
      </c>
      <c r="F69" s="197">
        <v>6085</v>
      </c>
      <c r="G69" s="197">
        <v>6125</v>
      </c>
      <c r="H69" s="196">
        <v>-40</v>
      </c>
      <c r="I69" s="197">
        <v>100</v>
      </c>
      <c r="J69" s="268">
        <f t="shared" si="5"/>
        <v>-4000</v>
      </c>
      <c r="K69" s="185"/>
      <c r="V69" s="183">
        <f t="shared" si="6"/>
        <v>0</v>
      </c>
      <c r="W69" s="183">
        <f t="shared" si="7"/>
        <v>1</v>
      </c>
    </row>
    <row r="70" spans="1:23" x14ac:dyDescent="0.3">
      <c r="A70" s="184"/>
      <c r="B70" s="194">
        <v>11</v>
      </c>
      <c r="C70" s="195">
        <v>45125</v>
      </c>
      <c r="D70" s="196" t="s">
        <v>23</v>
      </c>
      <c r="E70" s="196" t="s">
        <v>25</v>
      </c>
      <c r="F70" s="197">
        <v>6130</v>
      </c>
      <c r="G70" s="197">
        <v>6090</v>
      </c>
      <c r="H70" s="196">
        <f>6130-6090</f>
        <v>40</v>
      </c>
      <c r="I70" s="197">
        <v>100</v>
      </c>
      <c r="J70" s="268">
        <f t="shared" si="5"/>
        <v>4000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45126</v>
      </c>
      <c r="D71" s="196" t="s">
        <v>23</v>
      </c>
      <c r="E71" s="196" t="s">
        <v>25</v>
      </c>
      <c r="F71" s="197">
        <v>6240</v>
      </c>
      <c r="G71" s="197">
        <v>6225</v>
      </c>
      <c r="H71" s="196">
        <f>6240-6225</f>
        <v>15</v>
      </c>
      <c r="I71" s="197">
        <v>100</v>
      </c>
      <c r="J71" s="268">
        <f t="shared" si="5"/>
        <v>1500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45127</v>
      </c>
      <c r="D72" s="196" t="s">
        <v>23</v>
      </c>
      <c r="E72" s="196" t="s">
        <v>25</v>
      </c>
      <c r="F72" s="197">
        <v>6195</v>
      </c>
      <c r="G72" s="197">
        <v>6175</v>
      </c>
      <c r="H72" s="196">
        <v>20</v>
      </c>
      <c r="I72" s="197">
        <v>100</v>
      </c>
      <c r="J72" s="268">
        <f t="shared" si="5"/>
        <v>2000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45128</v>
      </c>
      <c r="D73" s="196" t="s">
        <v>23</v>
      </c>
      <c r="E73" s="196" t="s">
        <v>25</v>
      </c>
      <c r="F73" s="197">
        <v>6290</v>
      </c>
      <c r="G73" s="197">
        <v>6275</v>
      </c>
      <c r="H73" s="196">
        <f>6290-6275</f>
        <v>15</v>
      </c>
      <c r="I73" s="197">
        <v>100</v>
      </c>
      <c r="J73" s="268">
        <f t="shared" si="5"/>
        <v>1500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45131</v>
      </c>
      <c r="D74" s="196" t="s">
        <v>23</v>
      </c>
      <c r="E74" s="196" t="s">
        <v>25</v>
      </c>
      <c r="F74" s="197">
        <v>6360</v>
      </c>
      <c r="G74" s="197">
        <v>6342</v>
      </c>
      <c r="H74" s="196">
        <f>6360-6342</f>
        <v>18</v>
      </c>
      <c r="I74" s="197">
        <v>100</v>
      </c>
      <c r="J74" s="268">
        <f t="shared" si="5"/>
        <v>1800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45132</v>
      </c>
      <c r="D75" s="196" t="s">
        <v>23</v>
      </c>
      <c r="E75" s="196" t="s">
        <v>25</v>
      </c>
      <c r="F75" s="197">
        <v>6460</v>
      </c>
      <c r="G75" s="197">
        <v>6445</v>
      </c>
      <c r="H75" s="196">
        <f>6460-6445</f>
        <v>15</v>
      </c>
      <c r="I75" s="197">
        <v>100</v>
      </c>
      <c r="J75" s="268">
        <f t="shared" si="5"/>
        <v>1500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45133</v>
      </c>
      <c r="D76" s="196" t="s">
        <v>23</v>
      </c>
      <c r="E76" s="196" t="s">
        <v>25</v>
      </c>
      <c r="F76" s="197">
        <v>6470</v>
      </c>
      <c r="G76" s="197">
        <v>6456</v>
      </c>
      <c r="H76" s="196">
        <f>6470-6456</f>
        <v>14</v>
      </c>
      <c r="I76" s="197">
        <v>100</v>
      </c>
      <c r="J76" s="268">
        <f t="shared" si="5"/>
        <v>1400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45134</v>
      </c>
      <c r="D77" s="196" t="s">
        <v>23</v>
      </c>
      <c r="E77" s="196" t="s">
        <v>25</v>
      </c>
      <c r="F77" s="197">
        <v>6510</v>
      </c>
      <c r="G77" s="197">
        <v>6550</v>
      </c>
      <c r="H77" s="196">
        <v>-40</v>
      </c>
      <c r="I77" s="197">
        <v>100</v>
      </c>
      <c r="J77" s="268">
        <f t="shared" si="5"/>
        <v>-4000</v>
      </c>
      <c r="K77" s="185"/>
      <c r="V77" s="183">
        <f t="shared" si="6"/>
        <v>0</v>
      </c>
      <c r="W77" s="183">
        <f t="shared" si="7"/>
        <v>1</v>
      </c>
    </row>
    <row r="78" spans="1:23" x14ac:dyDescent="0.3">
      <c r="A78" s="184"/>
      <c r="B78" s="194">
        <v>19</v>
      </c>
      <c r="C78" s="195">
        <v>45135</v>
      </c>
      <c r="D78" s="196" t="s">
        <v>23</v>
      </c>
      <c r="E78" s="196" t="s">
        <v>25</v>
      </c>
      <c r="F78" s="197">
        <v>6590</v>
      </c>
      <c r="G78" s="197">
        <v>6520</v>
      </c>
      <c r="H78" s="196">
        <f>6590-6520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45138</v>
      </c>
      <c r="D79" s="196" t="s">
        <v>23</v>
      </c>
      <c r="E79" s="196" t="s">
        <v>25</v>
      </c>
      <c r="F79" s="197">
        <v>6690</v>
      </c>
      <c r="G79" s="197">
        <v>6675</v>
      </c>
      <c r="H79" s="196">
        <f>6690-6675</f>
        <v>15</v>
      </c>
      <c r="I79" s="197">
        <v>100</v>
      </c>
      <c r="J79" s="268">
        <f t="shared" si="5"/>
        <v>1500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5"/>
        <v>0</v>
      </c>
      <c r="K80" s="185"/>
      <c r="V80" s="183">
        <f t="shared" si="6"/>
        <v>0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37800</v>
      </c>
      <c r="K83" s="185"/>
      <c r="V83" s="183">
        <f>SUM(V60:V82)</f>
        <v>18</v>
      </c>
      <c r="W83" s="183">
        <f>SUM(W60:W82)</f>
        <v>2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45108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45110</v>
      </c>
      <c r="D91" s="216" t="s">
        <v>23</v>
      </c>
      <c r="E91" s="256" t="s">
        <v>28</v>
      </c>
      <c r="F91" s="256">
        <v>212.5</v>
      </c>
      <c r="G91" s="256">
        <v>213.5</v>
      </c>
      <c r="H91" s="256">
        <v>-1</v>
      </c>
      <c r="I91" s="218">
        <v>5000</v>
      </c>
      <c r="J91" s="273">
        <f>I91*H91</f>
        <v>-5000</v>
      </c>
      <c r="K91" s="185"/>
      <c r="V91" s="183">
        <f>IF($J91&gt;0,1,0)</f>
        <v>0</v>
      </c>
      <c r="W91" s="183">
        <f>IF($J91&lt;0,1,0)</f>
        <v>1</v>
      </c>
    </row>
    <row r="92" spans="1:23" x14ac:dyDescent="0.3">
      <c r="A92" s="184"/>
      <c r="B92" s="194">
        <v>2</v>
      </c>
      <c r="C92" s="195">
        <v>45111</v>
      </c>
      <c r="D92" s="196" t="s">
        <v>23</v>
      </c>
      <c r="E92" s="222" t="s">
        <v>28</v>
      </c>
      <c r="F92" s="222">
        <v>214</v>
      </c>
      <c r="G92" s="222">
        <v>213.6</v>
      </c>
      <c r="H92" s="222">
        <f>214-213.6</f>
        <v>0.40000000000000568</v>
      </c>
      <c r="I92" s="197">
        <v>5000</v>
      </c>
      <c r="J92" s="268">
        <f t="shared" ref="J92:J111" si="8">I92*H92</f>
        <v>2000.0000000000284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45112</v>
      </c>
      <c r="D93" s="196" t="s">
        <v>23</v>
      </c>
      <c r="E93" s="222" t="s">
        <v>28</v>
      </c>
      <c r="F93" s="222">
        <v>213.6</v>
      </c>
      <c r="G93" s="222">
        <v>214.6</v>
      </c>
      <c r="H93" s="222">
        <v>-1</v>
      </c>
      <c r="I93" s="197">
        <v>5000</v>
      </c>
      <c r="J93" s="268">
        <f t="shared" si="8"/>
        <v>-5000</v>
      </c>
      <c r="K93" s="185"/>
      <c r="M93" s="183" t="s">
        <v>870</v>
      </c>
      <c r="V93" s="183">
        <f t="shared" si="9"/>
        <v>0</v>
      </c>
      <c r="W93" s="183">
        <f t="shared" si="10"/>
        <v>1</v>
      </c>
    </row>
    <row r="94" spans="1:23" x14ac:dyDescent="0.3">
      <c r="A94" s="184"/>
      <c r="B94" s="194">
        <v>4</v>
      </c>
      <c r="C94" s="195">
        <v>45113</v>
      </c>
      <c r="D94" s="196" t="s">
        <v>23</v>
      </c>
      <c r="E94" s="222" t="s">
        <v>28</v>
      </c>
      <c r="F94" s="222">
        <v>214</v>
      </c>
      <c r="G94" s="222">
        <v>215</v>
      </c>
      <c r="H94" s="222">
        <v>-1</v>
      </c>
      <c r="I94" s="197">
        <v>5000</v>
      </c>
      <c r="J94" s="268">
        <f t="shared" si="8"/>
        <v>-5000</v>
      </c>
      <c r="K94" s="185"/>
      <c r="V94" s="183">
        <f t="shared" si="9"/>
        <v>0</v>
      </c>
      <c r="W94" s="183">
        <f t="shared" si="10"/>
        <v>1</v>
      </c>
    </row>
    <row r="95" spans="1:23" x14ac:dyDescent="0.3">
      <c r="A95" s="184"/>
      <c r="B95" s="194">
        <v>5</v>
      </c>
      <c r="C95" s="195">
        <v>45114</v>
      </c>
      <c r="D95" s="196" t="s">
        <v>23</v>
      </c>
      <c r="E95" s="222" t="s">
        <v>28</v>
      </c>
      <c r="F95" s="222">
        <v>215</v>
      </c>
      <c r="G95" s="222">
        <v>214</v>
      </c>
      <c r="H95" s="222">
        <v>1</v>
      </c>
      <c r="I95" s="197">
        <v>5000</v>
      </c>
      <c r="J95" s="268">
        <f t="shared" si="8"/>
        <v>5000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45117</v>
      </c>
      <c r="D96" s="196" t="s">
        <v>23</v>
      </c>
      <c r="E96" s="222" t="s">
        <v>28</v>
      </c>
      <c r="F96" s="222">
        <v>214.5</v>
      </c>
      <c r="G96" s="222">
        <v>214.1</v>
      </c>
      <c r="H96" s="222">
        <f>214.5-214.1</f>
        <v>0.40000000000000568</v>
      </c>
      <c r="I96" s="197">
        <v>5000</v>
      </c>
      <c r="J96" s="268">
        <f t="shared" si="8"/>
        <v>2000.0000000000284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45118</v>
      </c>
      <c r="D97" s="196" t="s">
        <v>23</v>
      </c>
      <c r="E97" s="222" t="s">
        <v>28</v>
      </c>
      <c r="F97" s="222">
        <v>216.3</v>
      </c>
      <c r="G97" s="222">
        <v>215.3</v>
      </c>
      <c r="H97" s="274">
        <v>1</v>
      </c>
      <c r="I97" s="197">
        <v>5000</v>
      </c>
      <c r="J97" s="268">
        <f t="shared" si="8"/>
        <v>5000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45119</v>
      </c>
      <c r="D98" s="196" t="s">
        <v>23</v>
      </c>
      <c r="E98" s="222" t="s">
        <v>28</v>
      </c>
      <c r="F98" s="222">
        <v>213.5</v>
      </c>
      <c r="G98" s="222">
        <v>213</v>
      </c>
      <c r="H98" s="222">
        <v>0.5</v>
      </c>
      <c r="I98" s="197">
        <v>5000</v>
      </c>
      <c r="J98" s="268">
        <f t="shared" si="8"/>
        <v>2500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45120</v>
      </c>
      <c r="D99" s="196" t="s">
        <v>23</v>
      </c>
      <c r="E99" s="222" t="s">
        <v>28</v>
      </c>
      <c r="F99" s="222">
        <v>220</v>
      </c>
      <c r="G99" s="222">
        <v>219.5</v>
      </c>
      <c r="H99" s="222">
        <v>0.5</v>
      </c>
      <c r="I99" s="197">
        <v>5000</v>
      </c>
      <c r="J99" s="268">
        <f t="shared" si="8"/>
        <v>2500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45121</v>
      </c>
      <c r="D100" s="196" t="s">
        <v>23</v>
      </c>
      <c r="E100" s="222" t="s">
        <v>28</v>
      </c>
      <c r="F100" s="222">
        <v>217.8</v>
      </c>
      <c r="G100" s="222">
        <v>217.4</v>
      </c>
      <c r="H100" s="222">
        <f>217.8-217.4</f>
        <v>0.40000000000000568</v>
      </c>
      <c r="I100" s="197">
        <v>5000</v>
      </c>
      <c r="J100" s="268">
        <f t="shared" si="8"/>
        <v>2000.0000000000284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45124</v>
      </c>
      <c r="D101" s="196" t="s">
        <v>23</v>
      </c>
      <c r="E101" s="222" t="s">
        <v>28</v>
      </c>
      <c r="F101" s="222">
        <v>214.5</v>
      </c>
      <c r="G101" s="222">
        <v>214</v>
      </c>
      <c r="H101" s="274">
        <v>0.5</v>
      </c>
      <c r="I101" s="197">
        <v>5000</v>
      </c>
      <c r="J101" s="268">
        <f t="shared" si="8"/>
        <v>2500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45125</v>
      </c>
      <c r="D102" s="196" t="s">
        <v>23</v>
      </c>
      <c r="E102" s="222" t="s">
        <v>28</v>
      </c>
      <c r="F102" s="222">
        <v>213.5</v>
      </c>
      <c r="G102" s="222">
        <v>213.1</v>
      </c>
      <c r="H102" s="274">
        <v>0.4</v>
      </c>
      <c r="I102" s="197">
        <v>5000</v>
      </c>
      <c r="J102" s="268">
        <f t="shared" si="8"/>
        <v>2000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45126</v>
      </c>
      <c r="D103" s="196" t="s">
        <v>23</v>
      </c>
      <c r="E103" s="222" t="s">
        <v>28</v>
      </c>
      <c r="F103" s="222">
        <v>212.2</v>
      </c>
      <c r="G103" s="222">
        <v>213.2</v>
      </c>
      <c r="H103" s="274">
        <v>-1</v>
      </c>
      <c r="I103" s="197">
        <v>5000</v>
      </c>
      <c r="J103" s="268">
        <f t="shared" si="8"/>
        <v>-5000</v>
      </c>
      <c r="K103" s="185"/>
      <c r="V103" s="183">
        <f t="shared" si="9"/>
        <v>0</v>
      </c>
      <c r="W103" s="183">
        <f t="shared" si="10"/>
        <v>1</v>
      </c>
    </row>
    <row r="104" spans="1:23" x14ac:dyDescent="0.3">
      <c r="A104" s="184"/>
      <c r="B104" s="194">
        <v>14</v>
      </c>
      <c r="C104" s="195">
        <v>45127</v>
      </c>
      <c r="D104" s="196" t="s">
        <v>23</v>
      </c>
      <c r="E104" s="222" t="s">
        <v>28</v>
      </c>
      <c r="F104" s="222">
        <v>215</v>
      </c>
      <c r="G104" s="222">
        <v>214.6</v>
      </c>
      <c r="H104" s="274">
        <f>215-214.6</f>
        <v>0.40000000000000568</v>
      </c>
      <c r="I104" s="197">
        <v>5000</v>
      </c>
      <c r="J104" s="268">
        <f t="shared" si="8"/>
        <v>2000.0000000000284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45128</v>
      </c>
      <c r="D105" s="196" t="s">
        <v>16</v>
      </c>
      <c r="E105" s="196" t="s">
        <v>28</v>
      </c>
      <c r="F105" s="222">
        <v>213</v>
      </c>
      <c r="G105" s="222">
        <v>213.6</v>
      </c>
      <c r="H105" s="222">
        <v>0.6</v>
      </c>
      <c r="I105" s="197">
        <v>5000</v>
      </c>
      <c r="J105" s="268">
        <f t="shared" si="8"/>
        <v>3000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45131</v>
      </c>
      <c r="D106" s="196" t="s">
        <v>23</v>
      </c>
      <c r="E106" s="196" t="s">
        <v>28</v>
      </c>
      <c r="F106" s="222">
        <v>211.5</v>
      </c>
      <c r="G106" s="274">
        <v>211</v>
      </c>
      <c r="H106" s="274">
        <v>0.5</v>
      </c>
      <c r="I106" s="197">
        <v>5000</v>
      </c>
      <c r="J106" s="268">
        <f t="shared" si="8"/>
        <v>2500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45132</v>
      </c>
      <c r="D107" s="196" t="s">
        <v>23</v>
      </c>
      <c r="E107" s="196" t="s">
        <v>28</v>
      </c>
      <c r="F107" s="222">
        <v>216.1</v>
      </c>
      <c r="G107" s="222">
        <v>215.7</v>
      </c>
      <c r="H107" s="274">
        <v>0.4</v>
      </c>
      <c r="I107" s="197">
        <v>5000</v>
      </c>
      <c r="J107" s="268">
        <f t="shared" si="8"/>
        <v>2000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45133</v>
      </c>
      <c r="D108" s="196" t="s">
        <v>23</v>
      </c>
      <c r="E108" s="196" t="s">
        <v>28</v>
      </c>
      <c r="F108" s="222">
        <v>219.4</v>
      </c>
      <c r="G108" s="222">
        <v>219</v>
      </c>
      <c r="H108" s="274">
        <v>0.4</v>
      </c>
      <c r="I108" s="197">
        <v>5000</v>
      </c>
      <c r="J108" s="268">
        <f t="shared" si="8"/>
        <v>2000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45134</v>
      </c>
      <c r="D109" s="196" t="s">
        <v>23</v>
      </c>
      <c r="E109" s="196" t="s">
        <v>28</v>
      </c>
      <c r="F109" s="222">
        <v>219.8</v>
      </c>
      <c r="G109" s="222">
        <v>219.2</v>
      </c>
      <c r="H109" s="274">
        <f>219.8-219.2</f>
        <v>0.60000000000002274</v>
      </c>
      <c r="I109" s="197">
        <v>5000</v>
      </c>
      <c r="J109" s="268">
        <f t="shared" si="8"/>
        <v>3000.0000000001137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>
        <v>45135</v>
      </c>
      <c r="D110" s="196" t="s">
        <v>23</v>
      </c>
      <c r="E110" s="222" t="s">
        <v>28</v>
      </c>
      <c r="F110" s="222">
        <v>219.5</v>
      </c>
      <c r="G110" s="222">
        <v>220.5</v>
      </c>
      <c r="H110" s="274">
        <v>-1</v>
      </c>
      <c r="I110" s="197">
        <v>5000</v>
      </c>
      <c r="J110" s="268">
        <f t="shared" si="8"/>
        <v>-5000</v>
      </c>
      <c r="K110" s="185"/>
      <c r="V110" s="183">
        <f t="shared" si="9"/>
        <v>0</v>
      </c>
      <c r="W110" s="183">
        <f t="shared" si="10"/>
        <v>1</v>
      </c>
    </row>
    <row r="111" spans="1:23" x14ac:dyDescent="0.3">
      <c r="A111" s="184"/>
      <c r="B111" s="194">
        <v>21</v>
      </c>
      <c r="C111" s="195">
        <v>45138</v>
      </c>
      <c r="D111" s="196" t="s">
        <v>23</v>
      </c>
      <c r="E111" s="222" t="s">
        <v>28</v>
      </c>
      <c r="F111" s="222">
        <v>224.5</v>
      </c>
      <c r="G111" s="222">
        <v>225.5</v>
      </c>
      <c r="H111" s="274">
        <v>-1</v>
      </c>
      <c r="I111" s="197">
        <v>5000</v>
      </c>
      <c r="J111" s="268">
        <f t="shared" si="8"/>
        <v>-5000</v>
      </c>
      <c r="K111" s="185"/>
      <c r="V111" s="183">
        <f>IF($J111&gt;0,1,0)</f>
        <v>0</v>
      </c>
      <c r="W111" s="183">
        <f>IF($J111&lt;0,1,0)</f>
        <v>1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10000.000000000226</v>
      </c>
      <c r="K114" s="185"/>
      <c r="V114" s="183">
        <f>SUM(V91:V113)</f>
        <v>15</v>
      </c>
      <c r="W114" s="183">
        <f>SUM(W91:W113)</f>
        <v>6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  <c r="L115" s="183" t="s">
        <v>926</v>
      </c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07" t="s">
        <v>873</v>
      </c>
      <c r="C118" s="308"/>
      <c r="D118" s="308"/>
      <c r="E118" s="308"/>
      <c r="F118" s="308"/>
      <c r="G118" s="308"/>
      <c r="H118" s="308"/>
      <c r="I118" s="308"/>
      <c r="J118" s="309"/>
      <c r="K118" s="185"/>
    </row>
    <row r="119" spans="1:23" ht="16.2" thickBot="1" x14ac:dyDescent="0.35">
      <c r="A119" s="184"/>
      <c r="B119" s="310">
        <v>45108</v>
      </c>
      <c r="C119" s="311"/>
      <c r="D119" s="311"/>
      <c r="E119" s="311"/>
      <c r="F119" s="311"/>
      <c r="G119" s="311"/>
      <c r="H119" s="311"/>
      <c r="I119" s="311"/>
      <c r="J119" s="312"/>
      <c r="K119" s="185"/>
    </row>
    <row r="120" spans="1:23" ht="16.2" thickBot="1" x14ac:dyDescent="0.35">
      <c r="A120" s="184"/>
      <c r="B120" s="313" t="s">
        <v>905</v>
      </c>
      <c r="C120" s="314"/>
      <c r="D120" s="314"/>
      <c r="E120" s="314"/>
      <c r="F120" s="314"/>
      <c r="G120" s="314"/>
      <c r="H120" s="314"/>
      <c r="I120" s="314"/>
      <c r="J120" s="315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45110</v>
      </c>
      <c r="D122" s="216" t="s">
        <v>16</v>
      </c>
      <c r="E122" s="256" t="s">
        <v>924</v>
      </c>
      <c r="F122" s="256">
        <v>195</v>
      </c>
      <c r="G122" s="256">
        <v>215</v>
      </c>
      <c r="H122" s="256">
        <f>215-195</f>
        <v>20</v>
      </c>
      <c r="I122" s="218">
        <v>100</v>
      </c>
      <c r="J122" s="273">
        <f>I122*H122</f>
        <v>2000</v>
      </c>
      <c r="K122" s="185"/>
      <c r="V122" s="183">
        <f>IF($J122&gt;0,1,0)</f>
        <v>1</v>
      </c>
      <c r="W122" s="183">
        <f>IF($J122&lt;0,1,0)</f>
        <v>0</v>
      </c>
    </row>
    <row r="123" spans="1:23" x14ac:dyDescent="0.3">
      <c r="A123" s="184"/>
      <c r="B123" s="194">
        <v>2</v>
      </c>
      <c r="C123" s="195">
        <v>45111</v>
      </c>
      <c r="D123" s="196" t="s">
        <v>16</v>
      </c>
      <c r="E123" s="222" t="s">
        <v>924</v>
      </c>
      <c r="F123" s="222">
        <v>223</v>
      </c>
      <c r="G123" s="222">
        <v>232</v>
      </c>
      <c r="H123" s="222">
        <v>10</v>
      </c>
      <c r="I123" s="218">
        <v>100</v>
      </c>
      <c r="J123" s="268">
        <f t="shared" ref="J123:J142" si="11">I123*H123</f>
        <v>1000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45113</v>
      </c>
      <c r="D124" s="196" t="s">
        <v>16</v>
      </c>
      <c r="E124" s="222" t="s">
        <v>916</v>
      </c>
      <c r="F124" s="222">
        <v>184</v>
      </c>
      <c r="G124" s="222">
        <v>224</v>
      </c>
      <c r="H124" s="222">
        <f>224-184</f>
        <v>40</v>
      </c>
      <c r="I124" s="218">
        <v>100</v>
      </c>
      <c r="J124" s="268">
        <f t="shared" si="11"/>
        <v>4000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45114</v>
      </c>
      <c r="D125" s="196" t="s">
        <v>16</v>
      </c>
      <c r="E125" s="222" t="s">
        <v>916</v>
      </c>
      <c r="F125" s="222">
        <v>160</v>
      </c>
      <c r="G125" s="222">
        <v>170</v>
      </c>
      <c r="H125" s="222">
        <v>10</v>
      </c>
      <c r="I125" s="218">
        <v>100</v>
      </c>
      <c r="J125" s="268">
        <f t="shared" si="11"/>
        <v>1000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45117</v>
      </c>
      <c r="D126" s="196" t="s">
        <v>16</v>
      </c>
      <c r="E126" s="222" t="s">
        <v>908</v>
      </c>
      <c r="F126" s="222">
        <v>204</v>
      </c>
      <c r="G126" s="222">
        <v>224</v>
      </c>
      <c r="H126" s="222">
        <f>224-204</f>
        <v>20</v>
      </c>
      <c r="I126" s="218">
        <v>100</v>
      </c>
      <c r="J126" s="268">
        <f t="shared" si="11"/>
        <v>2000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45118</v>
      </c>
      <c r="D127" s="196" t="s">
        <v>16</v>
      </c>
      <c r="E127" s="222" t="s">
        <v>908</v>
      </c>
      <c r="F127" s="222">
        <v>220</v>
      </c>
      <c r="G127" s="222">
        <v>200</v>
      </c>
      <c r="H127" s="222">
        <v>-20</v>
      </c>
      <c r="I127" s="218">
        <v>100</v>
      </c>
      <c r="J127" s="268">
        <f t="shared" si="11"/>
        <v>-2000</v>
      </c>
      <c r="K127" s="185"/>
      <c r="V127" s="183">
        <f t="shared" si="12"/>
        <v>0</v>
      </c>
      <c r="W127" s="183">
        <f t="shared" si="13"/>
        <v>1</v>
      </c>
    </row>
    <row r="128" spans="1:23" x14ac:dyDescent="0.3">
      <c r="A128" s="184"/>
      <c r="B128" s="194">
        <v>7</v>
      </c>
      <c r="C128" s="195">
        <v>45119</v>
      </c>
      <c r="D128" s="196" t="s">
        <v>16</v>
      </c>
      <c r="E128" s="222" t="s">
        <v>907</v>
      </c>
      <c r="F128" s="222">
        <v>185</v>
      </c>
      <c r="G128" s="222">
        <v>193</v>
      </c>
      <c r="H128" s="274">
        <f>193-185</f>
        <v>8</v>
      </c>
      <c r="I128" s="218">
        <v>100</v>
      </c>
      <c r="J128" s="268">
        <f t="shared" si="11"/>
        <v>800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45120</v>
      </c>
      <c r="D129" s="196" t="s">
        <v>16</v>
      </c>
      <c r="E129" s="222" t="s">
        <v>910</v>
      </c>
      <c r="F129" s="222">
        <v>210</v>
      </c>
      <c r="G129" s="222">
        <v>220</v>
      </c>
      <c r="H129" s="222">
        <v>10</v>
      </c>
      <c r="I129" s="218">
        <v>100</v>
      </c>
      <c r="J129" s="268">
        <f t="shared" si="11"/>
        <v>1000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45121</v>
      </c>
      <c r="D130" s="196" t="s">
        <v>16</v>
      </c>
      <c r="E130" s="222" t="s">
        <v>913</v>
      </c>
      <c r="F130" s="222">
        <v>210</v>
      </c>
      <c r="G130" s="222">
        <v>220</v>
      </c>
      <c r="H130" s="222">
        <v>10</v>
      </c>
      <c r="I130" s="218">
        <v>100</v>
      </c>
      <c r="J130" s="268">
        <f t="shared" si="11"/>
        <v>1000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45124</v>
      </c>
      <c r="D131" s="196" t="s">
        <v>16</v>
      </c>
      <c r="E131" s="222" t="s">
        <v>916</v>
      </c>
      <c r="F131" s="222">
        <v>220</v>
      </c>
      <c r="G131" s="222">
        <v>200</v>
      </c>
      <c r="H131" s="222">
        <v>-20</v>
      </c>
      <c r="I131" s="218">
        <v>100</v>
      </c>
      <c r="J131" s="268">
        <f t="shared" si="11"/>
        <v>-2000</v>
      </c>
      <c r="K131" s="185"/>
      <c r="V131" s="183">
        <f t="shared" si="12"/>
        <v>0</v>
      </c>
      <c r="W131" s="183">
        <f t="shared" si="13"/>
        <v>1</v>
      </c>
    </row>
    <row r="132" spans="1:23" x14ac:dyDescent="0.3">
      <c r="A132" s="184"/>
      <c r="B132" s="194">
        <v>11</v>
      </c>
      <c r="C132" s="195">
        <v>45125</v>
      </c>
      <c r="D132" s="196" t="s">
        <v>16</v>
      </c>
      <c r="E132" s="222" t="s">
        <v>916</v>
      </c>
      <c r="F132" s="222">
        <v>193</v>
      </c>
      <c r="G132" s="222">
        <v>202</v>
      </c>
      <c r="H132" s="274">
        <f>202-193</f>
        <v>9</v>
      </c>
      <c r="I132" s="218">
        <v>100</v>
      </c>
      <c r="J132" s="268">
        <f t="shared" si="11"/>
        <v>900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45126</v>
      </c>
      <c r="D133" s="196" t="s">
        <v>16</v>
      </c>
      <c r="E133" s="222" t="s">
        <v>908</v>
      </c>
      <c r="F133" s="222">
        <v>225</v>
      </c>
      <c r="G133" s="222">
        <v>233</v>
      </c>
      <c r="H133" s="274">
        <f>233-225</f>
        <v>8</v>
      </c>
      <c r="I133" s="218">
        <v>100</v>
      </c>
      <c r="J133" s="268">
        <f t="shared" si="11"/>
        <v>800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45127</v>
      </c>
      <c r="D134" s="196" t="s">
        <v>16</v>
      </c>
      <c r="E134" s="222" t="s">
        <v>908</v>
      </c>
      <c r="F134" s="222">
        <v>240</v>
      </c>
      <c r="G134" s="222">
        <v>255</v>
      </c>
      <c r="H134" s="274">
        <f>255-240</f>
        <v>15</v>
      </c>
      <c r="I134" s="218">
        <v>100</v>
      </c>
      <c r="J134" s="268">
        <f t="shared" si="11"/>
        <v>1500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45128</v>
      </c>
      <c r="D135" s="196" t="s">
        <v>16</v>
      </c>
      <c r="E135" s="222" t="s">
        <v>908</v>
      </c>
      <c r="F135" s="222">
        <v>195</v>
      </c>
      <c r="G135" s="222">
        <v>205</v>
      </c>
      <c r="H135" s="274">
        <f>205-195</f>
        <v>10</v>
      </c>
      <c r="I135" s="218">
        <v>100</v>
      </c>
      <c r="J135" s="268">
        <f t="shared" si="11"/>
        <v>1000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45131</v>
      </c>
      <c r="D136" s="196" t="s">
        <v>16</v>
      </c>
      <c r="E136" s="196" t="s">
        <v>907</v>
      </c>
      <c r="F136" s="222">
        <v>200</v>
      </c>
      <c r="G136" s="222">
        <v>209</v>
      </c>
      <c r="H136" s="222">
        <v>9</v>
      </c>
      <c r="I136" s="218">
        <v>100</v>
      </c>
      <c r="J136" s="268">
        <f t="shared" si="11"/>
        <v>900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45132</v>
      </c>
      <c r="D137" s="196" t="s">
        <v>16</v>
      </c>
      <c r="E137" s="196" t="s">
        <v>907</v>
      </c>
      <c r="F137" s="222">
        <v>160</v>
      </c>
      <c r="G137" s="274">
        <v>168</v>
      </c>
      <c r="H137" s="274">
        <v>8</v>
      </c>
      <c r="I137" s="218">
        <v>100</v>
      </c>
      <c r="J137" s="268">
        <f t="shared" si="11"/>
        <v>800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45133</v>
      </c>
      <c r="D138" s="196" t="s">
        <v>16</v>
      </c>
      <c r="E138" s="196" t="s">
        <v>910</v>
      </c>
      <c r="F138" s="222">
        <v>190</v>
      </c>
      <c r="G138" s="222">
        <v>198</v>
      </c>
      <c r="H138" s="274">
        <v>8</v>
      </c>
      <c r="I138" s="218">
        <v>100</v>
      </c>
      <c r="J138" s="268">
        <f t="shared" si="11"/>
        <v>800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>
        <v>45134</v>
      </c>
      <c r="D139" s="196" t="s">
        <v>16</v>
      </c>
      <c r="E139" s="196" t="s">
        <v>910</v>
      </c>
      <c r="F139" s="222">
        <v>160</v>
      </c>
      <c r="G139" s="222">
        <v>169</v>
      </c>
      <c r="H139" s="274">
        <v>9</v>
      </c>
      <c r="I139" s="218">
        <v>100</v>
      </c>
      <c r="J139" s="268">
        <f t="shared" si="11"/>
        <v>900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19</v>
      </c>
      <c r="C140" s="195">
        <v>45135</v>
      </c>
      <c r="D140" s="196" t="s">
        <v>16</v>
      </c>
      <c r="E140" s="196" t="s">
        <v>913</v>
      </c>
      <c r="F140" s="222">
        <v>175</v>
      </c>
      <c r="G140" s="222">
        <v>191</v>
      </c>
      <c r="H140" s="274">
        <f>191-175</f>
        <v>16</v>
      </c>
      <c r="I140" s="218">
        <v>100</v>
      </c>
      <c r="J140" s="268">
        <f t="shared" si="11"/>
        <v>1600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45138</v>
      </c>
      <c r="D141" s="196" t="s">
        <v>16</v>
      </c>
      <c r="E141" s="222" t="s">
        <v>914</v>
      </c>
      <c r="F141" s="222">
        <v>204</v>
      </c>
      <c r="G141" s="222">
        <v>210</v>
      </c>
      <c r="H141" s="274">
        <f>210-204</f>
        <v>6</v>
      </c>
      <c r="I141" s="218">
        <v>100</v>
      </c>
      <c r="J141" s="268">
        <f t="shared" si="11"/>
        <v>600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/>
      <c r="D142" s="196"/>
      <c r="E142" s="222"/>
      <c r="F142" s="222"/>
      <c r="G142" s="222"/>
      <c r="H142" s="274"/>
      <c r="I142" s="218"/>
      <c r="J142" s="268">
        <f t="shared" si="11"/>
        <v>0</v>
      </c>
      <c r="K142" s="185"/>
      <c r="V142" s="183">
        <f t="shared" si="12"/>
        <v>0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04" t="s">
        <v>879</v>
      </c>
      <c r="C145" s="305"/>
      <c r="D145" s="305"/>
      <c r="E145" s="305"/>
      <c r="F145" s="305"/>
      <c r="G145" s="305"/>
      <c r="H145" s="306"/>
      <c r="I145" s="203" t="s">
        <v>880</v>
      </c>
      <c r="J145" s="204">
        <f>SUM(J122:J144)</f>
        <v>18600</v>
      </c>
      <c r="K145" s="185"/>
      <c r="V145" s="183">
        <f>SUM(V122:V144)</f>
        <v>18</v>
      </c>
      <c r="W145" s="183">
        <f>SUM(W122:W144)</f>
        <v>2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</mergeCells>
  <hyperlinks>
    <hyperlink ref="B52" r:id="rId1" xr:uid="{00000000-0004-0000-7F00-000000000000}"/>
    <hyperlink ref="B83" r:id="rId2" xr:uid="{00000000-0004-0000-7F00-000001000000}"/>
    <hyperlink ref="M4:M5" location="'JULY 2023'!A1" display="BULLION" xr:uid="{00000000-0004-0000-7F00-000002000000}"/>
    <hyperlink ref="B114" r:id="rId3" xr:uid="{00000000-0004-0000-7F00-000003000000}"/>
    <hyperlink ref="M8:M9" location="'JULY 2023'!A86" display="BASE METAL" xr:uid="{00000000-0004-0000-7F00-000004000000}"/>
    <hyperlink ref="M1" location="MASTER!A1" display="Back" xr:uid="{00000000-0004-0000-7F00-000005000000}"/>
    <hyperlink ref="M6:M7" location="'JULY 2023'!A55" display="ENERGY" xr:uid="{00000000-0004-0000-7F00-000006000000}"/>
    <hyperlink ref="B145" r:id="rId4" xr:uid="{00000000-0004-0000-7F00-000007000000}"/>
    <hyperlink ref="M10:M11" location="'JULY 2023'!A117" display="CRUDEOIL OPTION" xr:uid="{00000000-0004-0000-7F00-000008000000}"/>
  </hyperlinks>
  <pageMargins left="0" right="0" top="0" bottom="0" header="0" footer="0"/>
  <pageSetup paperSize="9" orientation="portrait" r:id="rId5"/>
  <drawing r:id="rId6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W146"/>
  <sheetViews>
    <sheetView zoomScaleNormal="100" workbookViewId="0">
      <selection activeCell="B3" sqref="B3:J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45139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44</v>
      </c>
      <c r="O4" s="369">
        <f>V52</f>
        <v>38</v>
      </c>
      <c r="P4" s="369">
        <f>W52</f>
        <v>6</v>
      </c>
      <c r="Q4" s="349">
        <f>N4-O4-P4</f>
        <v>0</v>
      </c>
      <c r="R4" s="343">
        <f>O4/N4</f>
        <v>0.86363636363636365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45139</v>
      </c>
      <c r="D6" s="192" t="s">
        <v>23</v>
      </c>
      <c r="E6" s="192" t="s">
        <v>24</v>
      </c>
      <c r="F6" s="193">
        <v>59690</v>
      </c>
      <c r="G6" s="193">
        <v>59590</v>
      </c>
      <c r="H6" s="192">
        <v>100</v>
      </c>
      <c r="I6" s="193">
        <v>100</v>
      </c>
      <c r="J6" s="267">
        <f>H6*I6</f>
        <v>10000</v>
      </c>
      <c r="K6" s="185"/>
      <c r="M6" s="364" t="s">
        <v>258</v>
      </c>
      <c r="N6" s="347">
        <f>COUNT(C60:C82)</f>
        <v>22</v>
      </c>
      <c r="O6" s="348">
        <f>V83</f>
        <v>18</v>
      </c>
      <c r="P6" s="348">
        <f>W83</f>
        <v>4</v>
      </c>
      <c r="Q6" s="349">
        <v>0</v>
      </c>
      <c r="R6" s="345">
        <f t="shared" ref="R6" si="0">O6/N6</f>
        <v>0.81818181818181823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45139</v>
      </c>
      <c r="D7" s="196" t="s">
        <v>23</v>
      </c>
      <c r="E7" s="196" t="s">
        <v>22</v>
      </c>
      <c r="F7" s="197">
        <v>74700</v>
      </c>
      <c r="G7" s="197">
        <v>74400</v>
      </c>
      <c r="H7" s="196">
        <v>300</v>
      </c>
      <c r="I7" s="197">
        <v>30</v>
      </c>
      <c r="J7" s="268">
        <f t="shared" ref="J7:J51" si="1">H7*I7</f>
        <v>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45140</v>
      </c>
      <c r="D8" s="196" t="s">
        <v>23</v>
      </c>
      <c r="E8" s="196" t="s">
        <v>24</v>
      </c>
      <c r="F8" s="197">
        <v>59690</v>
      </c>
      <c r="G8" s="197">
        <v>59620</v>
      </c>
      <c r="H8" s="196">
        <v>70</v>
      </c>
      <c r="I8" s="197">
        <v>100</v>
      </c>
      <c r="J8" s="268">
        <f t="shared" si="1"/>
        <v>7000</v>
      </c>
      <c r="K8" s="185"/>
      <c r="M8" s="362" t="s">
        <v>877</v>
      </c>
      <c r="N8" s="347">
        <f>COUNT(C91:C113)</f>
        <v>21</v>
      </c>
      <c r="O8" s="348">
        <f>V114</f>
        <v>16</v>
      </c>
      <c r="P8" s="348">
        <f>W114</f>
        <v>5</v>
      </c>
      <c r="Q8" s="349">
        <f>N8-O8-P8</f>
        <v>0</v>
      </c>
      <c r="R8" s="345">
        <f t="shared" ref="R8" si="4">O8/N8</f>
        <v>0.76190476190476186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45140</v>
      </c>
      <c r="D9" s="196" t="s">
        <v>23</v>
      </c>
      <c r="E9" s="196" t="s">
        <v>22</v>
      </c>
      <c r="F9" s="197">
        <v>74400</v>
      </c>
      <c r="G9" s="197">
        <v>74200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45141</v>
      </c>
      <c r="D10" s="196" t="s">
        <v>23</v>
      </c>
      <c r="E10" s="196" t="s">
        <v>24</v>
      </c>
      <c r="F10" s="197">
        <v>59350</v>
      </c>
      <c r="G10" s="197">
        <v>59250</v>
      </c>
      <c r="H10" s="196">
        <v>100</v>
      </c>
      <c r="I10" s="197">
        <v>100</v>
      </c>
      <c r="J10" s="268">
        <f t="shared" si="1"/>
        <v>10000</v>
      </c>
      <c r="K10" s="185"/>
      <c r="M10" s="364" t="s">
        <v>906</v>
      </c>
      <c r="N10" s="347">
        <f>COUNT(C122:C144)</f>
        <v>22</v>
      </c>
      <c r="O10" s="348">
        <f>V145</f>
        <v>19</v>
      </c>
      <c r="P10" s="348">
        <f>W145</f>
        <v>3</v>
      </c>
      <c r="Q10" s="349">
        <f>N10-O10-P10</f>
        <v>0</v>
      </c>
      <c r="R10" s="345">
        <f>O10/N10</f>
        <v>0.86363636363636365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45141</v>
      </c>
      <c r="D11" s="196" t="s">
        <v>23</v>
      </c>
      <c r="E11" s="196" t="s">
        <v>22</v>
      </c>
      <c r="F11" s="197">
        <v>72300</v>
      </c>
      <c r="G11" s="197">
        <v>72000</v>
      </c>
      <c r="H11" s="196">
        <v>300</v>
      </c>
      <c r="I11" s="197">
        <v>30</v>
      </c>
      <c r="J11" s="268">
        <f t="shared" si="1"/>
        <v>9000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45142</v>
      </c>
      <c r="D12" s="196" t="s">
        <v>23</v>
      </c>
      <c r="E12" s="196" t="s">
        <v>24</v>
      </c>
      <c r="F12" s="197">
        <v>59400</v>
      </c>
      <c r="G12" s="197">
        <v>59300</v>
      </c>
      <c r="H12" s="196">
        <v>100</v>
      </c>
      <c r="I12" s="197">
        <v>100</v>
      </c>
      <c r="J12" s="268">
        <f t="shared" si="1"/>
        <v>10000</v>
      </c>
      <c r="K12" s="185"/>
      <c r="M12" s="319" t="s">
        <v>300</v>
      </c>
      <c r="N12" s="371">
        <f>SUM(N4:N11)</f>
        <v>109</v>
      </c>
      <c r="O12" s="371">
        <f>SUM(O4:O11)</f>
        <v>91</v>
      </c>
      <c r="P12" s="371">
        <f>SUM(P4:P11)</f>
        <v>18</v>
      </c>
      <c r="Q12" s="371">
        <f>SUM(Q4:Q11)</f>
        <v>0</v>
      </c>
      <c r="R12" s="343">
        <f>O12/N12</f>
        <v>0.83486238532110091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45142</v>
      </c>
      <c r="D13" s="196" t="s">
        <v>23</v>
      </c>
      <c r="E13" s="196" t="s">
        <v>22</v>
      </c>
      <c r="F13" s="197">
        <v>72200</v>
      </c>
      <c r="G13" s="197">
        <v>71600</v>
      </c>
      <c r="H13" s="196">
        <v>600</v>
      </c>
      <c r="I13" s="197">
        <v>30</v>
      </c>
      <c r="J13" s="268">
        <f t="shared" si="1"/>
        <v>18000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45145</v>
      </c>
      <c r="D14" s="196" t="s">
        <v>23</v>
      </c>
      <c r="E14" s="196" t="s">
        <v>24</v>
      </c>
      <c r="F14" s="197">
        <v>59400</v>
      </c>
      <c r="G14" s="197">
        <v>59500</v>
      </c>
      <c r="H14" s="196">
        <v>-100</v>
      </c>
      <c r="I14" s="197">
        <v>100</v>
      </c>
      <c r="J14" s="268">
        <f t="shared" si="1"/>
        <v>-10000</v>
      </c>
      <c r="K14" s="185"/>
      <c r="M14" s="323" t="s">
        <v>878</v>
      </c>
      <c r="N14" s="324"/>
      <c r="O14" s="325"/>
      <c r="P14" s="332">
        <f>R12</f>
        <v>0.83486238532110091</v>
      </c>
      <c r="Q14" s="333"/>
      <c r="R14" s="334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45145</v>
      </c>
      <c r="D15" s="196" t="s">
        <v>23</v>
      </c>
      <c r="E15" s="196" t="s">
        <v>22</v>
      </c>
      <c r="F15" s="197">
        <v>72100</v>
      </c>
      <c r="G15" s="197">
        <v>71830</v>
      </c>
      <c r="H15" s="196">
        <v>270</v>
      </c>
      <c r="I15" s="197">
        <v>30</v>
      </c>
      <c r="J15" s="268">
        <f t="shared" si="1"/>
        <v>8100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45146</v>
      </c>
      <c r="D16" s="196" t="s">
        <v>23</v>
      </c>
      <c r="E16" s="196" t="s">
        <v>24</v>
      </c>
      <c r="F16" s="197">
        <v>59400</v>
      </c>
      <c r="G16" s="197">
        <v>59200</v>
      </c>
      <c r="H16" s="196">
        <v>200</v>
      </c>
      <c r="I16" s="197">
        <v>100</v>
      </c>
      <c r="J16" s="268">
        <f t="shared" si="1"/>
        <v>20000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45146</v>
      </c>
      <c r="D17" s="196" t="s">
        <v>23</v>
      </c>
      <c r="E17" s="196" t="s">
        <v>22</v>
      </c>
      <c r="F17" s="197">
        <v>72250</v>
      </c>
      <c r="G17" s="197">
        <v>71650</v>
      </c>
      <c r="H17" s="196">
        <f>72250-71650</f>
        <v>600</v>
      </c>
      <c r="I17" s="197">
        <v>30</v>
      </c>
      <c r="J17" s="268">
        <f t="shared" si="1"/>
        <v>18000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45147</v>
      </c>
      <c r="D18" s="196" t="s">
        <v>16</v>
      </c>
      <c r="E18" s="196" t="s">
        <v>24</v>
      </c>
      <c r="F18" s="197">
        <v>59300</v>
      </c>
      <c r="G18" s="197">
        <v>59350</v>
      </c>
      <c r="H18" s="196">
        <v>50</v>
      </c>
      <c r="I18" s="197">
        <v>100</v>
      </c>
      <c r="J18" s="268">
        <f t="shared" si="1"/>
        <v>5000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45147</v>
      </c>
      <c r="D19" s="196" t="s">
        <v>16</v>
      </c>
      <c r="E19" s="196" t="s">
        <v>22</v>
      </c>
      <c r="F19" s="197">
        <v>70400</v>
      </c>
      <c r="G19" s="197">
        <v>70530</v>
      </c>
      <c r="H19" s="196">
        <v>130</v>
      </c>
      <c r="I19" s="197">
        <v>30</v>
      </c>
      <c r="J19" s="268">
        <f t="shared" si="1"/>
        <v>3900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45148</v>
      </c>
      <c r="D20" s="196" t="s">
        <v>16</v>
      </c>
      <c r="E20" s="196" t="s">
        <v>24</v>
      </c>
      <c r="F20" s="197">
        <v>58980</v>
      </c>
      <c r="G20" s="197">
        <v>59050</v>
      </c>
      <c r="H20" s="196">
        <f>59050-58980</f>
        <v>70</v>
      </c>
      <c r="I20" s="197">
        <v>100</v>
      </c>
      <c r="J20" s="268">
        <f t="shared" si="1"/>
        <v>7000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45148</v>
      </c>
      <c r="D21" s="196" t="s">
        <v>16</v>
      </c>
      <c r="E21" s="196" t="s">
        <v>22</v>
      </c>
      <c r="F21" s="197">
        <v>70200</v>
      </c>
      <c r="G21" s="197">
        <v>70500</v>
      </c>
      <c r="H21" s="196">
        <v>300</v>
      </c>
      <c r="I21" s="197">
        <v>30</v>
      </c>
      <c r="J21" s="268">
        <f t="shared" si="1"/>
        <v>9000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45149</v>
      </c>
      <c r="D22" s="196" t="s">
        <v>16</v>
      </c>
      <c r="E22" s="196" t="s">
        <v>24</v>
      </c>
      <c r="F22" s="197">
        <v>58900</v>
      </c>
      <c r="G22" s="197">
        <v>58980</v>
      </c>
      <c r="H22" s="196">
        <v>80</v>
      </c>
      <c r="I22" s="197">
        <v>100</v>
      </c>
      <c r="J22" s="268">
        <f t="shared" si="1"/>
        <v>8000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45149</v>
      </c>
      <c r="D23" s="196" t="s">
        <v>16</v>
      </c>
      <c r="E23" s="196" t="s">
        <v>22</v>
      </c>
      <c r="F23" s="197">
        <v>70000</v>
      </c>
      <c r="G23" s="197">
        <v>70300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45152</v>
      </c>
      <c r="D24" s="196" t="s">
        <v>16</v>
      </c>
      <c r="E24" s="196" t="s">
        <v>24</v>
      </c>
      <c r="F24" s="197">
        <v>58900</v>
      </c>
      <c r="G24" s="197">
        <v>59000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45152</v>
      </c>
      <c r="D25" s="196" t="s">
        <v>16</v>
      </c>
      <c r="E25" s="196" t="s">
        <v>22</v>
      </c>
      <c r="F25" s="197">
        <v>70150</v>
      </c>
      <c r="G25" s="197">
        <v>69850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45154</v>
      </c>
      <c r="D26" s="196" t="s">
        <v>23</v>
      </c>
      <c r="E26" s="196" t="s">
        <v>24</v>
      </c>
      <c r="F26" s="197">
        <v>58880</v>
      </c>
      <c r="G26" s="197">
        <v>58680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45154</v>
      </c>
      <c r="D27" s="196" t="s">
        <v>23</v>
      </c>
      <c r="E27" s="196" t="s">
        <v>22</v>
      </c>
      <c r="F27" s="197">
        <v>70350</v>
      </c>
      <c r="G27" s="197">
        <v>69750</v>
      </c>
      <c r="H27" s="196"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45155</v>
      </c>
      <c r="D28" s="196" t="s">
        <v>16</v>
      </c>
      <c r="E28" s="196" t="s">
        <v>24</v>
      </c>
      <c r="F28" s="197">
        <v>58500</v>
      </c>
      <c r="G28" s="197">
        <v>58660</v>
      </c>
      <c r="H28" s="196">
        <f>58660-58500</f>
        <v>160</v>
      </c>
      <c r="I28" s="197">
        <v>100</v>
      </c>
      <c r="J28" s="268">
        <f t="shared" si="1"/>
        <v>16000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45155</v>
      </c>
      <c r="D29" s="196" t="s">
        <v>16</v>
      </c>
      <c r="E29" s="196" t="s">
        <v>22</v>
      </c>
      <c r="F29" s="197">
        <v>69950</v>
      </c>
      <c r="G29" s="197">
        <v>70550</v>
      </c>
      <c r="H29" s="196">
        <v>600</v>
      </c>
      <c r="I29" s="197">
        <v>30</v>
      </c>
      <c r="J29" s="268">
        <f t="shared" si="1"/>
        <v>18000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45156</v>
      </c>
      <c r="D30" s="196" t="s">
        <v>23</v>
      </c>
      <c r="E30" s="196" t="s">
        <v>24</v>
      </c>
      <c r="F30" s="197">
        <v>58440</v>
      </c>
      <c r="G30" s="197">
        <v>58365</v>
      </c>
      <c r="H30" s="196">
        <f>58440-58365</f>
        <v>75</v>
      </c>
      <c r="I30" s="197">
        <v>100</v>
      </c>
      <c r="J30" s="268">
        <f t="shared" si="1"/>
        <v>7500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45156</v>
      </c>
      <c r="D31" s="196" t="s">
        <v>23</v>
      </c>
      <c r="E31" s="196" t="s">
        <v>22</v>
      </c>
      <c r="F31" s="197">
        <v>70350</v>
      </c>
      <c r="G31" s="197">
        <v>70129</v>
      </c>
      <c r="H31" s="196">
        <f>70350-70129</f>
        <v>221</v>
      </c>
      <c r="I31" s="197">
        <v>30</v>
      </c>
      <c r="J31" s="268">
        <f t="shared" si="1"/>
        <v>6630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45159</v>
      </c>
      <c r="D32" s="196" t="s">
        <v>23</v>
      </c>
      <c r="E32" s="196" t="s">
        <v>24</v>
      </c>
      <c r="F32" s="197">
        <v>58650</v>
      </c>
      <c r="G32" s="197">
        <v>58600</v>
      </c>
      <c r="H32" s="196">
        <v>50</v>
      </c>
      <c r="I32" s="197">
        <v>100</v>
      </c>
      <c r="J32" s="268">
        <f t="shared" si="1"/>
        <v>5000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45159</v>
      </c>
      <c r="D33" s="196" t="s">
        <v>23</v>
      </c>
      <c r="E33" s="196" t="s">
        <v>22</v>
      </c>
      <c r="F33" s="197">
        <v>70500</v>
      </c>
      <c r="G33" s="197">
        <v>70800</v>
      </c>
      <c r="H33" s="196">
        <v>-300</v>
      </c>
      <c r="I33" s="197">
        <v>30</v>
      </c>
      <c r="J33" s="268">
        <f t="shared" si="1"/>
        <v>-9000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45160</v>
      </c>
      <c r="D34" s="196" t="s">
        <v>23</v>
      </c>
      <c r="E34" s="196" t="s">
        <v>24</v>
      </c>
      <c r="F34" s="197">
        <v>58650</v>
      </c>
      <c r="G34" s="197">
        <v>58600</v>
      </c>
      <c r="H34" s="196">
        <v>50</v>
      </c>
      <c r="I34" s="197">
        <v>100</v>
      </c>
      <c r="J34" s="268">
        <f t="shared" si="1"/>
        <v>5000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45160</v>
      </c>
      <c r="D35" s="196" t="s">
        <v>23</v>
      </c>
      <c r="E35" s="196" t="s">
        <v>22</v>
      </c>
      <c r="F35" s="197">
        <v>71900</v>
      </c>
      <c r="G35" s="197">
        <v>71760</v>
      </c>
      <c r="H35" s="196">
        <f>71900-71760</f>
        <v>140</v>
      </c>
      <c r="I35" s="197">
        <v>30</v>
      </c>
      <c r="J35" s="268">
        <f t="shared" si="1"/>
        <v>4200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45161</v>
      </c>
      <c r="D36" s="196" t="s">
        <v>23</v>
      </c>
      <c r="E36" s="196" t="s">
        <v>24</v>
      </c>
      <c r="F36" s="197">
        <v>58550</v>
      </c>
      <c r="G36" s="197">
        <v>58510</v>
      </c>
      <c r="H36" s="196">
        <v>40</v>
      </c>
      <c r="I36" s="197">
        <v>100</v>
      </c>
      <c r="J36" s="268">
        <f t="shared" si="1"/>
        <v>4000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45161</v>
      </c>
      <c r="D37" s="196" t="s">
        <v>23</v>
      </c>
      <c r="E37" s="196" t="s">
        <v>22</v>
      </c>
      <c r="F37" s="197">
        <v>72600</v>
      </c>
      <c r="G37" s="197">
        <v>72900</v>
      </c>
      <c r="H37" s="196"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45162</v>
      </c>
      <c r="D38" s="196" t="s">
        <v>23</v>
      </c>
      <c r="E38" s="196" t="s">
        <v>24</v>
      </c>
      <c r="F38" s="197">
        <v>58850</v>
      </c>
      <c r="G38" s="197">
        <v>58750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45162</v>
      </c>
      <c r="D39" s="196" t="s">
        <v>23</v>
      </c>
      <c r="E39" s="196" t="s">
        <v>22</v>
      </c>
      <c r="F39" s="197">
        <v>73550</v>
      </c>
      <c r="G39" s="197">
        <v>73450</v>
      </c>
      <c r="H39" s="196">
        <v>100</v>
      </c>
      <c r="I39" s="197">
        <v>30</v>
      </c>
      <c r="J39" s="268">
        <f t="shared" si="1"/>
        <v>3000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45163</v>
      </c>
      <c r="D40" s="196" t="s">
        <v>23</v>
      </c>
      <c r="E40" s="196" t="s">
        <v>24</v>
      </c>
      <c r="F40" s="197">
        <v>58800</v>
      </c>
      <c r="G40" s="197">
        <v>58720</v>
      </c>
      <c r="H40" s="196">
        <f>58800-58720</f>
        <v>80</v>
      </c>
      <c r="I40" s="197">
        <v>100</v>
      </c>
      <c r="J40" s="268">
        <f t="shared" si="1"/>
        <v>8000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45163</v>
      </c>
      <c r="D41" s="196" t="s">
        <v>23</v>
      </c>
      <c r="E41" s="196" t="s">
        <v>22</v>
      </c>
      <c r="F41" s="197">
        <v>73750</v>
      </c>
      <c r="G41" s="197">
        <v>73450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45166</v>
      </c>
      <c r="D42" s="196" t="s">
        <v>23</v>
      </c>
      <c r="E42" s="196" t="s">
        <v>24</v>
      </c>
      <c r="F42" s="197">
        <v>58750</v>
      </c>
      <c r="G42" s="197">
        <v>58700</v>
      </c>
      <c r="H42" s="196">
        <v>50</v>
      </c>
      <c r="I42" s="197">
        <v>100</v>
      </c>
      <c r="J42" s="268">
        <f t="shared" si="1"/>
        <v>5000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45166</v>
      </c>
      <c r="D43" s="196" t="s">
        <v>23</v>
      </c>
      <c r="E43" s="196" t="s">
        <v>22</v>
      </c>
      <c r="F43" s="197">
        <v>73550</v>
      </c>
      <c r="G43" s="197">
        <v>73356</v>
      </c>
      <c r="H43" s="196">
        <v>194</v>
      </c>
      <c r="I43" s="197">
        <v>30</v>
      </c>
      <c r="J43" s="268">
        <f t="shared" si="1"/>
        <v>5820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45167</v>
      </c>
      <c r="D44" s="196" t="s">
        <v>23</v>
      </c>
      <c r="E44" s="196" t="s">
        <v>24</v>
      </c>
      <c r="F44" s="197">
        <v>58980</v>
      </c>
      <c r="G44" s="197">
        <v>58880</v>
      </c>
      <c r="H44" s="196"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45167</v>
      </c>
      <c r="D45" s="196" t="s">
        <v>23</v>
      </c>
      <c r="E45" s="196" t="s">
        <v>22</v>
      </c>
      <c r="F45" s="197">
        <v>73700</v>
      </c>
      <c r="G45" s="197">
        <v>73520</v>
      </c>
      <c r="H45" s="196">
        <f>73700-73520</f>
        <v>180</v>
      </c>
      <c r="I45" s="197">
        <v>30</v>
      </c>
      <c r="J45" s="268">
        <f t="shared" si="1"/>
        <v>5400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45168</v>
      </c>
      <c r="D46" s="196" t="s">
        <v>23</v>
      </c>
      <c r="E46" s="196" t="s">
        <v>24</v>
      </c>
      <c r="F46" s="197">
        <v>59350</v>
      </c>
      <c r="G46" s="197">
        <v>59450</v>
      </c>
      <c r="H46" s="196">
        <v>-100</v>
      </c>
      <c r="I46" s="197">
        <v>100</v>
      </c>
      <c r="J46" s="268">
        <f t="shared" si="1"/>
        <v>-10000</v>
      </c>
      <c r="K46" s="185"/>
      <c r="V46" s="183">
        <f t="shared" si="2"/>
        <v>0</v>
      </c>
      <c r="W46" s="183">
        <f t="shared" si="3"/>
        <v>1</v>
      </c>
    </row>
    <row r="47" spans="1:23" x14ac:dyDescent="0.3">
      <c r="A47" s="184"/>
      <c r="B47" s="194">
        <v>42</v>
      </c>
      <c r="C47" s="195">
        <v>45168</v>
      </c>
      <c r="D47" s="196" t="s">
        <v>23</v>
      </c>
      <c r="E47" s="196" t="s">
        <v>22</v>
      </c>
      <c r="F47" s="197">
        <v>74450</v>
      </c>
      <c r="G47" s="197">
        <v>74750</v>
      </c>
      <c r="H47" s="196">
        <v>-300</v>
      </c>
      <c r="I47" s="197">
        <v>30</v>
      </c>
      <c r="J47" s="268">
        <f t="shared" si="1"/>
        <v>-9000</v>
      </c>
      <c r="K47" s="185"/>
      <c r="V47" s="183">
        <f t="shared" si="2"/>
        <v>0</v>
      </c>
      <c r="W47" s="183">
        <f t="shared" si="3"/>
        <v>1</v>
      </c>
    </row>
    <row r="48" spans="1:23" x14ac:dyDescent="0.3">
      <c r="A48" s="184"/>
      <c r="B48" s="194">
        <v>43</v>
      </c>
      <c r="C48" s="195">
        <v>45169</v>
      </c>
      <c r="D48" s="196" t="s">
        <v>23</v>
      </c>
      <c r="E48" s="196" t="s">
        <v>24</v>
      </c>
      <c r="F48" s="197">
        <v>59520</v>
      </c>
      <c r="G48" s="197">
        <v>59420</v>
      </c>
      <c r="H48" s="196">
        <v>100</v>
      </c>
      <c r="I48" s="197">
        <v>100</v>
      </c>
      <c r="J48" s="268">
        <f t="shared" si="1"/>
        <v>10000</v>
      </c>
      <c r="K48" s="185"/>
      <c r="V48" s="183">
        <f t="shared" si="2"/>
        <v>1</v>
      </c>
      <c r="W48" s="183">
        <f t="shared" si="3"/>
        <v>0</v>
      </c>
    </row>
    <row r="49" spans="1:23" x14ac:dyDescent="0.3">
      <c r="A49" s="184"/>
      <c r="B49" s="194">
        <v>44</v>
      </c>
      <c r="C49" s="195">
        <v>45169</v>
      </c>
      <c r="D49" s="196" t="s">
        <v>23</v>
      </c>
      <c r="E49" s="196" t="s">
        <v>22</v>
      </c>
      <c r="F49" s="197">
        <v>76000</v>
      </c>
      <c r="G49" s="197">
        <v>75850</v>
      </c>
      <c r="H49" s="196">
        <f>76000-75850</f>
        <v>150</v>
      </c>
      <c r="I49" s="197">
        <v>30</v>
      </c>
      <c r="J49" s="268">
        <f t="shared" si="1"/>
        <v>4500</v>
      </c>
      <c r="K49" s="185"/>
      <c r="V49" s="183">
        <f t="shared" si="2"/>
        <v>1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296050</v>
      </c>
      <c r="K52" s="185"/>
      <c r="V52" s="183">
        <f>SUM(V6:V51)</f>
        <v>38</v>
      </c>
      <c r="W52" s="183">
        <f>SUM(W6:W51)</f>
        <v>6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45139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45139</v>
      </c>
      <c r="D60" s="192" t="s">
        <v>23</v>
      </c>
      <c r="E60" s="192" t="s">
        <v>25</v>
      </c>
      <c r="F60" s="193">
        <v>6710</v>
      </c>
      <c r="G60" s="193">
        <v>6695</v>
      </c>
      <c r="H60" s="192">
        <f>6710-6695</f>
        <v>15</v>
      </c>
      <c r="I60" s="193">
        <v>100</v>
      </c>
      <c r="J60" s="267">
        <f t="shared" ref="J60:J82" si="5">I60*H60</f>
        <v>1500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45140</v>
      </c>
      <c r="D61" s="196" t="s">
        <v>23</v>
      </c>
      <c r="E61" s="196" t="s">
        <v>25</v>
      </c>
      <c r="F61" s="197">
        <v>6765</v>
      </c>
      <c r="G61" s="197">
        <v>6695</v>
      </c>
      <c r="H61" s="196">
        <f>6765-6695</f>
        <v>70</v>
      </c>
      <c r="I61" s="197">
        <v>100</v>
      </c>
      <c r="J61" s="268">
        <f t="shared" si="5"/>
        <v>7000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45141</v>
      </c>
      <c r="D62" s="196" t="s">
        <v>23</v>
      </c>
      <c r="E62" s="196" t="s">
        <v>25</v>
      </c>
      <c r="F62" s="197">
        <v>6570</v>
      </c>
      <c r="G62" s="197">
        <v>6605</v>
      </c>
      <c r="H62" s="196">
        <f>6570-6605</f>
        <v>-35</v>
      </c>
      <c r="I62" s="197">
        <v>100</v>
      </c>
      <c r="J62" s="268">
        <f t="shared" si="5"/>
        <v>-3500</v>
      </c>
      <c r="K62" s="185"/>
      <c r="V62" s="183">
        <f t="shared" si="6"/>
        <v>0</v>
      </c>
      <c r="W62" s="183">
        <f t="shared" si="7"/>
        <v>1</v>
      </c>
    </row>
    <row r="63" spans="1:23" x14ac:dyDescent="0.3">
      <c r="A63" s="184"/>
      <c r="B63" s="194">
        <v>4</v>
      </c>
      <c r="C63" s="195">
        <v>45142</v>
      </c>
      <c r="D63" s="196" t="s">
        <v>23</v>
      </c>
      <c r="E63" s="196" t="s">
        <v>25</v>
      </c>
      <c r="F63" s="197">
        <v>6800</v>
      </c>
      <c r="G63" s="197">
        <v>6760</v>
      </c>
      <c r="H63" s="196">
        <f>6800-6760</f>
        <v>40</v>
      </c>
      <c r="I63" s="197">
        <v>100</v>
      </c>
      <c r="J63" s="268">
        <f t="shared" si="5"/>
        <v>4000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45145</v>
      </c>
      <c r="D64" s="196" t="s">
        <v>23</v>
      </c>
      <c r="E64" s="196" t="s">
        <v>25</v>
      </c>
      <c r="F64" s="197">
        <v>6830</v>
      </c>
      <c r="G64" s="197">
        <v>6780</v>
      </c>
      <c r="H64" s="196">
        <f>6830-6780</f>
        <v>50</v>
      </c>
      <c r="I64" s="197">
        <v>100</v>
      </c>
      <c r="J64" s="268">
        <f t="shared" si="5"/>
        <v>5000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45146</v>
      </c>
      <c r="D65" s="196" t="s">
        <v>23</v>
      </c>
      <c r="E65" s="196" t="s">
        <v>25</v>
      </c>
      <c r="F65" s="197">
        <v>6745</v>
      </c>
      <c r="G65" s="197">
        <v>6685</v>
      </c>
      <c r="H65" s="196">
        <f>6745-6685</f>
        <v>60</v>
      </c>
      <c r="I65" s="197">
        <v>100</v>
      </c>
      <c r="J65" s="268">
        <f t="shared" si="5"/>
        <v>6000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45147</v>
      </c>
      <c r="D66" s="196" t="s">
        <v>16</v>
      </c>
      <c r="E66" s="196" t="s">
        <v>25</v>
      </c>
      <c r="F66" s="222">
        <v>6850</v>
      </c>
      <c r="G66" s="222">
        <v>6910</v>
      </c>
      <c r="H66" s="196">
        <f>6910-6850</f>
        <v>60</v>
      </c>
      <c r="I66" s="197">
        <v>100</v>
      </c>
      <c r="J66" s="268">
        <f t="shared" si="5"/>
        <v>6000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45148</v>
      </c>
      <c r="D67" s="196" t="s">
        <v>16</v>
      </c>
      <c r="E67" s="196" t="s">
        <v>25</v>
      </c>
      <c r="F67" s="197">
        <v>7000</v>
      </c>
      <c r="G67" s="197">
        <v>7028</v>
      </c>
      <c r="H67" s="196">
        <v>28</v>
      </c>
      <c r="I67" s="197">
        <v>100</v>
      </c>
      <c r="J67" s="268">
        <f t="shared" si="5"/>
        <v>2800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45149</v>
      </c>
      <c r="D68" s="196" t="s">
        <v>23</v>
      </c>
      <c r="E68" s="196" t="s">
        <v>25</v>
      </c>
      <c r="F68" s="197">
        <v>6875</v>
      </c>
      <c r="G68" s="197">
        <v>6815</v>
      </c>
      <c r="H68" s="196">
        <f>6875-6815</f>
        <v>60</v>
      </c>
      <c r="I68" s="197">
        <v>100</v>
      </c>
      <c r="J68" s="268">
        <f t="shared" si="5"/>
        <v>6000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45152</v>
      </c>
      <c r="D69" s="196" t="s">
        <v>23</v>
      </c>
      <c r="E69" s="196" t="s">
        <v>25</v>
      </c>
      <c r="F69" s="197">
        <v>6880</v>
      </c>
      <c r="G69" s="197">
        <v>6840</v>
      </c>
      <c r="H69" s="196">
        <v>40</v>
      </c>
      <c r="I69" s="197">
        <v>100</v>
      </c>
      <c r="J69" s="268">
        <f t="shared" si="5"/>
        <v>4000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45154</v>
      </c>
      <c r="D70" s="196" t="s">
        <v>23</v>
      </c>
      <c r="E70" s="196" t="s">
        <v>25</v>
      </c>
      <c r="F70" s="197">
        <v>6735</v>
      </c>
      <c r="G70" s="197">
        <v>6665</v>
      </c>
      <c r="H70" s="196">
        <v>70</v>
      </c>
      <c r="I70" s="197">
        <v>100</v>
      </c>
      <c r="J70" s="268">
        <f t="shared" si="5"/>
        <v>7000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45155</v>
      </c>
      <c r="D71" s="196" t="s">
        <v>23</v>
      </c>
      <c r="E71" s="196" t="s">
        <v>25</v>
      </c>
      <c r="F71" s="197">
        <v>6650</v>
      </c>
      <c r="G71" s="197">
        <v>6690</v>
      </c>
      <c r="H71" s="196">
        <v>-40</v>
      </c>
      <c r="I71" s="197">
        <v>100</v>
      </c>
      <c r="J71" s="268">
        <f t="shared" si="5"/>
        <v>-4000</v>
      </c>
      <c r="K71" s="185"/>
      <c r="V71" s="183">
        <f t="shared" si="6"/>
        <v>0</v>
      </c>
      <c r="W71" s="183">
        <f t="shared" si="7"/>
        <v>1</v>
      </c>
    </row>
    <row r="72" spans="1:23" x14ac:dyDescent="0.3">
      <c r="A72" s="184"/>
      <c r="B72" s="194">
        <v>13</v>
      </c>
      <c r="C72" s="195">
        <v>45156</v>
      </c>
      <c r="D72" s="196" t="s">
        <v>23</v>
      </c>
      <c r="E72" s="196" t="s">
        <v>25</v>
      </c>
      <c r="F72" s="197">
        <v>6690</v>
      </c>
      <c r="G72" s="197">
        <v>6640</v>
      </c>
      <c r="H72" s="196">
        <v>50</v>
      </c>
      <c r="I72" s="197">
        <v>100</v>
      </c>
      <c r="J72" s="268">
        <f t="shared" si="5"/>
        <v>5000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45159</v>
      </c>
      <c r="D73" s="196" t="s">
        <v>23</v>
      </c>
      <c r="E73" s="196" t="s">
        <v>25</v>
      </c>
      <c r="F73" s="197">
        <v>6775</v>
      </c>
      <c r="G73" s="197">
        <v>6705</v>
      </c>
      <c r="H73" s="196">
        <f>6775-6705</f>
        <v>70</v>
      </c>
      <c r="I73" s="197">
        <v>100</v>
      </c>
      <c r="J73" s="268">
        <f t="shared" si="5"/>
        <v>7000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45160</v>
      </c>
      <c r="D74" s="196" t="s">
        <v>23</v>
      </c>
      <c r="E74" s="196" t="s">
        <v>25</v>
      </c>
      <c r="F74" s="197">
        <v>6640</v>
      </c>
      <c r="G74" s="197">
        <v>6620</v>
      </c>
      <c r="H74" s="196">
        <v>20</v>
      </c>
      <c r="I74" s="197">
        <v>100</v>
      </c>
      <c r="J74" s="268">
        <f t="shared" si="5"/>
        <v>2000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45161</v>
      </c>
      <c r="D75" s="196" t="s">
        <v>23</v>
      </c>
      <c r="E75" s="196" t="s">
        <v>25</v>
      </c>
      <c r="F75" s="197">
        <v>6530</v>
      </c>
      <c r="G75" s="197">
        <v>6500</v>
      </c>
      <c r="H75" s="196">
        <v>30</v>
      </c>
      <c r="I75" s="197">
        <v>100</v>
      </c>
      <c r="J75" s="268">
        <f t="shared" si="5"/>
        <v>3000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45162</v>
      </c>
      <c r="D76" s="196" t="s">
        <v>23</v>
      </c>
      <c r="E76" s="196" t="s">
        <v>25</v>
      </c>
      <c r="F76" s="197">
        <v>6550</v>
      </c>
      <c r="G76" s="197">
        <v>6520</v>
      </c>
      <c r="H76" s="196">
        <f>6550-6520</f>
        <v>30</v>
      </c>
      <c r="I76" s="197">
        <v>100</v>
      </c>
      <c r="J76" s="268">
        <f t="shared" si="5"/>
        <v>3000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45163</v>
      </c>
      <c r="D77" s="196" t="s">
        <v>23</v>
      </c>
      <c r="E77" s="196" t="s">
        <v>25</v>
      </c>
      <c r="F77" s="197">
        <v>6620</v>
      </c>
      <c r="G77" s="197">
        <v>6605</v>
      </c>
      <c r="H77" s="196">
        <v>15</v>
      </c>
      <c r="I77" s="197">
        <v>100</v>
      </c>
      <c r="J77" s="268">
        <f t="shared" si="5"/>
        <v>1500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45166</v>
      </c>
      <c r="D78" s="196" t="s">
        <v>23</v>
      </c>
      <c r="E78" s="196" t="s">
        <v>25</v>
      </c>
      <c r="F78" s="197">
        <v>6630</v>
      </c>
      <c r="G78" s="197">
        <v>6580</v>
      </c>
      <c r="H78" s="196">
        <f>6630-6580</f>
        <v>50</v>
      </c>
      <c r="I78" s="197">
        <v>100</v>
      </c>
      <c r="J78" s="268">
        <f t="shared" si="5"/>
        <v>5000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45167</v>
      </c>
      <c r="D79" s="196" t="s">
        <v>23</v>
      </c>
      <c r="E79" s="196" t="s">
        <v>25</v>
      </c>
      <c r="F79" s="197">
        <v>6685</v>
      </c>
      <c r="G79" s="197">
        <v>6715</v>
      </c>
      <c r="H79" s="196">
        <v>-40</v>
      </c>
      <c r="I79" s="197">
        <v>100</v>
      </c>
      <c r="J79" s="268">
        <f t="shared" si="5"/>
        <v>-4000</v>
      </c>
      <c r="K79" s="185"/>
      <c r="V79" s="183">
        <f t="shared" si="6"/>
        <v>0</v>
      </c>
      <c r="W79" s="183">
        <f t="shared" si="7"/>
        <v>1</v>
      </c>
    </row>
    <row r="80" spans="1:23" x14ac:dyDescent="0.3">
      <c r="A80" s="184"/>
      <c r="B80" s="194">
        <v>21</v>
      </c>
      <c r="C80" s="195">
        <v>45168</v>
      </c>
      <c r="D80" s="196" t="s">
        <v>23</v>
      </c>
      <c r="E80" s="196" t="s">
        <v>25</v>
      </c>
      <c r="F80" s="197">
        <v>6770</v>
      </c>
      <c r="G80" s="197">
        <v>6730</v>
      </c>
      <c r="H80" s="196">
        <v>40</v>
      </c>
      <c r="I80" s="197">
        <v>100</v>
      </c>
      <c r="J80" s="268">
        <f t="shared" si="5"/>
        <v>4000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45169</v>
      </c>
      <c r="D81" s="196" t="s">
        <v>23</v>
      </c>
      <c r="E81" s="196" t="s">
        <v>25</v>
      </c>
      <c r="F81" s="197">
        <v>6795</v>
      </c>
      <c r="G81" s="197">
        <v>6835</v>
      </c>
      <c r="H81" s="196">
        <v>-40</v>
      </c>
      <c r="I81" s="197">
        <v>100</v>
      </c>
      <c r="J81" s="268">
        <f t="shared" si="5"/>
        <v>-4000</v>
      </c>
      <c r="K81" s="185"/>
      <c r="V81" s="183">
        <f t="shared" si="6"/>
        <v>0</v>
      </c>
      <c r="W81" s="183">
        <f t="shared" si="7"/>
        <v>1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64300</v>
      </c>
      <c r="K83" s="185"/>
      <c r="V83" s="183">
        <f>SUM(V60:V82)</f>
        <v>18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45139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45139</v>
      </c>
      <c r="D91" s="216" t="s">
        <v>16</v>
      </c>
      <c r="E91" s="256" t="s">
        <v>28</v>
      </c>
      <c r="F91" s="256">
        <v>227.5</v>
      </c>
      <c r="G91" s="256">
        <v>227.9</v>
      </c>
      <c r="H91" s="256">
        <v>0.4</v>
      </c>
      <c r="I91" s="218">
        <v>5000</v>
      </c>
      <c r="J91" s="273">
        <f>I91*H91</f>
        <v>2000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45140</v>
      </c>
      <c r="D92" s="196" t="s">
        <v>23</v>
      </c>
      <c r="E92" s="222" t="s">
        <v>28</v>
      </c>
      <c r="F92" s="222">
        <v>225</v>
      </c>
      <c r="G92" s="222">
        <v>224</v>
      </c>
      <c r="H92" s="222">
        <v>1</v>
      </c>
      <c r="I92" s="197">
        <v>5000</v>
      </c>
      <c r="J92" s="268">
        <f t="shared" ref="J92:J111" si="8">I92*H92</f>
        <v>5000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45141</v>
      </c>
      <c r="D93" s="196" t="s">
        <v>16</v>
      </c>
      <c r="E93" s="222" t="s">
        <v>28</v>
      </c>
      <c r="F93" s="222">
        <v>221</v>
      </c>
      <c r="G93" s="222">
        <v>223</v>
      </c>
      <c r="H93" s="222">
        <v>2</v>
      </c>
      <c r="I93" s="197">
        <v>5000</v>
      </c>
      <c r="J93" s="268">
        <f t="shared" si="8"/>
        <v>10000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45142</v>
      </c>
      <c r="D94" s="196" t="s">
        <v>23</v>
      </c>
      <c r="E94" s="222" t="s">
        <v>28</v>
      </c>
      <c r="F94" s="222">
        <v>222.5</v>
      </c>
      <c r="G94" s="222">
        <v>222</v>
      </c>
      <c r="H94" s="222">
        <v>0.5</v>
      </c>
      <c r="I94" s="197">
        <v>5000</v>
      </c>
      <c r="J94" s="268">
        <f t="shared" si="8"/>
        <v>2500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45145</v>
      </c>
      <c r="D95" s="196" t="s">
        <v>23</v>
      </c>
      <c r="E95" s="222" t="s">
        <v>28</v>
      </c>
      <c r="F95" s="222">
        <v>223.5</v>
      </c>
      <c r="G95" s="222">
        <v>224.5</v>
      </c>
      <c r="H95" s="222">
        <v>-1</v>
      </c>
      <c r="I95" s="197">
        <v>5000</v>
      </c>
      <c r="J95" s="268">
        <f t="shared" si="8"/>
        <v>-5000</v>
      </c>
      <c r="K95" s="185"/>
      <c r="V95" s="183">
        <f t="shared" si="9"/>
        <v>0</v>
      </c>
      <c r="W95" s="183">
        <f t="shared" si="10"/>
        <v>1</v>
      </c>
    </row>
    <row r="96" spans="1:23" x14ac:dyDescent="0.3">
      <c r="A96" s="184"/>
      <c r="B96" s="194">
        <v>6</v>
      </c>
      <c r="C96" s="195">
        <v>45146</v>
      </c>
      <c r="D96" s="196" t="s">
        <v>16</v>
      </c>
      <c r="E96" s="222" t="s">
        <v>28</v>
      </c>
      <c r="F96" s="222">
        <v>222.8</v>
      </c>
      <c r="G96" s="222">
        <v>221.8</v>
      </c>
      <c r="H96" s="222">
        <v>-1</v>
      </c>
      <c r="I96" s="197">
        <v>5000</v>
      </c>
      <c r="J96" s="268">
        <f t="shared" si="8"/>
        <v>-5000</v>
      </c>
      <c r="K96" s="185"/>
      <c r="V96" s="183">
        <f t="shared" si="9"/>
        <v>0</v>
      </c>
      <c r="W96" s="183">
        <f t="shared" si="10"/>
        <v>1</v>
      </c>
    </row>
    <row r="97" spans="1:23" x14ac:dyDescent="0.3">
      <c r="A97" s="184"/>
      <c r="B97" s="194">
        <v>7</v>
      </c>
      <c r="C97" s="195">
        <v>45147</v>
      </c>
      <c r="D97" s="196" t="s">
        <v>16</v>
      </c>
      <c r="E97" s="222" t="s">
        <v>28</v>
      </c>
      <c r="F97" s="222">
        <v>222.6</v>
      </c>
      <c r="G97" s="222">
        <v>223.1</v>
      </c>
      <c r="H97" s="274">
        <f>223.1-222.6</f>
        <v>0.5</v>
      </c>
      <c r="I97" s="197">
        <v>5000</v>
      </c>
      <c r="J97" s="268">
        <f t="shared" si="8"/>
        <v>2500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45148</v>
      </c>
      <c r="D98" s="196" t="s">
        <v>16</v>
      </c>
      <c r="E98" s="222" t="s">
        <v>28</v>
      </c>
      <c r="F98" s="222">
        <v>223</v>
      </c>
      <c r="G98" s="222">
        <v>222</v>
      </c>
      <c r="H98" s="222">
        <v>-1</v>
      </c>
      <c r="I98" s="197">
        <v>5000</v>
      </c>
      <c r="J98" s="268">
        <f t="shared" si="8"/>
        <v>-5000</v>
      </c>
      <c r="K98" s="185"/>
      <c r="V98" s="183">
        <f t="shared" si="9"/>
        <v>0</v>
      </c>
      <c r="W98" s="183">
        <f t="shared" si="10"/>
        <v>1</v>
      </c>
    </row>
    <row r="99" spans="1:23" x14ac:dyDescent="0.3">
      <c r="A99" s="184"/>
      <c r="B99" s="194">
        <v>9</v>
      </c>
      <c r="C99" s="195">
        <v>45149</v>
      </c>
      <c r="D99" s="196" t="s">
        <v>23</v>
      </c>
      <c r="E99" s="222" t="s">
        <v>28</v>
      </c>
      <c r="F99" s="222">
        <v>219.5</v>
      </c>
      <c r="G99" s="222">
        <v>217.8</v>
      </c>
      <c r="H99" s="222">
        <v>3.8</v>
      </c>
      <c r="I99" s="197">
        <v>5000</v>
      </c>
      <c r="J99" s="268">
        <f t="shared" si="8"/>
        <v>19000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45152</v>
      </c>
      <c r="D100" s="196" t="s">
        <v>16</v>
      </c>
      <c r="E100" s="222" t="s">
        <v>28</v>
      </c>
      <c r="F100" s="222">
        <v>214.8</v>
      </c>
      <c r="G100" s="222">
        <v>213.8</v>
      </c>
      <c r="H100" s="222">
        <v>-1</v>
      </c>
      <c r="I100" s="197">
        <v>5000</v>
      </c>
      <c r="J100" s="268">
        <f t="shared" si="8"/>
        <v>-5000</v>
      </c>
      <c r="K100" s="185"/>
      <c r="V100" s="183">
        <f t="shared" si="9"/>
        <v>0</v>
      </c>
      <c r="W100" s="183">
        <f t="shared" si="10"/>
        <v>1</v>
      </c>
    </row>
    <row r="101" spans="1:23" x14ac:dyDescent="0.3">
      <c r="A101" s="184"/>
      <c r="B101" s="194">
        <v>11</v>
      </c>
      <c r="C101" s="195">
        <v>45154</v>
      </c>
      <c r="D101" s="196" t="s">
        <v>23</v>
      </c>
      <c r="E101" s="222" t="s">
        <v>28</v>
      </c>
      <c r="F101" s="222">
        <v>210</v>
      </c>
      <c r="G101" s="222">
        <v>208</v>
      </c>
      <c r="H101" s="274">
        <v>2</v>
      </c>
      <c r="I101" s="197">
        <v>5000</v>
      </c>
      <c r="J101" s="268">
        <f t="shared" si="8"/>
        <v>10000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45155</v>
      </c>
      <c r="D102" s="196" t="s">
        <v>23</v>
      </c>
      <c r="E102" s="222" t="s">
        <v>28</v>
      </c>
      <c r="F102" s="222">
        <v>209.8</v>
      </c>
      <c r="G102" s="222">
        <v>210.8</v>
      </c>
      <c r="H102" s="274">
        <v>1</v>
      </c>
      <c r="I102" s="197">
        <v>5000</v>
      </c>
      <c r="J102" s="268">
        <f t="shared" si="8"/>
        <v>5000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45156</v>
      </c>
      <c r="D103" s="196" t="s">
        <v>23</v>
      </c>
      <c r="E103" s="222" t="s">
        <v>28</v>
      </c>
      <c r="F103" s="222">
        <v>208.3</v>
      </c>
      <c r="G103" s="222">
        <v>208</v>
      </c>
      <c r="H103" s="274">
        <v>0.3</v>
      </c>
      <c r="I103" s="197">
        <v>5000</v>
      </c>
      <c r="J103" s="268">
        <f t="shared" si="8"/>
        <v>1500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45159</v>
      </c>
      <c r="D104" s="196" t="s">
        <v>23</v>
      </c>
      <c r="E104" s="222" t="s">
        <v>28</v>
      </c>
      <c r="F104" s="222">
        <v>209</v>
      </c>
      <c r="G104" s="222">
        <v>208</v>
      </c>
      <c r="H104" s="274">
        <v>1</v>
      </c>
      <c r="I104" s="197">
        <v>5000</v>
      </c>
      <c r="J104" s="268">
        <f t="shared" si="8"/>
        <v>5000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45160</v>
      </c>
      <c r="D105" s="196" t="s">
        <v>23</v>
      </c>
      <c r="E105" s="196" t="s">
        <v>28</v>
      </c>
      <c r="F105" s="222">
        <v>212</v>
      </c>
      <c r="G105" s="222">
        <v>211.6</v>
      </c>
      <c r="H105" s="222">
        <f>212-211.6</f>
        <v>0.40000000000000568</v>
      </c>
      <c r="I105" s="197">
        <v>5000</v>
      </c>
      <c r="J105" s="268">
        <f t="shared" si="8"/>
        <v>2000.0000000000284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45161</v>
      </c>
      <c r="D106" s="196" t="s">
        <v>23</v>
      </c>
      <c r="E106" s="196" t="s">
        <v>28</v>
      </c>
      <c r="F106" s="222">
        <v>212</v>
      </c>
      <c r="G106" s="274">
        <v>211.5</v>
      </c>
      <c r="H106" s="274">
        <v>0.5</v>
      </c>
      <c r="I106" s="197">
        <v>5000</v>
      </c>
      <c r="J106" s="268">
        <f t="shared" si="8"/>
        <v>2500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45162</v>
      </c>
      <c r="D107" s="196" t="s">
        <v>23</v>
      </c>
      <c r="E107" s="196" t="s">
        <v>28</v>
      </c>
      <c r="F107" s="222">
        <v>213</v>
      </c>
      <c r="G107" s="222">
        <v>212.6</v>
      </c>
      <c r="H107" s="274">
        <f>213-212.6</f>
        <v>0.40000000000000568</v>
      </c>
      <c r="I107" s="197">
        <v>5000</v>
      </c>
      <c r="J107" s="268">
        <f t="shared" si="8"/>
        <v>2000.0000000000284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45163</v>
      </c>
      <c r="D108" s="196" t="s">
        <v>23</v>
      </c>
      <c r="E108" s="196" t="s">
        <v>28</v>
      </c>
      <c r="F108" s="222">
        <v>216</v>
      </c>
      <c r="G108" s="222">
        <v>215.55</v>
      </c>
      <c r="H108" s="274">
        <f>216-215.55</f>
        <v>0.44999999999998863</v>
      </c>
      <c r="I108" s="197">
        <v>5000</v>
      </c>
      <c r="J108" s="268">
        <f t="shared" si="8"/>
        <v>2249.9999999999432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45167</v>
      </c>
      <c r="D109" s="196" t="s">
        <v>23</v>
      </c>
      <c r="E109" s="196" t="s">
        <v>28</v>
      </c>
      <c r="F109" s="222">
        <v>217.5</v>
      </c>
      <c r="G109" s="222">
        <v>217</v>
      </c>
      <c r="H109" s="274">
        <v>0.5</v>
      </c>
      <c r="I109" s="197">
        <v>5000</v>
      </c>
      <c r="J109" s="268">
        <f t="shared" si="8"/>
        <v>2500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>
        <v>45168</v>
      </c>
      <c r="D110" s="196" t="s">
        <v>23</v>
      </c>
      <c r="E110" s="222" t="s">
        <v>28</v>
      </c>
      <c r="F110" s="222">
        <v>218.5</v>
      </c>
      <c r="G110" s="222">
        <v>217.5</v>
      </c>
      <c r="H110" s="274">
        <v>1</v>
      </c>
      <c r="I110" s="197">
        <v>5000</v>
      </c>
      <c r="J110" s="268">
        <f t="shared" si="8"/>
        <v>5000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>
        <v>45169</v>
      </c>
      <c r="D111" s="196" t="s">
        <v>23</v>
      </c>
      <c r="E111" s="222" t="s">
        <v>28</v>
      </c>
      <c r="F111" s="222">
        <v>217</v>
      </c>
      <c r="G111" s="222">
        <v>218</v>
      </c>
      <c r="H111" s="274">
        <v>-1</v>
      </c>
      <c r="I111" s="197">
        <v>5000</v>
      </c>
      <c r="J111" s="268">
        <f t="shared" si="8"/>
        <v>-5000</v>
      </c>
      <c r="K111" s="185"/>
      <c r="V111" s="183">
        <f>IF($J111&gt;0,1,0)</f>
        <v>0</v>
      </c>
      <c r="W111" s="183">
        <f>IF($J111&lt;0,1,0)</f>
        <v>1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16" t="s">
        <v>879</v>
      </c>
      <c r="C114" s="317"/>
      <c r="D114" s="317"/>
      <c r="E114" s="317"/>
      <c r="F114" s="317"/>
      <c r="G114" s="317"/>
      <c r="H114" s="318"/>
      <c r="I114" s="212" t="s">
        <v>880</v>
      </c>
      <c r="J114" s="213">
        <f>SUM(J91:J113)</f>
        <v>53750</v>
      </c>
      <c r="K114" s="185"/>
      <c r="V114" s="183">
        <f>SUM(V91:V113)</f>
        <v>16</v>
      </c>
      <c r="W114" s="183">
        <f>SUM(W91:W113)</f>
        <v>5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  <c r="L115" s="183" t="s">
        <v>926</v>
      </c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07" t="s">
        <v>873</v>
      </c>
      <c r="C118" s="308"/>
      <c r="D118" s="308"/>
      <c r="E118" s="308"/>
      <c r="F118" s="308"/>
      <c r="G118" s="308"/>
      <c r="H118" s="308"/>
      <c r="I118" s="308"/>
      <c r="J118" s="309"/>
      <c r="K118" s="185"/>
    </row>
    <row r="119" spans="1:23" ht="16.2" thickBot="1" x14ac:dyDescent="0.35">
      <c r="A119" s="184"/>
      <c r="B119" s="310">
        <v>45139</v>
      </c>
      <c r="C119" s="311"/>
      <c r="D119" s="311"/>
      <c r="E119" s="311"/>
      <c r="F119" s="311"/>
      <c r="G119" s="311"/>
      <c r="H119" s="311"/>
      <c r="I119" s="311"/>
      <c r="J119" s="312"/>
      <c r="K119" s="185"/>
    </row>
    <row r="120" spans="1:23" ht="16.2" thickBot="1" x14ac:dyDescent="0.35">
      <c r="A120" s="184"/>
      <c r="B120" s="313" t="s">
        <v>905</v>
      </c>
      <c r="C120" s="314"/>
      <c r="D120" s="314"/>
      <c r="E120" s="314"/>
      <c r="F120" s="314"/>
      <c r="G120" s="314"/>
      <c r="H120" s="314"/>
      <c r="I120" s="314"/>
      <c r="J120" s="315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45139</v>
      </c>
      <c r="D122" s="216" t="s">
        <v>16</v>
      </c>
      <c r="E122" s="256" t="s">
        <v>914</v>
      </c>
      <c r="F122" s="256">
        <v>185</v>
      </c>
      <c r="G122" s="256">
        <v>192</v>
      </c>
      <c r="H122" s="256">
        <f>192-185</f>
        <v>7</v>
      </c>
      <c r="I122" s="218">
        <v>100</v>
      </c>
      <c r="J122" s="273">
        <f>I122*H122</f>
        <v>700</v>
      </c>
      <c r="K122" s="185"/>
      <c r="V122" s="183">
        <f>IF($J122&gt;0,1,0)</f>
        <v>1</v>
      </c>
      <c r="W122" s="183">
        <f>IF($J122&lt;0,1,0)</f>
        <v>0</v>
      </c>
    </row>
    <row r="123" spans="1:23" x14ac:dyDescent="0.3">
      <c r="A123" s="184"/>
      <c r="B123" s="194">
        <v>2</v>
      </c>
      <c r="C123" s="195">
        <v>45140</v>
      </c>
      <c r="D123" s="196" t="s">
        <v>16</v>
      </c>
      <c r="E123" s="222" t="s">
        <v>914</v>
      </c>
      <c r="F123" s="222">
        <v>155</v>
      </c>
      <c r="G123" s="222">
        <v>188</v>
      </c>
      <c r="H123" s="222">
        <f>188-155</f>
        <v>33</v>
      </c>
      <c r="I123" s="218">
        <v>100</v>
      </c>
      <c r="J123" s="268">
        <f t="shared" ref="J123:J142" si="11">I123*H123</f>
        <v>3300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45141</v>
      </c>
      <c r="D124" s="196" t="s">
        <v>16</v>
      </c>
      <c r="E124" s="222" t="s">
        <v>912</v>
      </c>
      <c r="F124" s="222">
        <v>186</v>
      </c>
      <c r="G124" s="222">
        <v>166</v>
      </c>
      <c r="H124" s="222">
        <v>-20</v>
      </c>
      <c r="I124" s="218">
        <v>100</v>
      </c>
      <c r="J124" s="268">
        <f t="shared" si="11"/>
        <v>-2000</v>
      </c>
      <c r="K124" s="185"/>
      <c r="M124" s="183" t="s">
        <v>870</v>
      </c>
      <c r="V124" s="183">
        <f t="shared" si="12"/>
        <v>0</v>
      </c>
      <c r="W124" s="183">
        <f t="shared" si="13"/>
        <v>1</v>
      </c>
    </row>
    <row r="125" spans="1:23" x14ac:dyDescent="0.3">
      <c r="A125" s="184"/>
      <c r="B125" s="194">
        <v>4</v>
      </c>
      <c r="C125" s="195">
        <v>45142</v>
      </c>
      <c r="D125" s="196" t="s">
        <v>16</v>
      </c>
      <c r="E125" s="222" t="s">
        <v>922</v>
      </c>
      <c r="F125" s="222">
        <v>220</v>
      </c>
      <c r="G125" s="222">
        <v>240</v>
      </c>
      <c r="H125" s="222">
        <v>20</v>
      </c>
      <c r="I125" s="218">
        <v>100</v>
      </c>
      <c r="J125" s="268">
        <f t="shared" si="11"/>
        <v>2000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45145</v>
      </c>
      <c r="D126" s="196" t="s">
        <v>16</v>
      </c>
      <c r="E126" s="222" t="s">
        <v>927</v>
      </c>
      <c r="F126" s="222">
        <v>190</v>
      </c>
      <c r="G126" s="222">
        <v>200</v>
      </c>
      <c r="H126" s="222">
        <f>200-190</f>
        <v>10</v>
      </c>
      <c r="I126" s="218">
        <v>100</v>
      </c>
      <c r="J126" s="268">
        <f t="shared" si="11"/>
        <v>1000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45146</v>
      </c>
      <c r="D127" s="196" t="s">
        <v>16</v>
      </c>
      <c r="E127" s="222" t="s">
        <v>928</v>
      </c>
      <c r="F127" s="222">
        <v>160</v>
      </c>
      <c r="G127" s="222">
        <v>200</v>
      </c>
      <c r="H127" s="222">
        <f>200-160</f>
        <v>40</v>
      </c>
      <c r="I127" s="218">
        <v>100</v>
      </c>
      <c r="J127" s="268">
        <f t="shared" si="11"/>
        <v>4000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45147</v>
      </c>
      <c r="D128" s="196" t="s">
        <v>16</v>
      </c>
      <c r="E128" s="222" t="s">
        <v>929</v>
      </c>
      <c r="F128" s="222">
        <v>195</v>
      </c>
      <c r="G128" s="222">
        <v>225</v>
      </c>
      <c r="H128" s="274">
        <f>225-195</f>
        <v>30</v>
      </c>
      <c r="I128" s="218">
        <v>100</v>
      </c>
      <c r="J128" s="268">
        <f t="shared" si="11"/>
        <v>3000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45148</v>
      </c>
      <c r="D129" s="196" t="s">
        <v>16</v>
      </c>
      <c r="E129" s="222" t="s">
        <v>930</v>
      </c>
      <c r="F129" s="222">
        <v>195</v>
      </c>
      <c r="G129" s="222">
        <v>211</v>
      </c>
      <c r="H129" s="222">
        <f>211-195</f>
        <v>16</v>
      </c>
      <c r="I129" s="218">
        <v>100</v>
      </c>
      <c r="J129" s="268">
        <f t="shared" si="11"/>
        <v>1600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45149</v>
      </c>
      <c r="D130" s="196" t="s">
        <v>16</v>
      </c>
      <c r="E130" s="222" t="s">
        <v>931</v>
      </c>
      <c r="F130" s="222">
        <v>190</v>
      </c>
      <c r="G130" s="222">
        <v>230</v>
      </c>
      <c r="H130" s="222">
        <f>230-190</f>
        <v>40</v>
      </c>
      <c r="I130" s="218">
        <v>100</v>
      </c>
      <c r="J130" s="268">
        <f t="shared" si="11"/>
        <v>4000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45152</v>
      </c>
      <c r="D131" s="196" t="s">
        <v>16</v>
      </c>
      <c r="E131" s="222" t="s">
        <v>931</v>
      </c>
      <c r="F131" s="222">
        <v>170</v>
      </c>
      <c r="G131" s="222">
        <v>200</v>
      </c>
      <c r="H131" s="222">
        <v>30</v>
      </c>
      <c r="I131" s="218">
        <v>100</v>
      </c>
      <c r="J131" s="268">
        <f t="shared" si="11"/>
        <v>3000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45154</v>
      </c>
      <c r="D132" s="196" t="s">
        <v>16</v>
      </c>
      <c r="E132" s="222" t="s">
        <v>922</v>
      </c>
      <c r="F132" s="222">
        <v>186</v>
      </c>
      <c r="G132" s="222">
        <v>226</v>
      </c>
      <c r="H132" s="274">
        <f>226-186</f>
        <v>40</v>
      </c>
      <c r="I132" s="218">
        <v>100</v>
      </c>
      <c r="J132" s="268">
        <f t="shared" si="11"/>
        <v>4000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45155</v>
      </c>
      <c r="D133" s="196" t="s">
        <v>16</v>
      </c>
      <c r="E133" s="222" t="s">
        <v>928</v>
      </c>
      <c r="F133" s="222">
        <v>155</v>
      </c>
      <c r="G133" s="222">
        <v>135</v>
      </c>
      <c r="H133" s="274">
        <v>-20</v>
      </c>
      <c r="I133" s="218">
        <v>100</v>
      </c>
      <c r="J133" s="268">
        <f t="shared" si="11"/>
        <v>-2000</v>
      </c>
      <c r="K133" s="185"/>
      <c r="V133" s="183">
        <f t="shared" si="12"/>
        <v>0</v>
      </c>
      <c r="W133" s="183">
        <f t="shared" si="13"/>
        <v>1</v>
      </c>
    </row>
    <row r="134" spans="1:23" x14ac:dyDescent="0.3">
      <c r="A134" s="184"/>
      <c r="B134" s="194">
        <v>13</v>
      </c>
      <c r="C134" s="195">
        <v>45156</v>
      </c>
      <c r="D134" s="196" t="s">
        <v>16</v>
      </c>
      <c r="E134" s="222" t="s">
        <v>912</v>
      </c>
      <c r="F134" s="222">
        <v>224</v>
      </c>
      <c r="G134" s="222">
        <v>244</v>
      </c>
      <c r="H134" s="274">
        <v>20</v>
      </c>
      <c r="I134" s="218">
        <v>100</v>
      </c>
      <c r="J134" s="268">
        <f t="shared" si="11"/>
        <v>2000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45159</v>
      </c>
      <c r="D135" s="196" t="s">
        <v>16</v>
      </c>
      <c r="E135" s="222" t="s">
        <v>914</v>
      </c>
      <c r="F135" s="222">
        <v>190</v>
      </c>
      <c r="G135" s="222">
        <v>230</v>
      </c>
      <c r="H135" s="274">
        <f>230-190</f>
        <v>40</v>
      </c>
      <c r="I135" s="218">
        <v>100</v>
      </c>
      <c r="J135" s="268">
        <f t="shared" si="11"/>
        <v>4000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45160</v>
      </c>
      <c r="D136" s="196" t="s">
        <v>16</v>
      </c>
      <c r="E136" s="196" t="s">
        <v>912</v>
      </c>
      <c r="F136" s="222">
        <v>200</v>
      </c>
      <c r="G136" s="222">
        <v>210</v>
      </c>
      <c r="H136" s="222">
        <v>10</v>
      </c>
      <c r="I136" s="218">
        <v>100</v>
      </c>
      <c r="J136" s="268">
        <f t="shared" si="11"/>
        <v>1000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45161</v>
      </c>
      <c r="D137" s="196" t="s">
        <v>16</v>
      </c>
      <c r="E137" s="196" t="s">
        <v>913</v>
      </c>
      <c r="F137" s="222">
        <v>195</v>
      </c>
      <c r="G137" s="274">
        <v>215</v>
      </c>
      <c r="H137" s="274">
        <f>215-195</f>
        <v>20</v>
      </c>
      <c r="I137" s="218">
        <v>100</v>
      </c>
      <c r="J137" s="268">
        <f t="shared" si="11"/>
        <v>2000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45162</v>
      </c>
      <c r="D138" s="196" t="s">
        <v>16</v>
      </c>
      <c r="E138" s="196" t="s">
        <v>913</v>
      </c>
      <c r="F138" s="222">
        <v>181</v>
      </c>
      <c r="G138" s="222">
        <v>198</v>
      </c>
      <c r="H138" s="274">
        <f>198-181</f>
        <v>17</v>
      </c>
      <c r="I138" s="218">
        <v>100</v>
      </c>
      <c r="J138" s="268">
        <f t="shared" si="11"/>
        <v>1700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>
        <v>45163</v>
      </c>
      <c r="D139" s="196" t="s">
        <v>16</v>
      </c>
      <c r="E139" s="196" t="s">
        <v>912</v>
      </c>
      <c r="F139" s="222">
        <v>192</v>
      </c>
      <c r="G139" s="222">
        <v>198</v>
      </c>
      <c r="H139" s="274">
        <v>6</v>
      </c>
      <c r="I139" s="218">
        <v>100</v>
      </c>
      <c r="J139" s="268">
        <f t="shared" si="11"/>
        <v>600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19</v>
      </c>
      <c r="C140" s="195">
        <v>45166</v>
      </c>
      <c r="D140" s="196" t="s">
        <v>16</v>
      </c>
      <c r="E140" s="196" t="s">
        <v>912</v>
      </c>
      <c r="F140" s="222">
        <v>182</v>
      </c>
      <c r="G140" s="222">
        <v>194</v>
      </c>
      <c r="H140" s="274">
        <f>194-182</f>
        <v>12</v>
      </c>
      <c r="I140" s="218">
        <v>100</v>
      </c>
      <c r="J140" s="268">
        <f t="shared" si="11"/>
        <v>1200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45167</v>
      </c>
      <c r="D141" s="196" t="s">
        <v>16</v>
      </c>
      <c r="E141" s="222" t="s">
        <v>912</v>
      </c>
      <c r="F141" s="222">
        <v>155</v>
      </c>
      <c r="G141" s="222">
        <v>165</v>
      </c>
      <c r="H141" s="274">
        <v>10</v>
      </c>
      <c r="I141" s="218">
        <v>100</v>
      </c>
      <c r="J141" s="268">
        <f t="shared" si="11"/>
        <v>1000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>
        <v>45168</v>
      </c>
      <c r="D142" s="196" t="s">
        <v>16</v>
      </c>
      <c r="E142" s="222" t="s">
        <v>914</v>
      </c>
      <c r="F142" s="222">
        <v>153</v>
      </c>
      <c r="G142" s="222">
        <v>169</v>
      </c>
      <c r="H142" s="274">
        <f>169-153</f>
        <v>16</v>
      </c>
      <c r="I142" s="218">
        <v>100</v>
      </c>
      <c r="J142" s="268">
        <f t="shared" si="11"/>
        <v>1600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22</v>
      </c>
      <c r="C143" s="195">
        <v>45169</v>
      </c>
      <c r="D143" s="196" t="s">
        <v>16</v>
      </c>
      <c r="E143" s="222" t="s">
        <v>928</v>
      </c>
      <c r="F143" s="222">
        <v>175</v>
      </c>
      <c r="G143" s="222">
        <v>155</v>
      </c>
      <c r="H143" s="222">
        <v>-20</v>
      </c>
      <c r="I143" s="218">
        <v>100</v>
      </c>
      <c r="J143" s="268">
        <f>I143*H143</f>
        <v>-2000</v>
      </c>
      <c r="K143" s="185"/>
      <c r="V143" s="183">
        <f t="shared" si="12"/>
        <v>0</v>
      </c>
      <c r="W143" s="183">
        <f t="shared" si="13"/>
        <v>1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04" t="s">
        <v>879</v>
      </c>
      <c r="C145" s="305"/>
      <c r="D145" s="305"/>
      <c r="E145" s="305"/>
      <c r="F145" s="305"/>
      <c r="G145" s="305"/>
      <c r="H145" s="306"/>
      <c r="I145" s="203" t="s">
        <v>880</v>
      </c>
      <c r="J145" s="204">
        <f>SUM(J122:J144)</f>
        <v>35700</v>
      </c>
      <c r="K145" s="185"/>
      <c r="V145" s="183">
        <f>SUM(V122:V144)</f>
        <v>19</v>
      </c>
      <c r="W145" s="183">
        <f>SUM(W122:W144)</f>
        <v>3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</mergeCells>
  <hyperlinks>
    <hyperlink ref="B52" r:id="rId1" xr:uid="{00000000-0004-0000-8000-000000000000}"/>
    <hyperlink ref="B83" r:id="rId2" xr:uid="{00000000-0004-0000-8000-000001000000}"/>
    <hyperlink ref="M4:M5" location="'JULY 2023'!A1" display="BULLION" xr:uid="{00000000-0004-0000-8000-000002000000}"/>
    <hyperlink ref="B114" r:id="rId3" xr:uid="{00000000-0004-0000-8000-000003000000}"/>
    <hyperlink ref="M8:M9" location="'JULY 2023'!A86" display="BASE METAL" xr:uid="{00000000-0004-0000-8000-000004000000}"/>
    <hyperlink ref="M1" location="MASTER!A1" display="Back" xr:uid="{00000000-0004-0000-8000-000005000000}"/>
    <hyperlink ref="M6:M7" location="'JULY 2023'!A55" display="ENERGY" xr:uid="{00000000-0004-0000-8000-000006000000}"/>
    <hyperlink ref="B145" r:id="rId4" xr:uid="{00000000-0004-0000-8000-000007000000}"/>
    <hyperlink ref="M10:M11" location="'JULY 2023'!A117" display="CRUDEOIL OPTION" xr:uid="{00000000-0004-0000-8000-000008000000}"/>
  </hyperlinks>
  <pageMargins left="0" right="0" top="0" bottom="0" header="0" footer="0"/>
  <pageSetup paperSize="9" orientation="portrait" r:id="rId5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79"/>
  <sheetViews>
    <sheetView workbookViewId="0">
      <selection activeCell="E18" sqref="E18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126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41317</v>
      </c>
      <c r="C5" s="24" t="s">
        <v>23</v>
      </c>
      <c r="D5" s="22" t="s">
        <v>24</v>
      </c>
      <c r="E5" s="29">
        <v>29100</v>
      </c>
      <c r="F5" s="29">
        <v>29000</v>
      </c>
      <c r="G5" s="29">
        <v>100</v>
      </c>
      <c r="H5" s="29">
        <v>1000</v>
      </c>
      <c r="I5" s="20"/>
    </row>
    <row r="6" spans="1:10" x14ac:dyDescent="0.3">
      <c r="A6" s="20"/>
      <c r="B6" s="35">
        <v>41345</v>
      </c>
      <c r="C6" s="24" t="s">
        <v>16</v>
      </c>
      <c r="D6" s="22" t="s">
        <v>24</v>
      </c>
      <c r="E6" s="29">
        <v>28740</v>
      </c>
      <c r="F6" s="29">
        <v>28845</v>
      </c>
      <c r="G6" s="29">
        <v>100</v>
      </c>
      <c r="H6" s="29">
        <v>10500</v>
      </c>
      <c r="I6" s="20"/>
    </row>
    <row r="7" spans="1:10" x14ac:dyDescent="0.3">
      <c r="A7" s="20"/>
      <c r="B7" s="35">
        <v>41376</v>
      </c>
      <c r="C7" s="24" t="s">
        <v>16</v>
      </c>
      <c r="D7" s="22" t="s">
        <v>24</v>
      </c>
      <c r="E7" s="29">
        <v>29040</v>
      </c>
      <c r="F7" s="29">
        <v>29160</v>
      </c>
      <c r="G7" s="29">
        <v>100</v>
      </c>
      <c r="H7" s="29">
        <v>12000</v>
      </c>
      <c r="I7" s="20"/>
    </row>
    <row r="8" spans="1:10" x14ac:dyDescent="0.3">
      <c r="A8" s="20"/>
      <c r="B8" s="35">
        <v>41406</v>
      </c>
      <c r="C8" s="24" t="s">
        <v>23</v>
      </c>
      <c r="D8" s="22" t="s">
        <v>24</v>
      </c>
      <c r="E8" s="29">
        <v>29400</v>
      </c>
      <c r="F8" s="29">
        <v>29250</v>
      </c>
      <c r="G8" s="29">
        <v>100</v>
      </c>
      <c r="H8" s="29">
        <v>15000</v>
      </c>
      <c r="I8" s="20"/>
    </row>
    <row r="9" spans="1:10" x14ac:dyDescent="0.3">
      <c r="A9" s="20"/>
      <c r="B9" s="35">
        <v>41437</v>
      </c>
      <c r="C9" s="24" t="s">
        <v>23</v>
      </c>
      <c r="D9" s="22" t="s">
        <v>24</v>
      </c>
      <c r="E9" s="29">
        <v>29100</v>
      </c>
      <c r="F9" s="29">
        <v>29030</v>
      </c>
      <c r="G9" s="29">
        <v>100</v>
      </c>
      <c r="H9" s="29">
        <v>7000</v>
      </c>
      <c r="I9" s="20"/>
    </row>
    <row r="10" spans="1:10" x14ac:dyDescent="0.3">
      <c r="A10" s="20"/>
      <c r="B10" s="35">
        <v>41529</v>
      </c>
      <c r="C10" s="24" t="s">
        <v>16</v>
      </c>
      <c r="D10" s="22" t="s">
        <v>24</v>
      </c>
      <c r="E10" s="29">
        <v>28880</v>
      </c>
      <c r="F10" s="29">
        <v>28950</v>
      </c>
      <c r="G10" s="29">
        <v>100</v>
      </c>
      <c r="H10" s="29">
        <v>7000</v>
      </c>
      <c r="I10" s="20"/>
    </row>
    <row r="11" spans="1:10" x14ac:dyDescent="0.3">
      <c r="A11" s="20"/>
      <c r="B11" s="35">
        <v>41559</v>
      </c>
      <c r="C11" s="24" t="s">
        <v>16</v>
      </c>
      <c r="D11" s="22" t="s">
        <v>24</v>
      </c>
      <c r="E11" s="29">
        <v>29270</v>
      </c>
      <c r="F11" s="29">
        <v>29370</v>
      </c>
      <c r="G11" s="29">
        <v>100</v>
      </c>
      <c r="H11" s="29">
        <v>10000</v>
      </c>
      <c r="I11" s="20"/>
    </row>
    <row r="12" spans="1:10" x14ac:dyDescent="0.3">
      <c r="A12" s="20"/>
      <c r="B12" s="35">
        <v>41590</v>
      </c>
      <c r="C12" s="24" t="s">
        <v>23</v>
      </c>
      <c r="D12" s="26" t="s">
        <v>22</v>
      </c>
      <c r="E12" s="29">
        <v>45555</v>
      </c>
      <c r="F12" s="29">
        <v>45285</v>
      </c>
      <c r="G12" s="29">
        <v>30</v>
      </c>
      <c r="H12" s="29">
        <v>8100</v>
      </c>
      <c r="I12" s="20"/>
    </row>
    <row r="13" spans="1:10" x14ac:dyDescent="0.3">
      <c r="A13" s="20"/>
      <c r="B13" s="35">
        <v>41620</v>
      </c>
      <c r="C13" s="24" t="s">
        <v>16</v>
      </c>
      <c r="D13" s="22" t="s">
        <v>24</v>
      </c>
      <c r="E13" s="29">
        <v>29465</v>
      </c>
      <c r="F13" s="29">
        <v>29385</v>
      </c>
      <c r="G13" s="29">
        <v>100</v>
      </c>
      <c r="H13" s="29">
        <v>-8000</v>
      </c>
      <c r="I13" s="20"/>
    </row>
    <row r="14" spans="1:10" x14ac:dyDescent="0.3">
      <c r="A14" s="20"/>
      <c r="B14" s="35" t="s">
        <v>95</v>
      </c>
      <c r="C14" s="24" t="s">
        <v>16</v>
      </c>
      <c r="D14" s="26" t="s">
        <v>24</v>
      </c>
      <c r="E14" s="29">
        <v>29245</v>
      </c>
      <c r="F14" s="29">
        <v>29195</v>
      </c>
      <c r="G14" s="29">
        <v>100</v>
      </c>
      <c r="H14" s="29">
        <v>-5000</v>
      </c>
      <c r="I14" s="20"/>
    </row>
    <row r="15" spans="1:10" x14ac:dyDescent="0.3">
      <c r="A15" s="20"/>
      <c r="B15" s="35" t="s">
        <v>96</v>
      </c>
      <c r="C15" s="24" t="s">
        <v>16</v>
      </c>
      <c r="D15" s="24" t="s">
        <v>24</v>
      </c>
      <c r="E15" s="36">
        <v>28775</v>
      </c>
      <c r="F15" s="36">
        <v>29875</v>
      </c>
      <c r="G15" s="36">
        <v>100</v>
      </c>
      <c r="H15" s="29">
        <v>10000</v>
      </c>
      <c r="I15" s="20"/>
    </row>
    <row r="16" spans="1:10" x14ac:dyDescent="0.3">
      <c r="A16" s="20"/>
      <c r="B16" s="35" t="s">
        <v>97</v>
      </c>
      <c r="C16" s="24" t="s">
        <v>23</v>
      </c>
      <c r="D16" s="26" t="s">
        <v>24</v>
      </c>
      <c r="E16" s="29">
        <v>28840</v>
      </c>
      <c r="F16" s="29">
        <v>28715</v>
      </c>
      <c r="G16" s="29">
        <v>100</v>
      </c>
      <c r="H16" s="29">
        <v>12500</v>
      </c>
      <c r="I16" s="20"/>
    </row>
    <row r="17" spans="1:9" x14ac:dyDescent="0.3">
      <c r="A17" s="20"/>
      <c r="B17" s="35" t="s">
        <v>98</v>
      </c>
      <c r="C17" s="24" t="s">
        <v>16</v>
      </c>
      <c r="D17" s="26" t="s">
        <v>24</v>
      </c>
      <c r="E17" s="29">
        <v>28725</v>
      </c>
      <c r="F17" s="29">
        <v>28650</v>
      </c>
      <c r="G17" s="29">
        <v>100</v>
      </c>
      <c r="H17" s="29">
        <v>-7500</v>
      </c>
      <c r="I17" s="20"/>
    </row>
    <row r="18" spans="1:9" x14ac:dyDescent="0.3">
      <c r="A18" s="20"/>
      <c r="B18" s="35" t="s">
        <v>99</v>
      </c>
      <c r="C18" s="24" t="s">
        <v>23</v>
      </c>
      <c r="D18" s="26" t="s">
        <v>22</v>
      </c>
      <c r="E18" s="29">
        <v>43850</v>
      </c>
      <c r="F18" s="29">
        <v>43600</v>
      </c>
      <c r="G18" s="29">
        <v>30</v>
      </c>
      <c r="H18" s="29">
        <v>7500</v>
      </c>
      <c r="I18" s="20"/>
    </row>
    <row r="19" spans="1:9" x14ac:dyDescent="0.3">
      <c r="A19" s="20"/>
      <c r="B19" s="35" t="s">
        <v>100</v>
      </c>
      <c r="C19" s="24" t="s">
        <v>23</v>
      </c>
      <c r="D19" s="26" t="s">
        <v>24</v>
      </c>
      <c r="E19" s="29">
        <v>28530</v>
      </c>
      <c r="F19" s="29">
        <v>29430</v>
      </c>
      <c r="G19" s="29">
        <v>100</v>
      </c>
      <c r="H19" s="29">
        <v>10000</v>
      </c>
      <c r="I19" s="20"/>
    </row>
    <row r="20" spans="1:9" x14ac:dyDescent="0.3">
      <c r="A20" s="20"/>
      <c r="B20" s="35" t="s">
        <v>101</v>
      </c>
      <c r="C20" s="24" t="s">
        <v>23</v>
      </c>
      <c r="D20" s="26" t="s">
        <v>24</v>
      </c>
      <c r="E20" s="29">
        <v>28340</v>
      </c>
      <c r="F20" s="29">
        <v>28390</v>
      </c>
      <c r="G20" s="29">
        <v>100</v>
      </c>
      <c r="H20" s="29">
        <v>-5000</v>
      </c>
      <c r="I20" s="20"/>
    </row>
    <row r="21" spans="1:9" x14ac:dyDescent="0.3">
      <c r="A21" s="20"/>
      <c r="B21" s="35" t="s">
        <v>102</v>
      </c>
      <c r="C21" s="24" t="s">
        <v>23</v>
      </c>
      <c r="D21" s="26" t="s">
        <v>24</v>
      </c>
      <c r="E21" s="29">
        <v>28620</v>
      </c>
      <c r="F21" s="29">
        <v>28600</v>
      </c>
      <c r="G21" s="29">
        <v>100</v>
      </c>
      <c r="H21" s="29">
        <v>2000</v>
      </c>
      <c r="I21" s="20"/>
    </row>
    <row r="22" spans="1:9" x14ac:dyDescent="0.3">
      <c r="A22" s="20"/>
      <c r="B22" s="35" t="s">
        <v>103</v>
      </c>
      <c r="C22" s="24" t="s">
        <v>23</v>
      </c>
      <c r="D22" s="26" t="s">
        <v>24</v>
      </c>
      <c r="E22" s="29">
        <v>28450</v>
      </c>
      <c r="F22" s="29">
        <v>28500</v>
      </c>
      <c r="G22" s="29">
        <v>100</v>
      </c>
      <c r="H22" s="29">
        <v>-5000</v>
      </c>
      <c r="I22" s="20"/>
    </row>
    <row r="23" spans="1:9" x14ac:dyDescent="0.3">
      <c r="A23" s="20"/>
      <c r="B23" s="47" t="s">
        <v>104</v>
      </c>
      <c r="C23" s="24" t="s">
        <v>23</v>
      </c>
      <c r="D23" s="26" t="s">
        <v>24</v>
      </c>
      <c r="E23" s="29">
        <v>28520</v>
      </c>
      <c r="F23" s="29">
        <v>28400</v>
      </c>
      <c r="G23" s="29">
        <v>100</v>
      </c>
      <c r="H23" s="29">
        <v>12000</v>
      </c>
      <c r="I23" s="20"/>
    </row>
    <row r="24" spans="1:9" x14ac:dyDescent="0.3">
      <c r="A24" s="20"/>
      <c r="B24" s="35" t="s">
        <v>105</v>
      </c>
      <c r="C24" s="24" t="s">
        <v>23</v>
      </c>
      <c r="D24" s="26" t="s">
        <v>24</v>
      </c>
      <c r="E24" s="29">
        <v>28280</v>
      </c>
      <c r="F24" s="29">
        <v>28180</v>
      </c>
      <c r="G24" s="29">
        <v>100</v>
      </c>
      <c r="H24" s="29">
        <v>10000</v>
      </c>
      <c r="I24" s="20"/>
    </row>
    <row r="25" spans="1:9" ht="15.6" x14ac:dyDescent="0.3">
      <c r="A25" s="20"/>
      <c r="B25" s="35"/>
      <c r="C25" s="45"/>
      <c r="D25" s="45"/>
      <c r="E25" s="45"/>
      <c r="F25" s="45"/>
      <c r="G25" s="45"/>
      <c r="H25" s="46">
        <v>104100</v>
      </c>
      <c r="I25" s="20"/>
    </row>
    <row r="26" spans="1:9" x14ac:dyDescent="0.3">
      <c r="A26" s="20"/>
      <c r="B26" s="35"/>
      <c r="C26" s="29"/>
      <c r="D26" s="36"/>
      <c r="E26" s="36"/>
      <c r="F26" s="29"/>
      <c r="G26" s="29"/>
      <c r="H26" s="29"/>
      <c r="I26" s="20"/>
    </row>
    <row r="27" spans="1:9" ht="15.6" x14ac:dyDescent="0.3">
      <c r="A27" s="20"/>
      <c r="B27" s="61" t="s">
        <v>130</v>
      </c>
      <c r="C27" s="62"/>
      <c r="D27" s="63"/>
      <c r="E27" s="62"/>
      <c r="F27" s="62"/>
      <c r="G27" s="62"/>
      <c r="H27" s="62"/>
      <c r="I27" s="20"/>
    </row>
    <row r="28" spans="1:9" x14ac:dyDescent="0.3">
      <c r="A28" s="20"/>
      <c r="B28" s="35">
        <v>41317</v>
      </c>
      <c r="C28" s="24" t="s">
        <v>23</v>
      </c>
      <c r="D28" s="24" t="s">
        <v>125</v>
      </c>
      <c r="E28" s="36">
        <v>5825</v>
      </c>
      <c r="F28" s="36">
        <v>5790</v>
      </c>
      <c r="G28" s="36">
        <v>100</v>
      </c>
      <c r="H28" s="29">
        <v>3500</v>
      </c>
      <c r="I28" s="20"/>
    </row>
    <row r="29" spans="1:9" x14ac:dyDescent="0.3">
      <c r="A29" s="20"/>
      <c r="B29" s="35">
        <v>41345</v>
      </c>
      <c r="C29" s="24" t="s">
        <v>23</v>
      </c>
      <c r="D29" s="24" t="s">
        <v>125</v>
      </c>
      <c r="E29" s="36">
        <v>5885</v>
      </c>
      <c r="F29" s="36">
        <v>5865</v>
      </c>
      <c r="G29" s="36">
        <v>100</v>
      </c>
      <c r="H29" s="29">
        <v>2000</v>
      </c>
      <c r="I29" s="20"/>
    </row>
    <row r="30" spans="1:9" x14ac:dyDescent="0.3">
      <c r="A30" s="20"/>
      <c r="B30" s="35">
        <v>41376</v>
      </c>
      <c r="C30" s="24" t="s">
        <v>23</v>
      </c>
      <c r="D30" s="24" t="s">
        <v>125</v>
      </c>
      <c r="E30" s="36">
        <v>6090</v>
      </c>
      <c r="F30" s="36">
        <v>6045</v>
      </c>
      <c r="G30" s="36">
        <v>100</v>
      </c>
      <c r="H30" s="29">
        <v>4500</v>
      </c>
      <c r="I30" s="20"/>
    </row>
    <row r="31" spans="1:9" x14ac:dyDescent="0.3">
      <c r="A31" s="20"/>
      <c r="B31" s="35">
        <v>41406</v>
      </c>
      <c r="C31" s="24" t="s">
        <v>23</v>
      </c>
      <c r="D31" s="24" t="s">
        <v>125</v>
      </c>
      <c r="E31" s="36">
        <v>6021</v>
      </c>
      <c r="F31" s="36">
        <v>6048</v>
      </c>
      <c r="G31" s="36">
        <v>100</v>
      </c>
      <c r="H31" s="29">
        <v>-2700</v>
      </c>
      <c r="I31" s="20"/>
    </row>
    <row r="32" spans="1:9" x14ac:dyDescent="0.3">
      <c r="A32" s="20"/>
      <c r="B32" s="35">
        <v>41437</v>
      </c>
      <c r="C32" s="24" t="s">
        <v>23</v>
      </c>
      <c r="D32" s="24" t="s">
        <v>125</v>
      </c>
      <c r="E32" s="36">
        <v>6021</v>
      </c>
      <c r="F32" s="36">
        <v>6005</v>
      </c>
      <c r="G32" s="36">
        <v>100</v>
      </c>
      <c r="H32" s="29">
        <v>1600</v>
      </c>
      <c r="I32" s="20"/>
    </row>
    <row r="33" spans="1:9" x14ac:dyDescent="0.3">
      <c r="A33" s="20"/>
      <c r="B33" s="35">
        <v>41529</v>
      </c>
      <c r="C33" s="24" t="s">
        <v>23</v>
      </c>
      <c r="D33" s="24" t="s">
        <v>125</v>
      </c>
      <c r="E33" s="36">
        <v>5975</v>
      </c>
      <c r="F33" s="36">
        <v>5950</v>
      </c>
      <c r="G33" s="36">
        <v>100</v>
      </c>
      <c r="H33" s="29">
        <v>2500</v>
      </c>
      <c r="I33" s="20"/>
    </row>
    <row r="34" spans="1:9" x14ac:dyDescent="0.3">
      <c r="A34" s="20"/>
      <c r="B34" s="35">
        <v>41559</v>
      </c>
      <c r="C34" s="24" t="s">
        <v>16</v>
      </c>
      <c r="D34" s="24" t="s">
        <v>107</v>
      </c>
      <c r="E34" s="36">
        <v>259</v>
      </c>
      <c r="F34" s="36">
        <v>262</v>
      </c>
      <c r="G34" s="36">
        <v>1250</v>
      </c>
      <c r="H34" s="29">
        <v>3750</v>
      </c>
      <c r="I34" s="20"/>
    </row>
    <row r="35" spans="1:9" x14ac:dyDescent="0.3">
      <c r="A35" s="20"/>
      <c r="B35" s="35">
        <v>41590</v>
      </c>
      <c r="C35" s="24" t="s">
        <v>23</v>
      </c>
      <c r="D35" s="24" t="s">
        <v>106</v>
      </c>
      <c r="E35" s="36">
        <v>6040</v>
      </c>
      <c r="F35" s="36">
        <v>6010</v>
      </c>
      <c r="G35" s="36">
        <v>100</v>
      </c>
      <c r="H35" s="29">
        <v>3000</v>
      </c>
      <c r="I35" s="20"/>
    </row>
    <row r="36" spans="1:9" x14ac:dyDescent="0.3">
      <c r="A36" s="20"/>
      <c r="B36" s="35">
        <v>41620</v>
      </c>
      <c r="C36" s="24" t="s">
        <v>23</v>
      </c>
      <c r="D36" s="24" t="s">
        <v>106</v>
      </c>
      <c r="E36" s="36">
        <v>6055</v>
      </c>
      <c r="F36" s="36">
        <v>6065</v>
      </c>
      <c r="G36" s="36">
        <v>100</v>
      </c>
      <c r="H36" s="29">
        <v>-1000</v>
      </c>
      <c r="I36" s="20"/>
    </row>
    <row r="37" spans="1:9" x14ac:dyDescent="0.3">
      <c r="A37" s="20"/>
      <c r="B37" s="35" t="s">
        <v>94</v>
      </c>
      <c r="C37" s="24" t="s">
        <v>23</v>
      </c>
      <c r="D37" s="24" t="s">
        <v>106</v>
      </c>
      <c r="E37" s="36">
        <v>6060</v>
      </c>
      <c r="F37" s="36">
        <v>6000</v>
      </c>
      <c r="G37" s="36">
        <v>100</v>
      </c>
      <c r="H37" s="29">
        <v>6000</v>
      </c>
      <c r="I37" s="20"/>
    </row>
    <row r="38" spans="1:9" x14ac:dyDescent="0.3">
      <c r="A38" s="20"/>
      <c r="B38" s="35" t="s">
        <v>95</v>
      </c>
      <c r="C38" s="24" t="s">
        <v>23</v>
      </c>
      <c r="D38" s="24" t="s">
        <v>106</v>
      </c>
      <c r="E38" s="36">
        <v>6016</v>
      </c>
      <c r="F38" s="36">
        <v>6000</v>
      </c>
      <c r="G38" s="36">
        <v>100</v>
      </c>
      <c r="H38" s="29">
        <v>1600</v>
      </c>
      <c r="I38" s="20"/>
    </row>
    <row r="39" spans="1:9" x14ac:dyDescent="0.3">
      <c r="A39" s="20"/>
      <c r="B39" s="35" t="s">
        <v>96</v>
      </c>
      <c r="C39" s="24" t="s">
        <v>23</v>
      </c>
      <c r="D39" s="24" t="s">
        <v>106</v>
      </c>
      <c r="E39" s="36">
        <v>6032</v>
      </c>
      <c r="F39" s="36">
        <v>6016</v>
      </c>
      <c r="G39" s="36">
        <v>100</v>
      </c>
      <c r="H39" s="29">
        <v>1600</v>
      </c>
      <c r="I39" s="20"/>
    </row>
    <row r="40" spans="1:9" x14ac:dyDescent="0.3">
      <c r="A40" s="20"/>
      <c r="B40" s="35" t="s">
        <v>97</v>
      </c>
      <c r="C40" s="24" t="s">
        <v>23</v>
      </c>
      <c r="D40" s="24" t="s">
        <v>106</v>
      </c>
      <c r="E40" s="36">
        <v>6070</v>
      </c>
      <c r="F40" s="36">
        <v>6100</v>
      </c>
      <c r="G40" s="36">
        <v>100</v>
      </c>
      <c r="H40" s="29">
        <v>-3000</v>
      </c>
      <c r="I40" s="20"/>
    </row>
    <row r="41" spans="1:9" x14ac:dyDescent="0.3">
      <c r="A41" s="20"/>
      <c r="B41" s="35" t="s">
        <v>98</v>
      </c>
      <c r="C41" s="24" t="s">
        <v>16</v>
      </c>
      <c r="D41" s="24" t="s">
        <v>106</v>
      </c>
      <c r="E41" s="36">
        <v>6145</v>
      </c>
      <c r="F41" s="36">
        <v>6185</v>
      </c>
      <c r="G41" s="36">
        <v>100</v>
      </c>
      <c r="H41" s="29">
        <v>4000</v>
      </c>
      <c r="I41" s="20"/>
    </row>
    <row r="42" spans="1:9" x14ac:dyDescent="0.3">
      <c r="A42" s="20"/>
      <c r="B42" s="35" t="s">
        <v>99</v>
      </c>
      <c r="C42" s="24" t="s">
        <v>16</v>
      </c>
      <c r="D42" s="24" t="s">
        <v>107</v>
      </c>
      <c r="E42" s="36">
        <v>277</v>
      </c>
      <c r="F42" s="36">
        <v>279</v>
      </c>
      <c r="G42" s="36">
        <v>1250</v>
      </c>
      <c r="H42" s="29">
        <v>2500</v>
      </c>
      <c r="I42" s="20"/>
    </row>
    <row r="43" spans="1:9" x14ac:dyDescent="0.3">
      <c r="A43" s="20"/>
      <c r="B43" s="35" t="s">
        <v>100</v>
      </c>
      <c r="C43" s="24" t="s">
        <v>23</v>
      </c>
      <c r="D43" s="24" t="s">
        <v>106</v>
      </c>
      <c r="E43" s="36">
        <v>6190</v>
      </c>
      <c r="F43" s="36">
        <v>6160</v>
      </c>
      <c r="G43" s="36">
        <v>100</v>
      </c>
      <c r="H43" s="40">
        <v>3000</v>
      </c>
      <c r="I43" s="20"/>
    </row>
    <row r="44" spans="1:9" x14ac:dyDescent="0.3">
      <c r="A44" s="20"/>
      <c r="B44" s="35" t="s">
        <v>101</v>
      </c>
      <c r="C44" s="24" t="s">
        <v>23</v>
      </c>
      <c r="D44" s="24" t="s">
        <v>106</v>
      </c>
      <c r="E44" s="36">
        <v>6140</v>
      </c>
      <c r="F44" s="36">
        <v>6160</v>
      </c>
      <c r="G44" s="36">
        <v>100</v>
      </c>
      <c r="H44" s="29">
        <v>-2000</v>
      </c>
      <c r="I44" s="20"/>
    </row>
    <row r="45" spans="1:9" x14ac:dyDescent="0.3">
      <c r="A45" s="20"/>
      <c r="B45" s="35" t="s">
        <v>102</v>
      </c>
      <c r="C45" s="24" t="s">
        <v>16</v>
      </c>
      <c r="D45" s="24" t="s">
        <v>106</v>
      </c>
      <c r="E45" s="36">
        <v>6190</v>
      </c>
      <c r="F45" s="36">
        <v>6210</v>
      </c>
      <c r="G45" s="36">
        <v>100</v>
      </c>
      <c r="H45" s="29">
        <v>3000</v>
      </c>
      <c r="I45" s="20"/>
    </row>
    <row r="46" spans="1:9" x14ac:dyDescent="0.3">
      <c r="A46" s="20"/>
      <c r="B46" s="35" t="s">
        <v>103</v>
      </c>
      <c r="C46" s="24" t="s">
        <v>23</v>
      </c>
      <c r="D46" s="24" t="s">
        <v>106</v>
      </c>
      <c r="E46" s="36">
        <v>6210</v>
      </c>
      <c r="F46" s="36">
        <v>6190</v>
      </c>
      <c r="G46" s="36">
        <v>100</v>
      </c>
      <c r="H46" s="29">
        <v>2000</v>
      </c>
      <c r="I46" s="20"/>
    </row>
    <row r="47" spans="1:9" x14ac:dyDescent="0.3">
      <c r="A47" s="20"/>
      <c r="B47" s="47" t="s">
        <v>104</v>
      </c>
      <c r="C47" s="24" t="s">
        <v>23</v>
      </c>
      <c r="D47" s="24" t="s">
        <v>106</v>
      </c>
      <c r="E47" s="36">
        <v>6255</v>
      </c>
      <c r="F47" s="36">
        <v>6210</v>
      </c>
      <c r="G47" s="36">
        <v>100</v>
      </c>
      <c r="H47" s="29">
        <v>4500</v>
      </c>
      <c r="I47" s="20"/>
    </row>
    <row r="48" spans="1:9" x14ac:dyDescent="0.3">
      <c r="A48" s="20"/>
      <c r="B48" s="35" t="s">
        <v>105</v>
      </c>
      <c r="C48" s="24" t="s">
        <v>23</v>
      </c>
      <c r="D48" s="24" t="s">
        <v>106</v>
      </c>
      <c r="E48" s="36">
        <v>6170</v>
      </c>
      <c r="F48" s="36">
        <v>6130</v>
      </c>
      <c r="G48" s="36">
        <v>100</v>
      </c>
      <c r="H48" s="29">
        <v>4000</v>
      </c>
      <c r="I48" s="20"/>
    </row>
    <row r="49" spans="1:9" ht="15.6" x14ac:dyDescent="0.3">
      <c r="A49" s="20"/>
      <c r="B49" s="35"/>
      <c r="C49" s="18"/>
      <c r="D49" s="18"/>
      <c r="E49" s="18"/>
      <c r="F49" s="18"/>
      <c r="G49" s="18"/>
      <c r="H49" s="46">
        <v>44350</v>
      </c>
      <c r="I49" s="20"/>
    </row>
    <row r="50" spans="1:9" x14ac:dyDescent="0.3">
      <c r="A50" s="20"/>
      <c r="B50" s="35"/>
      <c r="I50" s="20"/>
    </row>
    <row r="51" spans="1:9" ht="15.6" x14ac:dyDescent="0.3">
      <c r="A51" s="20"/>
      <c r="B51" s="61" t="s">
        <v>131</v>
      </c>
      <c r="C51" s="62"/>
      <c r="D51" s="63"/>
      <c r="E51" s="62"/>
      <c r="F51" s="62"/>
      <c r="G51" s="62"/>
      <c r="H51" s="64"/>
      <c r="I51" s="20"/>
    </row>
    <row r="52" spans="1:9" x14ac:dyDescent="0.3">
      <c r="A52" s="20"/>
      <c r="B52" s="35">
        <v>41317</v>
      </c>
      <c r="C52" s="24" t="s">
        <v>23</v>
      </c>
      <c r="D52" s="26" t="s">
        <v>29</v>
      </c>
      <c r="E52" s="29">
        <v>448</v>
      </c>
      <c r="F52" s="29">
        <v>446</v>
      </c>
      <c r="G52" s="29">
        <v>1000</v>
      </c>
      <c r="H52" s="29">
        <v>2000</v>
      </c>
      <c r="I52" s="20"/>
    </row>
    <row r="53" spans="1:9" x14ac:dyDescent="0.3">
      <c r="A53" s="20"/>
      <c r="B53" s="35">
        <v>41345</v>
      </c>
      <c r="C53" s="24" t="s">
        <v>23</v>
      </c>
      <c r="D53" s="26" t="s">
        <v>29</v>
      </c>
      <c r="E53" s="29">
        <v>446</v>
      </c>
      <c r="F53" s="29">
        <v>444</v>
      </c>
      <c r="G53" s="29">
        <v>1000</v>
      </c>
      <c r="H53" s="29">
        <v>2000</v>
      </c>
      <c r="I53" s="20"/>
    </row>
    <row r="54" spans="1:9" x14ac:dyDescent="0.3">
      <c r="A54" s="20"/>
      <c r="B54" s="35">
        <v>41376</v>
      </c>
      <c r="C54" s="24" t="s">
        <v>16</v>
      </c>
      <c r="D54" s="24" t="s">
        <v>27</v>
      </c>
      <c r="E54" s="36">
        <v>129</v>
      </c>
      <c r="F54" s="36">
        <v>128.4</v>
      </c>
      <c r="G54" s="36">
        <v>5000</v>
      </c>
      <c r="H54" s="29">
        <v>-2999.9999999999718</v>
      </c>
      <c r="I54" s="20"/>
    </row>
    <row r="55" spans="1:9" x14ac:dyDescent="0.3">
      <c r="A55" s="20"/>
      <c r="B55" s="35">
        <v>41406</v>
      </c>
      <c r="C55" s="24" t="s">
        <v>23</v>
      </c>
      <c r="D55" s="26" t="s">
        <v>29</v>
      </c>
      <c r="E55" s="29">
        <v>448</v>
      </c>
      <c r="F55" s="29">
        <v>446</v>
      </c>
      <c r="G55" s="29">
        <v>1000</v>
      </c>
      <c r="H55" s="29">
        <v>2000</v>
      </c>
      <c r="I55" s="20"/>
    </row>
    <row r="56" spans="1:9" x14ac:dyDescent="0.3">
      <c r="A56" s="20"/>
      <c r="B56" s="35">
        <v>41529</v>
      </c>
      <c r="C56" s="24" t="s">
        <v>23</v>
      </c>
      <c r="D56" s="26" t="s">
        <v>29</v>
      </c>
      <c r="E56" s="29">
        <v>444.7</v>
      </c>
      <c r="F56" s="29">
        <v>446.8</v>
      </c>
      <c r="G56" s="29">
        <v>1000</v>
      </c>
      <c r="H56" s="29">
        <v>-2100.0000000000227</v>
      </c>
      <c r="I56" s="20"/>
    </row>
    <row r="57" spans="1:9" x14ac:dyDescent="0.3">
      <c r="A57" s="20"/>
      <c r="B57" s="35">
        <v>41559</v>
      </c>
      <c r="C57" s="24" t="s">
        <v>16</v>
      </c>
      <c r="D57" s="26" t="s">
        <v>29</v>
      </c>
      <c r="E57" s="29">
        <v>447.5</v>
      </c>
      <c r="F57" s="29">
        <v>449.5</v>
      </c>
      <c r="G57" s="29">
        <v>1000</v>
      </c>
      <c r="H57" s="29">
        <v>2000</v>
      </c>
      <c r="I57" s="20"/>
    </row>
    <row r="58" spans="1:9" x14ac:dyDescent="0.3">
      <c r="A58" s="20"/>
      <c r="B58" s="35">
        <v>41590</v>
      </c>
      <c r="C58" s="24" t="s">
        <v>16</v>
      </c>
      <c r="D58" s="24" t="s">
        <v>27</v>
      </c>
      <c r="E58" s="36">
        <v>129.9</v>
      </c>
      <c r="F58" s="36">
        <v>130.4</v>
      </c>
      <c r="G58" s="36">
        <v>5000</v>
      </c>
      <c r="H58" s="29">
        <v>2500</v>
      </c>
      <c r="I58" s="20"/>
    </row>
    <row r="59" spans="1:9" x14ac:dyDescent="0.3">
      <c r="A59" s="20"/>
      <c r="B59" s="35">
        <v>41620</v>
      </c>
      <c r="C59" s="24" t="s">
        <v>23</v>
      </c>
      <c r="D59" s="26" t="s">
        <v>28</v>
      </c>
      <c r="E59" s="29">
        <v>121.3</v>
      </c>
      <c r="F59" s="29">
        <v>121.7</v>
      </c>
      <c r="G59" s="29">
        <v>5000</v>
      </c>
      <c r="H59" s="29">
        <v>-2000.0000000000284</v>
      </c>
      <c r="I59" s="20"/>
    </row>
    <row r="60" spans="1:9" x14ac:dyDescent="0.3">
      <c r="A60" s="20"/>
      <c r="B60" s="35" t="s">
        <v>94</v>
      </c>
      <c r="C60" s="24" t="s">
        <v>23</v>
      </c>
      <c r="D60" s="24" t="s">
        <v>35</v>
      </c>
      <c r="E60" s="36">
        <v>872</v>
      </c>
      <c r="F60" s="36">
        <v>871</v>
      </c>
      <c r="G60" s="36">
        <v>250</v>
      </c>
      <c r="H60" s="29">
        <v>250</v>
      </c>
      <c r="I60" s="20"/>
    </row>
    <row r="61" spans="1:9" x14ac:dyDescent="0.3">
      <c r="A61" s="20"/>
      <c r="B61" s="35" t="s">
        <v>95</v>
      </c>
      <c r="C61" s="24" t="s">
        <v>23</v>
      </c>
      <c r="D61" s="24" t="s">
        <v>29</v>
      </c>
      <c r="E61" s="36">
        <v>460.45</v>
      </c>
      <c r="F61" s="36">
        <v>460</v>
      </c>
      <c r="G61" s="36">
        <v>1000</v>
      </c>
      <c r="H61" s="29">
        <v>449.99999999998863</v>
      </c>
      <c r="I61" s="20"/>
    </row>
    <row r="62" spans="1:9" x14ac:dyDescent="0.3">
      <c r="A62" s="20"/>
      <c r="B62" s="35" t="s">
        <v>96</v>
      </c>
      <c r="C62" s="24" t="s">
        <v>16</v>
      </c>
      <c r="D62" s="24" t="s">
        <v>35</v>
      </c>
      <c r="E62" s="36">
        <v>868</v>
      </c>
      <c r="F62" s="36">
        <v>873.6</v>
      </c>
      <c r="G62" s="36">
        <v>250</v>
      </c>
      <c r="H62" s="29">
        <v>1400.0000000000057</v>
      </c>
      <c r="I62" s="20"/>
    </row>
    <row r="63" spans="1:9" x14ac:dyDescent="0.3">
      <c r="A63" s="20"/>
      <c r="B63" s="35" t="s">
        <v>98</v>
      </c>
      <c r="C63" s="24" t="s">
        <v>23</v>
      </c>
      <c r="D63" s="24" t="s">
        <v>28</v>
      </c>
      <c r="E63" s="36">
        <v>123.3</v>
      </c>
      <c r="F63" s="36">
        <v>122.6</v>
      </c>
      <c r="G63" s="36">
        <v>5000</v>
      </c>
      <c r="H63" s="29">
        <v>3500</v>
      </c>
      <c r="I63" s="20"/>
    </row>
    <row r="64" spans="1:9" x14ac:dyDescent="0.3">
      <c r="A64" s="20"/>
      <c r="B64" s="35" t="s">
        <v>99</v>
      </c>
      <c r="C64" s="24" t="s">
        <v>16</v>
      </c>
      <c r="D64" s="24" t="s">
        <v>29</v>
      </c>
      <c r="E64" s="36">
        <v>460.5</v>
      </c>
      <c r="F64" s="36">
        <v>461.2</v>
      </c>
      <c r="G64" s="36">
        <v>1000</v>
      </c>
      <c r="H64" s="29">
        <v>699.99999999998863</v>
      </c>
      <c r="I64" s="20"/>
    </row>
    <row r="65" spans="1:9" x14ac:dyDescent="0.3">
      <c r="A65" s="20"/>
      <c r="B65" s="35" t="s">
        <v>100</v>
      </c>
      <c r="C65" s="24" t="s">
        <v>16</v>
      </c>
      <c r="D65" s="24" t="s">
        <v>27</v>
      </c>
      <c r="E65" s="36">
        <v>135.80000000000001</v>
      </c>
      <c r="F65" s="36">
        <v>136.5</v>
      </c>
      <c r="G65" s="36">
        <v>5000</v>
      </c>
      <c r="H65" s="29">
        <v>3500</v>
      </c>
      <c r="I65" s="20"/>
    </row>
    <row r="66" spans="1:9" x14ac:dyDescent="0.3">
      <c r="A66" s="20"/>
      <c r="B66" s="35" t="s">
        <v>101</v>
      </c>
      <c r="C66" s="24" t="s">
        <v>23</v>
      </c>
      <c r="D66" s="24" t="s">
        <v>28</v>
      </c>
      <c r="E66" s="36">
        <v>128</v>
      </c>
      <c r="F66" s="36">
        <v>128.6</v>
      </c>
      <c r="G66" s="36">
        <v>5000</v>
      </c>
      <c r="H66" s="29">
        <v>-2999.9999999999718</v>
      </c>
      <c r="I66" s="20"/>
    </row>
    <row r="67" spans="1:9" x14ac:dyDescent="0.3">
      <c r="A67" s="20"/>
      <c r="B67" s="35" t="s">
        <v>102</v>
      </c>
      <c r="C67" s="24" t="s">
        <v>16</v>
      </c>
      <c r="D67" s="24" t="s">
        <v>29</v>
      </c>
      <c r="E67" s="36">
        <v>468</v>
      </c>
      <c r="F67" s="36">
        <v>470</v>
      </c>
      <c r="G67" s="36">
        <v>1000</v>
      </c>
      <c r="H67" s="29">
        <v>2000</v>
      </c>
      <c r="I67" s="20"/>
    </row>
    <row r="68" spans="1:9" x14ac:dyDescent="0.3">
      <c r="A68" s="20"/>
      <c r="B68" s="35" t="s">
        <v>103</v>
      </c>
      <c r="C68" s="24" t="s">
        <v>23</v>
      </c>
      <c r="D68" s="24" t="s">
        <v>29</v>
      </c>
      <c r="E68" s="36">
        <v>468</v>
      </c>
      <c r="F68" s="36">
        <v>467.8</v>
      </c>
      <c r="G68" s="36">
        <v>1000</v>
      </c>
      <c r="H68" s="29">
        <v>199.99999999998863</v>
      </c>
      <c r="I68" s="20"/>
    </row>
    <row r="69" spans="1:9" x14ac:dyDescent="0.3">
      <c r="A69" s="20"/>
      <c r="B69" s="47" t="s">
        <v>104</v>
      </c>
      <c r="C69" s="24" t="s">
        <v>23</v>
      </c>
      <c r="D69" s="24" t="s">
        <v>35</v>
      </c>
      <c r="E69" s="36">
        <v>882</v>
      </c>
      <c r="F69" s="36">
        <v>872</v>
      </c>
      <c r="G69" s="36">
        <v>250</v>
      </c>
      <c r="H69" s="29">
        <v>2500</v>
      </c>
      <c r="I69" s="20"/>
    </row>
    <row r="70" spans="1:9" x14ac:dyDescent="0.3">
      <c r="A70" s="20"/>
      <c r="B70" s="35" t="s">
        <v>105</v>
      </c>
      <c r="C70" s="24" t="s">
        <v>23</v>
      </c>
      <c r="D70" s="24" t="s">
        <v>27</v>
      </c>
      <c r="E70" s="36">
        <v>138</v>
      </c>
      <c r="F70" s="36">
        <v>137.5</v>
      </c>
      <c r="G70" s="36">
        <v>5000</v>
      </c>
      <c r="H70" s="29">
        <v>2500</v>
      </c>
      <c r="I70" s="20"/>
    </row>
    <row r="71" spans="1:9" ht="15.6" x14ac:dyDescent="0.3">
      <c r="A71" s="66"/>
      <c r="B71" s="35"/>
      <c r="C71" s="29"/>
      <c r="D71" s="36"/>
      <c r="E71" s="29"/>
      <c r="F71" s="29"/>
      <c r="G71" s="29"/>
      <c r="H71" s="56">
        <v>17400</v>
      </c>
      <c r="I71" s="67"/>
    </row>
    <row r="72" spans="1:9" x14ac:dyDescent="0.3">
      <c r="A72" s="66"/>
      <c r="B72" s="35"/>
      <c r="C72" s="29"/>
      <c r="D72" s="36"/>
      <c r="E72" s="29"/>
      <c r="F72" s="29"/>
      <c r="G72" s="29"/>
      <c r="H72" s="37"/>
      <c r="I72" s="67"/>
    </row>
    <row r="73" spans="1:9" x14ac:dyDescent="0.3">
      <c r="A73" s="66"/>
      <c r="B73" s="18"/>
      <c r="C73" s="29"/>
      <c r="D73" s="36"/>
      <c r="E73" s="29"/>
      <c r="F73" s="29"/>
      <c r="G73" s="29"/>
      <c r="H73" s="37"/>
      <c r="I73" s="67"/>
    </row>
    <row r="74" spans="1:9" x14ac:dyDescent="0.3">
      <c r="A74" s="66"/>
      <c r="B74" s="18"/>
      <c r="C74" s="18"/>
      <c r="D74" s="18"/>
      <c r="E74" s="18"/>
      <c r="F74" s="18"/>
      <c r="G74" s="18"/>
      <c r="H74" s="18"/>
      <c r="I74" s="67"/>
    </row>
    <row r="75" spans="1:9" x14ac:dyDescent="0.3">
      <c r="A75" s="66"/>
      <c r="I75" s="67"/>
    </row>
    <row r="76" spans="1:9" x14ac:dyDescent="0.3">
      <c r="A76" s="66"/>
      <c r="I76" s="67"/>
    </row>
    <row r="77" spans="1:9" x14ac:dyDescent="0.3">
      <c r="A77" s="66"/>
      <c r="I77" s="67"/>
    </row>
    <row r="78" spans="1:9" x14ac:dyDescent="0.3">
      <c r="A78" s="43"/>
      <c r="I78" s="43"/>
    </row>
    <row r="79" spans="1:9" x14ac:dyDescent="0.3">
      <c r="A79" s="43"/>
      <c r="I79" s="43"/>
    </row>
  </sheetData>
  <mergeCells count="3">
    <mergeCell ref="B1:H1"/>
    <mergeCell ref="B2:H2"/>
    <mergeCell ref="B3:H3"/>
  </mergeCells>
  <hyperlinks>
    <hyperlink ref="J2" location="MASTER!A1" display="Back" xr:uid="{00000000-0004-0000-0C00-000000000000}"/>
  </hyperlinks>
  <pageMargins left="0.7" right="0.7" top="0.75" bottom="0.75" header="0.3" footer="0.3"/>
  <pageSetup orientation="portrait" horizontalDpi="300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W147"/>
  <sheetViews>
    <sheetView topLeftCell="A28" zoomScaleNormal="100" workbookViewId="0">
      <selection activeCell="B3" sqref="B3:J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24" width="0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45170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40</v>
      </c>
      <c r="O4" s="369">
        <f>V52</f>
        <v>33</v>
      </c>
      <c r="P4" s="369">
        <f>W52</f>
        <v>7</v>
      </c>
      <c r="Q4" s="349">
        <f>N4-O4-P4</f>
        <v>0</v>
      </c>
      <c r="R4" s="343">
        <f>O4/N4</f>
        <v>0.82499999999999996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45170</v>
      </c>
      <c r="D6" s="192" t="s">
        <v>23</v>
      </c>
      <c r="E6" s="192" t="s">
        <v>24</v>
      </c>
      <c r="F6" s="193">
        <v>59500</v>
      </c>
      <c r="G6" s="193">
        <v>59600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COUNT(C60:C82)</f>
        <v>20</v>
      </c>
      <c r="O6" s="348">
        <f>V83</f>
        <v>16</v>
      </c>
      <c r="P6" s="348">
        <f>W83</f>
        <v>4</v>
      </c>
      <c r="Q6" s="349">
        <v>0</v>
      </c>
      <c r="R6" s="345">
        <f t="shared" ref="R6" si="0">O6/N6</f>
        <v>0.8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45170</v>
      </c>
      <c r="D7" s="196" t="s">
        <v>23</v>
      </c>
      <c r="E7" s="196" t="s">
        <v>22</v>
      </c>
      <c r="F7" s="197">
        <v>76200</v>
      </c>
      <c r="G7" s="197">
        <v>76500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45173</v>
      </c>
      <c r="D8" s="196" t="s">
        <v>23</v>
      </c>
      <c r="E8" s="196" t="s">
        <v>24</v>
      </c>
      <c r="F8" s="197">
        <v>59450</v>
      </c>
      <c r="G8" s="197">
        <v>59400</v>
      </c>
      <c r="H8" s="196">
        <v>50</v>
      </c>
      <c r="I8" s="197">
        <v>100</v>
      </c>
      <c r="J8" s="268">
        <f t="shared" si="1"/>
        <v>5000</v>
      </c>
      <c r="K8" s="185"/>
      <c r="M8" s="362" t="s">
        <v>877</v>
      </c>
      <c r="N8" s="347">
        <f>COUNT(C91:C114)</f>
        <v>23</v>
      </c>
      <c r="O8" s="348">
        <f>V115</f>
        <v>18</v>
      </c>
      <c r="P8" s="348">
        <f>W115</f>
        <v>5</v>
      </c>
      <c r="Q8" s="349">
        <f>N8-O8-P8</f>
        <v>0</v>
      </c>
      <c r="R8" s="345">
        <f t="shared" ref="R8" si="4">O8/N8</f>
        <v>0.78260869565217395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45173</v>
      </c>
      <c r="D9" s="196" t="s">
        <v>23</v>
      </c>
      <c r="E9" s="196" t="s">
        <v>22</v>
      </c>
      <c r="F9" s="197">
        <v>74850</v>
      </c>
      <c r="G9" s="197">
        <v>74550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45174</v>
      </c>
      <c r="D10" s="196" t="s">
        <v>23</v>
      </c>
      <c r="E10" s="196" t="s">
        <v>24</v>
      </c>
      <c r="F10" s="197">
        <v>59350</v>
      </c>
      <c r="G10" s="197">
        <v>59250</v>
      </c>
      <c r="H10" s="196">
        <v>100</v>
      </c>
      <c r="I10" s="197">
        <v>100</v>
      </c>
      <c r="J10" s="268">
        <f t="shared" si="1"/>
        <v>10000</v>
      </c>
      <c r="K10" s="185"/>
      <c r="M10" s="364" t="s">
        <v>906</v>
      </c>
      <c r="N10" s="347">
        <f>COUNT(C123:C145)</f>
        <v>20</v>
      </c>
      <c r="O10" s="348">
        <f>V146</f>
        <v>16</v>
      </c>
      <c r="P10" s="348">
        <f>W146</f>
        <v>4</v>
      </c>
      <c r="Q10" s="349">
        <f>N10-O10-P10</f>
        <v>0</v>
      </c>
      <c r="R10" s="345">
        <f>O10/N10</f>
        <v>0.8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45174</v>
      </c>
      <c r="D11" s="196" t="s">
        <v>23</v>
      </c>
      <c r="E11" s="196" t="s">
        <v>22</v>
      </c>
      <c r="F11" s="197">
        <v>73500</v>
      </c>
      <c r="G11" s="197">
        <v>73200</v>
      </c>
      <c r="H11" s="196">
        <v>300</v>
      </c>
      <c r="I11" s="197">
        <v>30</v>
      </c>
      <c r="J11" s="268">
        <f t="shared" si="1"/>
        <v>9000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45175</v>
      </c>
      <c r="D12" s="196" t="s">
        <v>23</v>
      </c>
      <c r="E12" s="196" t="s">
        <v>24</v>
      </c>
      <c r="F12" s="197">
        <v>59270</v>
      </c>
      <c r="G12" s="197">
        <v>59170</v>
      </c>
      <c r="H12" s="196">
        <v>100</v>
      </c>
      <c r="I12" s="197">
        <v>100</v>
      </c>
      <c r="J12" s="268">
        <f t="shared" si="1"/>
        <v>10000</v>
      </c>
      <c r="K12" s="185"/>
      <c r="M12" s="319" t="s">
        <v>300</v>
      </c>
      <c r="N12" s="371">
        <f>SUM(N4:N11)</f>
        <v>103</v>
      </c>
      <c r="O12" s="371">
        <f>SUM(O4:O11)</f>
        <v>83</v>
      </c>
      <c r="P12" s="371">
        <f>SUM(P4:P11)</f>
        <v>20</v>
      </c>
      <c r="Q12" s="371">
        <f>SUM(Q4:Q11)</f>
        <v>0</v>
      </c>
      <c r="R12" s="343">
        <f>O12/N12</f>
        <v>0.80582524271844658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45175</v>
      </c>
      <c r="D13" s="196" t="s">
        <v>23</v>
      </c>
      <c r="E13" s="196" t="s">
        <v>22</v>
      </c>
      <c r="F13" s="197">
        <v>73500</v>
      </c>
      <c r="G13" s="197">
        <v>73200</v>
      </c>
      <c r="H13" s="196">
        <v>300</v>
      </c>
      <c r="I13" s="197">
        <v>30</v>
      </c>
      <c r="J13" s="268">
        <f t="shared" si="1"/>
        <v>9000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45176</v>
      </c>
      <c r="D14" s="196" t="s">
        <v>23</v>
      </c>
      <c r="E14" s="196" t="s">
        <v>24</v>
      </c>
      <c r="F14" s="197">
        <v>59080</v>
      </c>
      <c r="G14" s="197">
        <v>59006</v>
      </c>
      <c r="H14" s="196">
        <v>74</v>
      </c>
      <c r="I14" s="197">
        <v>100</v>
      </c>
      <c r="J14" s="268">
        <f t="shared" si="1"/>
        <v>7400</v>
      </c>
      <c r="K14" s="185"/>
      <c r="M14" s="323" t="s">
        <v>878</v>
      </c>
      <c r="N14" s="324"/>
      <c r="O14" s="325"/>
      <c r="P14" s="332">
        <f>R12</f>
        <v>0.80582524271844658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45176</v>
      </c>
      <c r="D15" s="196" t="s">
        <v>23</v>
      </c>
      <c r="E15" s="196" t="s">
        <v>22</v>
      </c>
      <c r="F15" s="197">
        <v>72200</v>
      </c>
      <c r="G15" s="197">
        <v>71600</v>
      </c>
      <c r="H15" s="196">
        <f>72200-71600</f>
        <v>600</v>
      </c>
      <c r="I15" s="197">
        <v>30</v>
      </c>
      <c r="J15" s="268">
        <f t="shared" si="1"/>
        <v>18000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45177</v>
      </c>
      <c r="D16" s="196" t="s">
        <v>23</v>
      </c>
      <c r="E16" s="196" t="s">
        <v>24</v>
      </c>
      <c r="F16" s="197">
        <v>59050</v>
      </c>
      <c r="G16" s="197">
        <v>59000</v>
      </c>
      <c r="H16" s="196">
        <v>50</v>
      </c>
      <c r="I16" s="197">
        <v>100</v>
      </c>
      <c r="J16" s="268">
        <f t="shared" si="1"/>
        <v>5000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45177</v>
      </c>
      <c r="D17" s="196" t="s">
        <v>23</v>
      </c>
      <c r="E17" s="196" t="s">
        <v>22</v>
      </c>
      <c r="F17" s="197">
        <v>71900</v>
      </c>
      <c r="G17" s="197">
        <v>72200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45180</v>
      </c>
      <c r="D18" s="196" t="s">
        <v>16</v>
      </c>
      <c r="E18" s="196" t="s">
        <v>24</v>
      </c>
      <c r="F18" s="197">
        <v>59010</v>
      </c>
      <c r="G18" s="197">
        <v>59060</v>
      </c>
      <c r="H18" s="196">
        <v>50</v>
      </c>
      <c r="I18" s="197">
        <v>100</v>
      </c>
      <c r="J18" s="268">
        <f t="shared" si="1"/>
        <v>5000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45180</v>
      </c>
      <c r="D19" s="196" t="s">
        <v>16</v>
      </c>
      <c r="E19" s="196" t="s">
        <v>22</v>
      </c>
      <c r="F19" s="197">
        <v>72000</v>
      </c>
      <c r="G19" s="197">
        <v>72260</v>
      </c>
      <c r="H19" s="196">
        <v>260</v>
      </c>
      <c r="I19" s="197">
        <v>30</v>
      </c>
      <c r="J19" s="268">
        <f t="shared" si="1"/>
        <v>7800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45181</v>
      </c>
      <c r="D20" s="196" t="s">
        <v>16</v>
      </c>
      <c r="E20" s="196" t="s">
        <v>24</v>
      </c>
      <c r="F20" s="197">
        <v>58860</v>
      </c>
      <c r="G20" s="197">
        <v>58760</v>
      </c>
      <c r="H20" s="196">
        <v>-100</v>
      </c>
      <c r="I20" s="197">
        <v>100</v>
      </c>
      <c r="J20" s="268">
        <f t="shared" si="1"/>
        <v>-10000</v>
      </c>
      <c r="K20" s="185"/>
      <c r="M20" s="183" t="s">
        <v>870</v>
      </c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45181</v>
      </c>
      <c r="D21" s="196" t="s">
        <v>16</v>
      </c>
      <c r="E21" s="196" t="s">
        <v>22</v>
      </c>
      <c r="F21" s="197">
        <v>71900</v>
      </c>
      <c r="G21" s="197">
        <v>71600</v>
      </c>
      <c r="H21" s="196">
        <v>-300</v>
      </c>
      <c r="I21" s="197">
        <v>30</v>
      </c>
      <c r="J21" s="268">
        <f t="shared" si="1"/>
        <v>-9000</v>
      </c>
      <c r="K21" s="185"/>
      <c r="M21" s="183" t="s">
        <v>904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45182</v>
      </c>
      <c r="D22" s="196" t="s">
        <v>23</v>
      </c>
      <c r="E22" s="196" t="s">
        <v>24</v>
      </c>
      <c r="F22" s="197">
        <v>58650</v>
      </c>
      <c r="G22" s="197">
        <v>58550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45182</v>
      </c>
      <c r="D23" s="196" t="s">
        <v>23</v>
      </c>
      <c r="E23" s="196" t="s">
        <v>22</v>
      </c>
      <c r="F23" s="197">
        <v>71600</v>
      </c>
      <c r="G23" s="197">
        <v>71300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45183</v>
      </c>
      <c r="D24" s="196" t="s">
        <v>23</v>
      </c>
      <c r="E24" s="196" t="s">
        <v>24</v>
      </c>
      <c r="F24" s="197">
        <v>58490</v>
      </c>
      <c r="G24" s="197">
        <v>58400</v>
      </c>
      <c r="H24" s="196">
        <v>90</v>
      </c>
      <c r="I24" s="197">
        <v>100</v>
      </c>
      <c r="J24" s="268">
        <f t="shared" si="1"/>
        <v>9000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45183</v>
      </c>
      <c r="D25" s="196" t="s">
        <v>23</v>
      </c>
      <c r="E25" s="196" t="s">
        <v>22</v>
      </c>
      <c r="F25" s="197">
        <v>70800</v>
      </c>
      <c r="G25" s="197">
        <v>70500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45184</v>
      </c>
      <c r="D26" s="196" t="s">
        <v>23</v>
      </c>
      <c r="E26" s="196" t="s">
        <v>24</v>
      </c>
      <c r="F26" s="197">
        <v>58850</v>
      </c>
      <c r="G26" s="197">
        <v>58795</v>
      </c>
      <c r="H26" s="196">
        <f>58850-58795</f>
        <v>55</v>
      </c>
      <c r="I26" s="197">
        <v>100</v>
      </c>
      <c r="J26" s="268">
        <f t="shared" si="1"/>
        <v>5500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45184</v>
      </c>
      <c r="D27" s="196" t="s">
        <v>23</v>
      </c>
      <c r="E27" s="196" t="s">
        <v>22</v>
      </c>
      <c r="F27" s="197">
        <v>72200</v>
      </c>
      <c r="G27" s="197">
        <v>71900</v>
      </c>
      <c r="H27" s="196">
        <f>72200-71900</f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45187</v>
      </c>
      <c r="D28" s="196" t="s">
        <v>23</v>
      </c>
      <c r="E28" s="196" t="s">
        <v>24</v>
      </c>
      <c r="F28" s="197">
        <v>59170</v>
      </c>
      <c r="G28" s="197">
        <v>59270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45187</v>
      </c>
      <c r="D29" s="196" t="s">
        <v>23</v>
      </c>
      <c r="E29" s="196" t="s">
        <v>22</v>
      </c>
      <c r="F29" s="197">
        <v>72600</v>
      </c>
      <c r="G29" s="197">
        <v>72300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45189</v>
      </c>
      <c r="D30" s="196" t="s">
        <v>23</v>
      </c>
      <c r="E30" s="196" t="s">
        <v>24</v>
      </c>
      <c r="F30" s="197">
        <v>59200</v>
      </c>
      <c r="G30" s="197">
        <v>59150</v>
      </c>
      <c r="H30" s="196">
        <v>50</v>
      </c>
      <c r="I30" s="197">
        <v>100</v>
      </c>
      <c r="J30" s="268">
        <f t="shared" si="1"/>
        <v>5000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45189</v>
      </c>
      <c r="D31" s="196" t="s">
        <v>23</v>
      </c>
      <c r="E31" s="196" t="s">
        <v>22</v>
      </c>
      <c r="F31" s="197">
        <v>72650</v>
      </c>
      <c r="G31" s="197">
        <v>72950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45190</v>
      </c>
      <c r="D32" s="196" t="s">
        <v>23</v>
      </c>
      <c r="E32" s="196" t="s">
        <v>24</v>
      </c>
      <c r="F32" s="197">
        <v>58980</v>
      </c>
      <c r="G32" s="197">
        <v>58780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45190</v>
      </c>
      <c r="D33" s="196" t="s">
        <v>23</v>
      </c>
      <c r="E33" s="196" t="s">
        <v>22</v>
      </c>
      <c r="F33" s="197">
        <v>72500</v>
      </c>
      <c r="G33" s="197">
        <v>71900</v>
      </c>
      <c r="H33" s="196">
        <v>400</v>
      </c>
      <c r="I33" s="197">
        <v>30</v>
      </c>
      <c r="J33" s="268">
        <f t="shared" si="1"/>
        <v>12000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45191</v>
      </c>
      <c r="D34" s="196" t="s">
        <v>23</v>
      </c>
      <c r="E34" s="196" t="s">
        <v>24</v>
      </c>
      <c r="F34" s="197">
        <v>58900</v>
      </c>
      <c r="G34" s="197">
        <v>58780</v>
      </c>
      <c r="H34" s="196">
        <f>58900-58780</f>
        <v>120</v>
      </c>
      <c r="I34" s="197">
        <v>100</v>
      </c>
      <c r="J34" s="268">
        <f t="shared" si="1"/>
        <v>12000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45191</v>
      </c>
      <c r="D35" s="196" t="s">
        <v>23</v>
      </c>
      <c r="E35" s="196" t="s">
        <v>22</v>
      </c>
      <c r="F35" s="197">
        <v>73600</v>
      </c>
      <c r="G35" s="197">
        <v>73300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45194</v>
      </c>
      <c r="D36" s="196" t="s">
        <v>23</v>
      </c>
      <c r="E36" s="196" t="s">
        <v>24</v>
      </c>
      <c r="F36" s="197">
        <v>58940</v>
      </c>
      <c r="G36" s="197">
        <v>58890</v>
      </c>
      <c r="H36" s="196">
        <v>50</v>
      </c>
      <c r="I36" s="197">
        <v>100</v>
      </c>
      <c r="J36" s="268">
        <f t="shared" si="1"/>
        <v>5000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45194</v>
      </c>
      <c r="D37" s="196" t="s">
        <v>23</v>
      </c>
      <c r="E37" s="196" t="s">
        <v>22</v>
      </c>
      <c r="F37" s="197">
        <v>73450</v>
      </c>
      <c r="G37" s="197">
        <v>73250</v>
      </c>
      <c r="H37" s="196">
        <v>200</v>
      </c>
      <c r="I37" s="197">
        <v>30</v>
      </c>
      <c r="J37" s="268">
        <f t="shared" si="1"/>
        <v>6000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45195</v>
      </c>
      <c r="D38" s="196" t="s">
        <v>23</v>
      </c>
      <c r="E38" s="196" t="s">
        <v>24</v>
      </c>
      <c r="F38" s="197">
        <v>58660</v>
      </c>
      <c r="G38" s="197">
        <v>58500</v>
      </c>
      <c r="H38" s="196">
        <v>160</v>
      </c>
      <c r="I38" s="197">
        <v>100</v>
      </c>
      <c r="J38" s="268">
        <f t="shared" si="1"/>
        <v>16000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45195</v>
      </c>
      <c r="D39" s="196" t="s">
        <v>23</v>
      </c>
      <c r="E39" s="196" t="s">
        <v>22</v>
      </c>
      <c r="F39" s="197">
        <v>72100</v>
      </c>
      <c r="G39" s="197">
        <v>71750</v>
      </c>
      <c r="H39" s="196">
        <f>72100-71750</f>
        <v>350</v>
      </c>
      <c r="I39" s="197">
        <v>30</v>
      </c>
      <c r="J39" s="268">
        <f t="shared" si="1"/>
        <v>10500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45196</v>
      </c>
      <c r="D40" s="196" t="s">
        <v>23</v>
      </c>
      <c r="E40" s="196" t="s">
        <v>24</v>
      </c>
      <c r="F40" s="197">
        <v>58230</v>
      </c>
      <c r="G40" s="197">
        <v>58070</v>
      </c>
      <c r="H40" s="196">
        <f>58230-58070</f>
        <v>160</v>
      </c>
      <c r="I40" s="197">
        <v>100</v>
      </c>
      <c r="J40" s="268">
        <f t="shared" si="1"/>
        <v>16000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45196</v>
      </c>
      <c r="D41" s="196" t="s">
        <v>23</v>
      </c>
      <c r="E41" s="196" t="s">
        <v>22</v>
      </c>
      <c r="F41" s="197">
        <v>71500</v>
      </c>
      <c r="G41" s="197">
        <v>71350</v>
      </c>
      <c r="H41" s="196">
        <f>71500-71350</f>
        <v>150</v>
      </c>
      <c r="I41" s="197">
        <v>30</v>
      </c>
      <c r="J41" s="268">
        <f t="shared" si="1"/>
        <v>4500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45197</v>
      </c>
      <c r="D42" s="196" t="s">
        <v>23</v>
      </c>
      <c r="E42" s="196" t="s">
        <v>24</v>
      </c>
      <c r="F42" s="197">
        <v>57540</v>
      </c>
      <c r="G42" s="197">
        <v>57340</v>
      </c>
      <c r="H42" s="196">
        <v>200</v>
      </c>
      <c r="I42" s="197">
        <v>100</v>
      </c>
      <c r="J42" s="268">
        <f t="shared" si="1"/>
        <v>20000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45197</v>
      </c>
      <c r="D43" s="196" t="s">
        <v>23</v>
      </c>
      <c r="E43" s="196" t="s">
        <v>22</v>
      </c>
      <c r="F43" s="197">
        <v>70850</v>
      </c>
      <c r="G43" s="197">
        <v>70550</v>
      </c>
      <c r="H43" s="196">
        <v>300</v>
      </c>
      <c r="I43" s="197">
        <v>30</v>
      </c>
      <c r="J43" s="268">
        <f t="shared" si="1"/>
        <v>9000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45198</v>
      </c>
      <c r="D44" s="196" t="s">
        <v>23</v>
      </c>
      <c r="E44" s="196" t="s">
        <v>24</v>
      </c>
      <c r="F44" s="197">
        <v>58050</v>
      </c>
      <c r="G44" s="197">
        <v>58000</v>
      </c>
      <c r="H44" s="196">
        <v>50</v>
      </c>
      <c r="I44" s="197">
        <v>100</v>
      </c>
      <c r="J44" s="268">
        <f t="shared" si="1"/>
        <v>5000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45198</v>
      </c>
      <c r="D45" s="196" t="s">
        <v>23</v>
      </c>
      <c r="E45" s="196" t="s">
        <v>22</v>
      </c>
      <c r="F45" s="197">
        <v>72100</v>
      </c>
      <c r="G45" s="197">
        <v>71950</v>
      </c>
      <c r="H45" s="196">
        <f>72100-71950</f>
        <v>150</v>
      </c>
      <c r="I45" s="197">
        <v>30</v>
      </c>
      <c r="J45" s="268">
        <f t="shared" si="1"/>
        <v>4500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244200</v>
      </c>
      <c r="K52" s="185"/>
      <c r="V52" s="183">
        <f>SUM(V6:V51)</f>
        <v>33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45170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45170</v>
      </c>
      <c r="D60" s="192" t="s">
        <v>23</v>
      </c>
      <c r="E60" s="192" t="s">
        <v>25</v>
      </c>
      <c r="F60" s="193">
        <v>6990</v>
      </c>
      <c r="G60" s="193">
        <v>6960</v>
      </c>
      <c r="H60" s="192">
        <v>30</v>
      </c>
      <c r="I60" s="193">
        <v>100</v>
      </c>
      <c r="J60" s="267">
        <f t="shared" ref="J60:J82" si="5">I60*H60</f>
        <v>3000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45173</v>
      </c>
      <c r="D61" s="196" t="s">
        <v>23</v>
      </c>
      <c r="E61" s="196" t="s">
        <v>25</v>
      </c>
      <c r="F61" s="197">
        <v>7090</v>
      </c>
      <c r="G61" s="197">
        <v>7072</v>
      </c>
      <c r="H61" s="196">
        <f>7090-7072</f>
        <v>18</v>
      </c>
      <c r="I61" s="197">
        <v>100</v>
      </c>
      <c r="J61" s="268">
        <f t="shared" si="5"/>
        <v>1800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45174</v>
      </c>
      <c r="D62" s="196" t="s">
        <v>23</v>
      </c>
      <c r="E62" s="196" t="s">
        <v>25</v>
      </c>
      <c r="F62" s="197">
        <v>7070</v>
      </c>
      <c r="G62" s="197">
        <v>7110</v>
      </c>
      <c r="H62" s="196">
        <v>-30</v>
      </c>
      <c r="I62" s="197">
        <v>100</v>
      </c>
      <c r="J62" s="268">
        <f t="shared" si="5"/>
        <v>-3000</v>
      </c>
      <c r="K62" s="185"/>
      <c r="V62" s="183">
        <f t="shared" si="6"/>
        <v>0</v>
      </c>
      <c r="W62" s="183">
        <f t="shared" si="7"/>
        <v>1</v>
      </c>
    </row>
    <row r="63" spans="1:23" x14ac:dyDescent="0.3">
      <c r="A63" s="184"/>
      <c r="B63" s="194">
        <v>4</v>
      </c>
      <c r="C63" s="195">
        <v>45175</v>
      </c>
      <c r="D63" s="196" t="s">
        <v>23</v>
      </c>
      <c r="E63" s="196" t="s">
        <v>25</v>
      </c>
      <c r="F63" s="197">
        <v>7185</v>
      </c>
      <c r="G63" s="197">
        <v>7165</v>
      </c>
      <c r="H63" s="196">
        <f>7185-7165</f>
        <v>20</v>
      </c>
      <c r="I63" s="197">
        <v>100</v>
      </c>
      <c r="J63" s="268">
        <f t="shared" si="5"/>
        <v>2000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45176</v>
      </c>
      <c r="D64" s="196" t="s">
        <v>23</v>
      </c>
      <c r="E64" s="196" t="s">
        <v>25</v>
      </c>
      <c r="F64" s="197">
        <v>7240</v>
      </c>
      <c r="G64" s="197">
        <v>7270</v>
      </c>
      <c r="H64" s="196">
        <v>-30</v>
      </c>
      <c r="I64" s="197">
        <v>100</v>
      </c>
      <c r="J64" s="268">
        <f t="shared" si="5"/>
        <v>-3000</v>
      </c>
      <c r="K64" s="185"/>
      <c r="V64" s="183">
        <f t="shared" si="6"/>
        <v>0</v>
      </c>
      <c r="W64" s="183">
        <f t="shared" si="7"/>
        <v>1</v>
      </c>
    </row>
    <row r="65" spans="1:23" x14ac:dyDescent="0.3">
      <c r="A65" s="184"/>
      <c r="B65" s="194">
        <v>6</v>
      </c>
      <c r="C65" s="195">
        <v>45177</v>
      </c>
      <c r="D65" s="196" t="s">
        <v>23</v>
      </c>
      <c r="E65" s="196" t="s">
        <v>25</v>
      </c>
      <c r="F65" s="197">
        <v>7255</v>
      </c>
      <c r="G65" s="197">
        <v>7225</v>
      </c>
      <c r="H65" s="196">
        <f>7255-7225</f>
        <v>30</v>
      </c>
      <c r="I65" s="197">
        <v>100</v>
      </c>
      <c r="J65" s="268">
        <f t="shared" si="5"/>
        <v>3000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45180</v>
      </c>
      <c r="D66" s="196" t="s">
        <v>23</v>
      </c>
      <c r="E66" s="196" t="s">
        <v>25</v>
      </c>
      <c r="F66" s="222">
        <v>7220</v>
      </c>
      <c r="G66" s="222">
        <v>7200</v>
      </c>
      <c r="H66" s="196">
        <v>20</v>
      </c>
      <c r="I66" s="197">
        <v>100</v>
      </c>
      <c r="J66" s="268">
        <f t="shared" si="5"/>
        <v>2000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45181</v>
      </c>
      <c r="D67" s="196" t="s">
        <v>16</v>
      </c>
      <c r="E67" s="196" t="s">
        <v>25</v>
      </c>
      <c r="F67" s="197">
        <v>7265</v>
      </c>
      <c r="G67" s="197">
        <v>7305</v>
      </c>
      <c r="H67" s="196">
        <f>7305-7265</f>
        <v>40</v>
      </c>
      <c r="I67" s="197">
        <v>100</v>
      </c>
      <c r="J67" s="268">
        <f t="shared" si="5"/>
        <v>4000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45182</v>
      </c>
      <c r="D68" s="196" t="s">
        <v>23</v>
      </c>
      <c r="E68" s="196" t="s">
        <v>25</v>
      </c>
      <c r="F68" s="197">
        <v>7410</v>
      </c>
      <c r="G68" s="197">
        <v>7440</v>
      </c>
      <c r="H68" s="196">
        <v>-30</v>
      </c>
      <c r="I68" s="197">
        <v>100</v>
      </c>
      <c r="J68" s="268">
        <f t="shared" si="5"/>
        <v>-3000</v>
      </c>
      <c r="K68" s="185"/>
      <c r="V68" s="183">
        <f t="shared" si="6"/>
        <v>0</v>
      </c>
      <c r="W68" s="183">
        <f t="shared" si="7"/>
        <v>1</v>
      </c>
    </row>
    <row r="69" spans="1:23" x14ac:dyDescent="0.3">
      <c r="A69" s="184"/>
      <c r="B69" s="194">
        <v>10</v>
      </c>
      <c r="C69" s="195">
        <v>45183</v>
      </c>
      <c r="D69" s="196" t="s">
        <v>23</v>
      </c>
      <c r="E69" s="196" t="s">
        <v>25</v>
      </c>
      <c r="F69" s="197">
        <v>7450</v>
      </c>
      <c r="G69" s="197">
        <v>7420</v>
      </c>
      <c r="H69" s="196">
        <v>30</v>
      </c>
      <c r="I69" s="197">
        <v>100</v>
      </c>
      <c r="J69" s="268">
        <f t="shared" si="5"/>
        <v>3000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45184</v>
      </c>
      <c r="D70" s="196" t="s">
        <v>23</v>
      </c>
      <c r="E70" s="196" t="s">
        <v>25</v>
      </c>
      <c r="F70" s="197">
        <v>7530</v>
      </c>
      <c r="G70" s="197">
        <v>7460</v>
      </c>
      <c r="H70" s="196">
        <v>30</v>
      </c>
      <c r="I70" s="197">
        <v>100</v>
      </c>
      <c r="J70" s="268">
        <f t="shared" si="5"/>
        <v>3000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45187</v>
      </c>
      <c r="D71" s="196" t="s">
        <v>23</v>
      </c>
      <c r="E71" s="196" t="s">
        <v>25</v>
      </c>
      <c r="F71" s="197">
        <v>7605</v>
      </c>
      <c r="G71" s="197">
        <v>7590</v>
      </c>
      <c r="H71" s="196">
        <f>7605-7590</f>
        <v>15</v>
      </c>
      <c r="I71" s="197">
        <v>100</v>
      </c>
      <c r="J71" s="268">
        <f t="shared" si="5"/>
        <v>1500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45189</v>
      </c>
      <c r="D72" s="196" t="s">
        <v>23</v>
      </c>
      <c r="E72" s="196" t="s">
        <v>25</v>
      </c>
      <c r="F72" s="197">
        <v>7465</v>
      </c>
      <c r="G72" s="197">
        <v>7435</v>
      </c>
      <c r="H72" s="196">
        <v>30</v>
      </c>
      <c r="I72" s="197">
        <v>100</v>
      </c>
      <c r="J72" s="268">
        <f t="shared" si="5"/>
        <v>3000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45190</v>
      </c>
      <c r="D73" s="196" t="s">
        <v>23</v>
      </c>
      <c r="E73" s="196" t="s">
        <v>25</v>
      </c>
      <c r="F73" s="197">
        <v>7380</v>
      </c>
      <c r="G73" s="197">
        <v>7420</v>
      </c>
      <c r="H73" s="196">
        <v>-40</v>
      </c>
      <c r="I73" s="197">
        <v>100</v>
      </c>
      <c r="J73" s="268">
        <f t="shared" si="5"/>
        <v>-4000</v>
      </c>
      <c r="K73" s="185"/>
      <c r="V73" s="183">
        <f t="shared" si="6"/>
        <v>0</v>
      </c>
      <c r="W73" s="183">
        <f t="shared" si="7"/>
        <v>1</v>
      </c>
    </row>
    <row r="74" spans="1:23" x14ac:dyDescent="0.3">
      <c r="A74" s="184"/>
      <c r="B74" s="194">
        <v>15</v>
      </c>
      <c r="C74" s="195">
        <v>45191</v>
      </c>
      <c r="D74" s="196" t="s">
        <v>23</v>
      </c>
      <c r="E74" s="196" t="s">
        <v>25</v>
      </c>
      <c r="F74" s="197">
        <v>7530</v>
      </c>
      <c r="G74" s="197">
        <v>7505</v>
      </c>
      <c r="H74" s="196">
        <v>25</v>
      </c>
      <c r="I74" s="197">
        <v>100</v>
      </c>
      <c r="J74" s="268">
        <f t="shared" si="5"/>
        <v>2500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45194</v>
      </c>
      <c r="D75" s="196" t="s">
        <v>23</v>
      </c>
      <c r="E75" s="196" t="s">
        <v>25</v>
      </c>
      <c r="F75" s="197">
        <v>7500</v>
      </c>
      <c r="G75" s="197">
        <v>7460</v>
      </c>
      <c r="H75" s="196">
        <f>7500-7460</f>
        <v>40</v>
      </c>
      <c r="I75" s="197">
        <v>100</v>
      </c>
      <c r="J75" s="268">
        <f t="shared" si="5"/>
        <v>4000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45195</v>
      </c>
      <c r="D76" s="196" t="s">
        <v>23</v>
      </c>
      <c r="E76" s="196" t="s">
        <v>25</v>
      </c>
      <c r="F76" s="197">
        <v>7420</v>
      </c>
      <c r="G76" s="197">
        <v>7403</v>
      </c>
      <c r="H76" s="196">
        <f>7420-7403</f>
        <v>17</v>
      </c>
      <c r="I76" s="197">
        <v>100</v>
      </c>
      <c r="J76" s="268">
        <f t="shared" si="5"/>
        <v>1700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45196</v>
      </c>
      <c r="D77" s="196" t="s">
        <v>23</v>
      </c>
      <c r="E77" s="196" t="s">
        <v>25</v>
      </c>
      <c r="F77" s="197">
        <v>7650</v>
      </c>
      <c r="G77" s="197">
        <v>7635</v>
      </c>
      <c r="H77" s="196">
        <f>7650-7635</f>
        <v>15</v>
      </c>
      <c r="I77" s="197">
        <v>100</v>
      </c>
      <c r="J77" s="268">
        <f t="shared" si="5"/>
        <v>1500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45197</v>
      </c>
      <c r="D78" s="196" t="s">
        <v>23</v>
      </c>
      <c r="E78" s="196" t="s">
        <v>25</v>
      </c>
      <c r="F78" s="197">
        <v>7650</v>
      </c>
      <c r="G78" s="197">
        <v>7635</v>
      </c>
      <c r="H78" s="196">
        <f>7650-7635</f>
        <v>15</v>
      </c>
      <c r="I78" s="197">
        <v>100</v>
      </c>
      <c r="J78" s="268">
        <f t="shared" si="5"/>
        <v>1500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45198</v>
      </c>
      <c r="D79" s="196" t="s">
        <v>23</v>
      </c>
      <c r="E79" s="196" t="s">
        <v>25</v>
      </c>
      <c r="F79" s="197">
        <v>7730</v>
      </c>
      <c r="G79" s="197">
        <v>7660</v>
      </c>
      <c r="H79" s="196">
        <f>7730-7660</f>
        <v>70</v>
      </c>
      <c r="I79" s="197">
        <v>100</v>
      </c>
      <c r="J79" s="268">
        <f t="shared" si="5"/>
        <v>7000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5"/>
        <v>0</v>
      </c>
      <c r="K80" s="185"/>
      <c r="V80" s="183">
        <f t="shared" si="6"/>
        <v>0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31500</v>
      </c>
      <c r="K83" s="185"/>
      <c r="V83" s="183">
        <f>SUM(V60:V82)</f>
        <v>16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45170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45170</v>
      </c>
      <c r="D91" s="216" t="s">
        <v>23</v>
      </c>
      <c r="E91" s="256" t="s">
        <v>28</v>
      </c>
      <c r="F91" s="256">
        <v>220.2</v>
      </c>
      <c r="G91" s="256">
        <v>219.2</v>
      </c>
      <c r="H91" s="256">
        <v>1</v>
      </c>
      <c r="I91" s="218">
        <v>5000</v>
      </c>
      <c r="J91" s="273">
        <f>I91*H91</f>
        <v>5000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45173</v>
      </c>
      <c r="D92" s="196" t="s">
        <v>23</v>
      </c>
      <c r="E92" s="222" t="s">
        <v>28</v>
      </c>
      <c r="F92" s="222">
        <v>220.7</v>
      </c>
      <c r="G92" s="222">
        <v>219.7</v>
      </c>
      <c r="H92" s="222">
        <v>1</v>
      </c>
      <c r="I92" s="197">
        <v>5000</v>
      </c>
      <c r="J92" s="268">
        <f t="shared" ref="J92:J112" si="8">I92*H92</f>
        <v>5000</v>
      </c>
      <c r="K92" s="185"/>
      <c r="V92" s="183">
        <f t="shared" ref="V92:V111" si="9">IF($J92&gt;0,1,0)</f>
        <v>1</v>
      </c>
      <c r="W92" s="183">
        <f t="shared" ref="W92:W111" si="10">IF($J92&lt;0,1,0)</f>
        <v>0</v>
      </c>
    </row>
    <row r="93" spans="1:23" x14ac:dyDescent="0.3">
      <c r="A93" s="184"/>
      <c r="B93" s="194">
        <v>3</v>
      </c>
      <c r="C93" s="195">
        <v>45174</v>
      </c>
      <c r="D93" s="196" t="s">
        <v>23</v>
      </c>
      <c r="E93" s="222" t="s">
        <v>28</v>
      </c>
      <c r="F93" s="222">
        <v>220.2</v>
      </c>
      <c r="G93" s="222">
        <v>219.2</v>
      </c>
      <c r="H93" s="222">
        <v>1</v>
      </c>
      <c r="I93" s="197">
        <v>5000</v>
      </c>
      <c r="J93" s="268">
        <f t="shared" si="8"/>
        <v>5000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45175</v>
      </c>
      <c r="D94" s="196" t="s">
        <v>23</v>
      </c>
      <c r="E94" s="222" t="s">
        <v>28</v>
      </c>
      <c r="F94" s="222">
        <v>221.2</v>
      </c>
      <c r="G94" s="222">
        <v>220.7</v>
      </c>
      <c r="H94" s="222">
        <f>221.2-220.7</f>
        <v>0.5</v>
      </c>
      <c r="I94" s="197">
        <v>5000</v>
      </c>
      <c r="J94" s="268">
        <f t="shared" si="8"/>
        <v>2500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45176</v>
      </c>
      <c r="D95" s="196" t="s">
        <v>23</v>
      </c>
      <c r="E95" s="222" t="s">
        <v>28</v>
      </c>
      <c r="F95" s="222">
        <v>220</v>
      </c>
      <c r="G95" s="222">
        <v>219.5</v>
      </c>
      <c r="H95" s="222">
        <v>0.5</v>
      </c>
      <c r="I95" s="197">
        <v>5000</v>
      </c>
      <c r="J95" s="268">
        <f t="shared" si="8"/>
        <v>2500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45177</v>
      </c>
      <c r="D96" s="196" t="s">
        <v>23</v>
      </c>
      <c r="E96" s="222" t="s">
        <v>28</v>
      </c>
      <c r="F96" s="222">
        <v>218.2</v>
      </c>
      <c r="G96" s="222">
        <v>217.8</v>
      </c>
      <c r="H96" s="222">
        <f>218.2-217.8</f>
        <v>0.39999999999997726</v>
      </c>
      <c r="I96" s="197">
        <v>5000</v>
      </c>
      <c r="J96" s="268">
        <f t="shared" si="8"/>
        <v>1999.9999999998863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45180</v>
      </c>
      <c r="D97" s="196" t="s">
        <v>16</v>
      </c>
      <c r="E97" s="222" t="s">
        <v>28</v>
      </c>
      <c r="F97" s="222">
        <v>219.2</v>
      </c>
      <c r="G97" s="222">
        <v>220.9</v>
      </c>
      <c r="H97" s="274">
        <v>1.7</v>
      </c>
      <c r="I97" s="197">
        <v>5000</v>
      </c>
      <c r="J97" s="268">
        <f t="shared" si="8"/>
        <v>8500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45181</v>
      </c>
      <c r="D98" s="196" t="s">
        <v>16</v>
      </c>
      <c r="E98" s="222" t="s">
        <v>28</v>
      </c>
      <c r="F98" s="222">
        <v>222.5</v>
      </c>
      <c r="G98" s="222">
        <v>221.5</v>
      </c>
      <c r="H98" s="222">
        <v>-1</v>
      </c>
      <c r="I98" s="197">
        <v>5000</v>
      </c>
      <c r="J98" s="268">
        <f t="shared" si="8"/>
        <v>-5000</v>
      </c>
      <c r="K98" s="185"/>
      <c r="V98" s="183">
        <f t="shared" si="9"/>
        <v>0</v>
      </c>
      <c r="W98" s="183">
        <f t="shared" si="10"/>
        <v>1</v>
      </c>
    </row>
    <row r="99" spans="1:23" x14ac:dyDescent="0.3">
      <c r="A99" s="184"/>
      <c r="B99" s="194">
        <v>9</v>
      </c>
      <c r="C99" s="195">
        <v>45182</v>
      </c>
      <c r="D99" s="196" t="s">
        <v>23</v>
      </c>
      <c r="E99" s="222" t="s">
        <v>28</v>
      </c>
      <c r="F99" s="222">
        <v>221</v>
      </c>
      <c r="G99" s="222">
        <v>220.6</v>
      </c>
      <c r="H99" s="222">
        <f>221-220.6</f>
        <v>0.40000000000000568</v>
      </c>
      <c r="I99" s="197">
        <v>5000</v>
      </c>
      <c r="J99" s="268">
        <f t="shared" si="8"/>
        <v>2000.0000000000284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45183</v>
      </c>
      <c r="D100" s="196" t="s">
        <v>23</v>
      </c>
      <c r="E100" s="222" t="s">
        <v>28</v>
      </c>
      <c r="F100" s="222">
        <v>226.3</v>
      </c>
      <c r="G100" s="222">
        <v>225.5</v>
      </c>
      <c r="H100" s="222">
        <f>226.3-225.5</f>
        <v>0.80000000000001137</v>
      </c>
      <c r="I100" s="197">
        <v>5000</v>
      </c>
      <c r="J100" s="268">
        <f t="shared" si="8"/>
        <v>4000.0000000000568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45184</v>
      </c>
      <c r="D101" s="196" t="s">
        <v>23</v>
      </c>
      <c r="E101" s="222" t="s">
        <v>28</v>
      </c>
      <c r="F101" s="222">
        <v>226.5</v>
      </c>
      <c r="G101" s="222">
        <v>225.5</v>
      </c>
      <c r="H101" s="274">
        <v>1</v>
      </c>
      <c r="I101" s="197">
        <v>5000</v>
      </c>
      <c r="J101" s="268">
        <f t="shared" si="8"/>
        <v>5000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45187</v>
      </c>
      <c r="D102" s="196" t="s">
        <v>23</v>
      </c>
      <c r="E102" s="222" t="s">
        <v>28</v>
      </c>
      <c r="F102" s="222">
        <v>224.3</v>
      </c>
      <c r="G102" s="222">
        <v>225.3</v>
      </c>
      <c r="H102" s="274">
        <v>-1</v>
      </c>
      <c r="I102" s="197">
        <v>5000</v>
      </c>
      <c r="J102" s="268">
        <f t="shared" si="8"/>
        <v>-5000</v>
      </c>
      <c r="K102" s="185"/>
      <c r="V102" s="183">
        <f t="shared" si="9"/>
        <v>0</v>
      </c>
      <c r="W102" s="183">
        <f t="shared" si="10"/>
        <v>1</v>
      </c>
    </row>
    <row r="103" spans="1:23" x14ac:dyDescent="0.3">
      <c r="A103" s="184"/>
      <c r="B103" s="194">
        <v>13</v>
      </c>
      <c r="C103" s="195">
        <v>45189</v>
      </c>
      <c r="D103" s="196" t="s">
        <v>23</v>
      </c>
      <c r="E103" s="222" t="s">
        <v>28</v>
      </c>
      <c r="F103" s="222">
        <v>223.7</v>
      </c>
      <c r="G103" s="222">
        <v>223.3</v>
      </c>
      <c r="H103" s="274">
        <v>0.4</v>
      </c>
      <c r="I103" s="197">
        <v>5000</v>
      </c>
      <c r="J103" s="268">
        <f t="shared" si="8"/>
        <v>2000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45190</v>
      </c>
      <c r="D104" s="196" t="s">
        <v>23</v>
      </c>
      <c r="E104" s="222" t="s">
        <v>28</v>
      </c>
      <c r="F104" s="222">
        <v>221.5</v>
      </c>
      <c r="G104" s="222">
        <v>219.5</v>
      </c>
      <c r="H104" s="274">
        <v>2</v>
      </c>
      <c r="I104" s="197">
        <v>5000</v>
      </c>
      <c r="J104" s="268">
        <f t="shared" si="8"/>
        <v>10000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45191</v>
      </c>
      <c r="D105" s="196" t="s">
        <v>23</v>
      </c>
      <c r="E105" s="196" t="s">
        <v>28</v>
      </c>
      <c r="F105" s="222">
        <v>224.4</v>
      </c>
      <c r="G105" s="222">
        <v>224</v>
      </c>
      <c r="H105" s="222">
        <v>0.4</v>
      </c>
      <c r="I105" s="197">
        <v>5000</v>
      </c>
      <c r="J105" s="268">
        <f t="shared" si="8"/>
        <v>2000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45099</v>
      </c>
      <c r="D106" s="196" t="s">
        <v>23</v>
      </c>
      <c r="E106" s="196" t="s">
        <v>152</v>
      </c>
      <c r="F106" s="222">
        <v>218</v>
      </c>
      <c r="G106" s="222">
        <v>221</v>
      </c>
      <c r="H106" s="222">
        <v>-3</v>
      </c>
      <c r="I106" s="197">
        <v>1250</v>
      </c>
      <c r="J106" s="268">
        <f t="shared" si="8"/>
        <v>-3750</v>
      </c>
      <c r="K106" s="185"/>
      <c r="V106" s="183">
        <f t="shared" si="9"/>
        <v>0</v>
      </c>
      <c r="W106" s="183">
        <f t="shared" si="10"/>
        <v>1</v>
      </c>
    </row>
    <row r="107" spans="1:23" x14ac:dyDescent="0.3">
      <c r="A107" s="184"/>
      <c r="B107" s="194">
        <v>17</v>
      </c>
      <c r="C107" s="195">
        <v>45194</v>
      </c>
      <c r="D107" s="196" t="s">
        <v>23</v>
      </c>
      <c r="E107" s="196" t="s">
        <v>28</v>
      </c>
      <c r="F107" s="222">
        <v>224.8</v>
      </c>
      <c r="G107" s="274">
        <v>224</v>
      </c>
      <c r="H107" s="274">
        <v>0.8</v>
      </c>
      <c r="I107" s="197">
        <v>5000</v>
      </c>
      <c r="J107" s="268">
        <f t="shared" si="8"/>
        <v>4000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45194</v>
      </c>
      <c r="D108" s="196" t="s">
        <v>16</v>
      </c>
      <c r="E108" s="196" t="s">
        <v>152</v>
      </c>
      <c r="F108" s="222">
        <v>219</v>
      </c>
      <c r="G108" s="222">
        <v>221</v>
      </c>
      <c r="H108" s="274">
        <v>2</v>
      </c>
      <c r="I108" s="197">
        <v>1250</v>
      </c>
      <c r="J108" s="268">
        <f t="shared" si="8"/>
        <v>2500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45195</v>
      </c>
      <c r="D109" s="196" t="s">
        <v>23</v>
      </c>
      <c r="E109" s="196" t="s">
        <v>28</v>
      </c>
      <c r="F109" s="222">
        <v>224.6</v>
      </c>
      <c r="G109" s="222">
        <v>225.6</v>
      </c>
      <c r="H109" s="274">
        <v>-1</v>
      </c>
      <c r="I109" s="197">
        <v>5000</v>
      </c>
      <c r="J109" s="268">
        <f t="shared" si="8"/>
        <v>-5000</v>
      </c>
      <c r="K109" s="185"/>
      <c r="V109" s="183">
        <f t="shared" si="9"/>
        <v>0</v>
      </c>
      <c r="W109" s="183">
        <f t="shared" si="10"/>
        <v>1</v>
      </c>
    </row>
    <row r="110" spans="1:23" x14ac:dyDescent="0.3">
      <c r="A110" s="184"/>
      <c r="B110" s="194">
        <v>20</v>
      </c>
      <c r="C110" s="195">
        <v>45196</v>
      </c>
      <c r="D110" s="196" t="s">
        <v>23</v>
      </c>
      <c r="E110" s="196" t="s">
        <v>28</v>
      </c>
      <c r="F110" s="222">
        <v>221.5</v>
      </c>
      <c r="G110" s="222">
        <v>222.5</v>
      </c>
      <c r="H110" s="274">
        <f>222.5-221.5</f>
        <v>1</v>
      </c>
      <c r="I110" s="197">
        <v>5000</v>
      </c>
      <c r="J110" s="268">
        <f t="shared" si="8"/>
        <v>5000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>
        <v>45197</v>
      </c>
      <c r="D111" s="196" t="s">
        <v>23</v>
      </c>
      <c r="E111" s="222" t="s">
        <v>28</v>
      </c>
      <c r="F111" s="222">
        <v>226.8</v>
      </c>
      <c r="G111" s="222">
        <v>225.5</v>
      </c>
      <c r="H111" s="274">
        <f>226.8-225.5</f>
        <v>1.3000000000000114</v>
      </c>
      <c r="I111" s="197">
        <v>5000</v>
      </c>
      <c r="J111" s="268">
        <f t="shared" si="8"/>
        <v>6500.0000000000564</v>
      </c>
      <c r="K111" s="185"/>
      <c r="V111" s="183">
        <f t="shared" si="9"/>
        <v>1</v>
      </c>
      <c r="W111" s="183">
        <f t="shared" si="10"/>
        <v>0</v>
      </c>
    </row>
    <row r="112" spans="1:23" x14ac:dyDescent="0.3">
      <c r="A112" s="184"/>
      <c r="B112" s="194">
        <v>22</v>
      </c>
      <c r="C112" s="195">
        <v>45198</v>
      </c>
      <c r="D112" s="196" t="s">
        <v>23</v>
      </c>
      <c r="E112" s="222" t="s">
        <v>28</v>
      </c>
      <c r="F112" s="222">
        <v>231</v>
      </c>
      <c r="G112" s="222">
        <v>232</v>
      </c>
      <c r="H112" s="274">
        <v>-1</v>
      </c>
      <c r="I112" s="197">
        <v>5000</v>
      </c>
      <c r="J112" s="268">
        <f t="shared" si="8"/>
        <v>-5000</v>
      </c>
      <c r="K112" s="185"/>
      <c r="V112" s="183">
        <f>IF($J112&gt;0,1,0)</f>
        <v>0</v>
      </c>
      <c r="W112" s="183">
        <f>IF($J112&lt;0,1,0)</f>
        <v>1</v>
      </c>
    </row>
    <row r="113" spans="1:23" x14ac:dyDescent="0.3">
      <c r="A113" s="184"/>
      <c r="B113" s="194">
        <v>23</v>
      </c>
      <c r="C113" s="195">
        <v>45198</v>
      </c>
      <c r="D113" s="196" t="s">
        <v>23</v>
      </c>
      <c r="E113" s="222" t="s">
        <v>152</v>
      </c>
      <c r="F113" s="222">
        <v>243</v>
      </c>
      <c r="G113" s="222">
        <v>240</v>
      </c>
      <c r="H113" s="222">
        <v>3</v>
      </c>
      <c r="I113" s="197">
        <v>1250</v>
      </c>
      <c r="J113" s="268">
        <f>I113*H113</f>
        <v>3750</v>
      </c>
      <c r="K113" s="185"/>
      <c r="V113" s="183">
        <f>IF($J113&gt;0,1,0)</f>
        <v>1</v>
      </c>
      <c r="W113" s="183">
        <f>IF($J113&lt;0,1,0)</f>
        <v>0</v>
      </c>
    </row>
    <row r="114" spans="1:23" ht="15" thickBot="1" x14ac:dyDescent="0.35">
      <c r="A114" s="184"/>
      <c r="B114" s="194">
        <v>24</v>
      </c>
      <c r="C114" s="220"/>
      <c r="D114" s="221"/>
      <c r="E114" s="221"/>
      <c r="F114" s="222"/>
      <c r="G114" s="222"/>
      <c r="H114" s="222"/>
      <c r="I114" s="211"/>
      <c r="J114" s="272">
        <f>I114*H114</f>
        <v>0</v>
      </c>
      <c r="K114" s="185"/>
      <c r="V114" s="183">
        <f>IF($J114&gt;0,1,0)</f>
        <v>0</v>
      </c>
      <c r="W114" s="183">
        <f>IF($J114&lt;0,1,0)</f>
        <v>0</v>
      </c>
    </row>
    <row r="115" spans="1:23" ht="24" thickBot="1" x14ac:dyDescent="0.5">
      <c r="A115" s="184"/>
      <c r="B115" s="316" t="s">
        <v>879</v>
      </c>
      <c r="C115" s="317"/>
      <c r="D115" s="317"/>
      <c r="E115" s="317"/>
      <c r="F115" s="317"/>
      <c r="G115" s="317"/>
      <c r="H115" s="318"/>
      <c r="I115" s="212" t="s">
        <v>880</v>
      </c>
      <c r="J115" s="213">
        <f>SUM(J91:J114)</f>
        <v>53500.000000000029</v>
      </c>
      <c r="K115" s="185"/>
      <c r="V115" s="183">
        <f>SUM(V91:V114)</f>
        <v>18</v>
      </c>
      <c r="W115" s="183">
        <f>SUM(W91:W114)</f>
        <v>5</v>
      </c>
    </row>
    <row r="116" spans="1:23" ht="30" customHeight="1" thickBot="1" x14ac:dyDescent="0.35">
      <c r="A116" s="205"/>
      <c r="B116" s="206"/>
      <c r="C116" s="206"/>
      <c r="D116" s="206"/>
      <c r="E116" s="206"/>
      <c r="F116" s="206"/>
      <c r="G116" s="206"/>
      <c r="H116" s="261"/>
      <c r="I116" s="206"/>
      <c r="J116" s="261"/>
      <c r="K116" s="207"/>
      <c r="L116" s="183" t="s">
        <v>926</v>
      </c>
    </row>
    <row r="117" spans="1:23" ht="15" thickBot="1" x14ac:dyDescent="0.35"/>
    <row r="118" spans="1:23" ht="30" customHeight="1" thickBot="1" x14ac:dyDescent="0.35">
      <c r="A118" s="180"/>
      <c r="B118" s="181"/>
      <c r="C118" s="181"/>
      <c r="D118" s="181"/>
      <c r="E118" s="181"/>
      <c r="F118" s="181"/>
      <c r="G118" s="181"/>
      <c r="H118" s="259"/>
      <c r="I118" s="181"/>
      <c r="J118" s="259"/>
      <c r="K118" s="182"/>
    </row>
    <row r="119" spans="1:23" ht="25.2" thickBot="1" x14ac:dyDescent="0.35">
      <c r="A119" s="184" t="s">
        <v>0</v>
      </c>
      <c r="B119" s="307" t="s">
        <v>873</v>
      </c>
      <c r="C119" s="308"/>
      <c r="D119" s="308"/>
      <c r="E119" s="308"/>
      <c r="F119" s="308"/>
      <c r="G119" s="308"/>
      <c r="H119" s="308"/>
      <c r="I119" s="308"/>
      <c r="J119" s="309"/>
      <c r="K119" s="185"/>
    </row>
    <row r="120" spans="1:23" ht="16.2" thickBot="1" x14ac:dyDescent="0.35">
      <c r="A120" s="184"/>
      <c r="B120" s="310">
        <v>45170</v>
      </c>
      <c r="C120" s="311"/>
      <c r="D120" s="311"/>
      <c r="E120" s="311"/>
      <c r="F120" s="311"/>
      <c r="G120" s="311"/>
      <c r="H120" s="311"/>
      <c r="I120" s="311"/>
      <c r="J120" s="312"/>
      <c r="K120" s="185"/>
    </row>
    <row r="121" spans="1:23" ht="16.2" thickBot="1" x14ac:dyDescent="0.35">
      <c r="A121" s="184"/>
      <c r="B121" s="313" t="s">
        <v>905</v>
      </c>
      <c r="C121" s="314"/>
      <c r="D121" s="314"/>
      <c r="E121" s="314"/>
      <c r="F121" s="314"/>
      <c r="G121" s="314"/>
      <c r="H121" s="314"/>
      <c r="I121" s="314"/>
      <c r="J121" s="315"/>
      <c r="K121" s="185"/>
    </row>
    <row r="122" spans="1:23" ht="15" thickBot="1" x14ac:dyDescent="0.35">
      <c r="A122" s="208"/>
      <c r="B122" s="186" t="s">
        <v>876</v>
      </c>
      <c r="C122" s="187" t="s">
        <v>1</v>
      </c>
      <c r="D122" s="188" t="s">
        <v>2</v>
      </c>
      <c r="E122" s="188" t="s">
        <v>3</v>
      </c>
      <c r="F122" s="189" t="s">
        <v>4</v>
      </c>
      <c r="G122" s="189" t="s">
        <v>5</v>
      </c>
      <c r="H122" s="260" t="s">
        <v>720</v>
      </c>
      <c r="I122" s="189" t="s">
        <v>6</v>
      </c>
      <c r="J122" s="266" t="s">
        <v>7</v>
      </c>
      <c r="K122" s="209"/>
      <c r="L122" s="198"/>
      <c r="V122" s="183" t="s">
        <v>254</v>
      </c>
      <c r="W122" s="183" t="s">
        <v>255</v>
      </c>
    </row>
    <row r="123" spans="1:23" x14ac:dyDescent="0.3">
      <c r="A123" s="184"/>
      <c r="B123" s="214">
        <v>1</v>
      </c>
      <c r="C123" s="215">
        <v>45170</v>
      </c>
      <c r="D123" s="216" t="s">
        <v>16</v>
      </c>
      <c r="E123" s="256" t="s">
        <v>931</v>
      </c>
      <c r="F123" s="256">
        <v>180</v>
      </c>
      <c r="G123" s="256">
        <v>192</v>
      </c>
      <c r="H123" s="256">
        <v>12</v>
      </c>
      <c r="I123" s="218">
        <v>100</v>
      </c>
      <c r="J123" s="273">
        <f>I123*H123</f>
        <v>1200</v>
      </c>
      <c r="K123" s="185"/>
      <c r="V123" s="183">
        <f>IF($J123&gt;0,1,0)</f>
        <v>1</v>
      </c>
      <c r="W123" s="183">
        <f>IF($J123&lt;0,1,0)</f>
        <v>0</v>
      </c>
    </row>
    <row r="124" spans="1:23" x14ac:dyDescent="0.3">
      <c r="A124" s="184"/>
      <c r="B124" s="194">
        <v>2</v>
      </c>
      <c r="C124" s="195">
        <v>45173</v>
      </c>
      <c r="D124" s="196" t="s">
        <v>16</v>
      </c>
      <c r="E124" s="222" t="s">
        <v>932</v>
      </c>
      <c r="F124" s="222">
        <v>180</v>
      </c>
      <c r="G124" s="222">
        <v>188</v>
      </c>
      <c r="H124" s="222">
        <v>8</v>
      </c>
      <c r="I124" s="218">
        <v>100</v>
      </c>
      <c r="J124" s="268">
        <f t="shared" ref="J124:J143" si="11">I124*H124</f>
        <v>800</v>
      </c>
      <c r="K124" s="185"/>
      <c r="V124" s="183">
        <f t="shared" ref="V124:V145" si="12">IF($J124&gt;0,1,0)</f>
        <v>1</v>
      </c>
      <c r="W124" s="183">
        <f t="shared" ref="W124:W145" si="13">IF($J124&lt;0,1,0)</f>
        <v>0</v>
      </c>
    </row>
    <row r="125" spans="1:23" x14ac:dyDescent="0.3">
      <c r="A125" s="184"/>
      <c r="B125" s="194">
        <v>3</v>
      </c>
      <c r="C125" s="195">
        <v>45174</v>
      </c>
      <c r="D125" s="196" t="s">
        <v>16</v>
      </c>
      <c r="E125" s="222" t="s">
        <v>932</v>
      </c>
      <c r="F125" s="222">
        <v>185</v>
      </c>
      <c r="G125" s="222">
        <v>165</v>
      </c>
      <c r="H125" s="222">
        <v>-20</v>
      </c>
      <c r="I125" s="218">
        <v>100</v>
      </c>
      <c r="J125" s="268">
        <f t="shared" si="11"/>
        <v>-2000</v>
      </c>
      <c r="K125" s="185"/>
      <c r="M125" s="183" t="s">
        <v>870</v>
      </c>
      <c r="V125" s="183">
        <f t="shared" si="12"/>
        <v>0</v>
      </c>
      <c r="W125" s="183">
        <f t="shared" si="13"/>
        <v>1</v>
      </c>
    </row>
    <row r="126" spans="1:23" x14ac:dyDescent="0.3">
      <c r="A126" s="184"/>
      <c r="B126" s="194">
        <v>4</v>
      </c>
      <c r="C126" s="195">
        <v>45175</v>
      </c>
      <c r="D126" s="196" t="s">
        <v>16</v>
      </c>
      <c r="E126" s="222" t="s">
        <v>933</v>
      </c>
      <c r="F126" s="222">
        <v>170</v>
      </c>
      <c r="G126" s="222">
        <v>178</v>
      </c>
      <c r="H126" s="222">
        <v>8</v>
      </c>
      <c r="I126" s="218">
        <v>100</v>
      </c>
      <c r="J126" s="268">
        <f t="shared" si="11"/>
        <v>800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5</v>
      </c>
      <c r="C127" s="195">
        <v>45176</v>
      </c>
      <c r="D127" s="196" t="s">
        <v>16</v>
      </c>
      <c r="E127" s="222" t="s">
        <v>934</v>
      </c>
      <c r="F127" s="222">
        <v>185</v>
      </c>
      <c r="G127" s="222">
        <v>165</v>
      </c>
      <c r="H127" s="222">
        <v>-20</v>
      </c>
      <c r="I127" s="218">
        <v>100</v>
      </c>
      <c r="J127" s="268">
        <f t="shared" si="11"/>
        <v>-2000</v>
      </c>
      <c r="K127" s="185"/>
      <c r="V127" s="183">
        <f t="shared" si="12"/>
        <v>0</v>
      </c>
      <c r="W127" s="183">
        <f t="shared" si="13"/>
        <v>1</v>
      </c>
    </row>
    <row r="128" spans="1:23" x14ac:dyDescent="0.3">
      <c r="A128" s="184"/>
      <c r="B128" s="194">
        <v>6</v>
      </c>
      <c r="C128" s="195">
        <v>45177</v>
      </c>
      <c r="D128" s="196" t="s">
        <v>16</v>
      </c>
      <c r="E128" s="222" t="s">
        <v>934</v>
      </c>
      <c r="F128" s="222">
        <v>165</v>
      </c>
      <c r="G128" s="222">
        <v>180</v>
      </c>
      <c r="H128" s="222">
        <f>180-165</f>
        <v>15</v>
      </c>
      <c r="I128" s="218">
        <v>100</v>
      </c>
      <c r="J128" s="268">
        <f t="shared" si="11"/>
        <v>1500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7</v>
      </c>
      <c r="C129" s="195">
        <v>45180</v>
      </c>
      <c r="D129" s="196" t="s">
        <v>16</v>
      </c>
      <c r="E129" s="222" t="s">
        <v>933</v>
      </c>
      <c r="F129" s="222">
        <v>103</v>
      </c>
      <c r="G129" s="222">
        <v>113</v>
      </c>
      <c r="H129" s="274">
        <f>113-103</f>
        <v>10</v>
      </c>
      <c r="I129" s="218">
        <v>100</v>
      </c>
      <c r="J129" s="268">
        <f t="shared" si="11"/>
        <v>1000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8</v>
      </c>
      <c r="C130" s="195">
        <v>45181</v>
      </c>
      <c r="D130" s="196" t="s">
        <v>16</v>
      </c>
      <c r="E130" s="222" t="s">
        <v>935</v>
      </c>
      <c r="F130" s="222">
        <v>112</v>
      </c>
      <c r="G130" s="222">
        <v>130</v>
      </c>
      <c r="H130" s="222">
        <f>130-112</f>
        <v>18</v>
      </c>
      <c r="I130" s="218">
        <v>100</v>
      </c>
      <c r="J130" s="268">
        <f t="shared" si="11"/>
        <v>1800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9</v>
      </c>
      <c r="C131" s="195">
        <v>45182</v>
      </c>
      <c r="D131" s="196" t="s">
        <v>16</v>
      </c>
      <c r="E131" s="222" t="s">
        <v>919</v>
      </c>
      <c r="F131" s="222">
        <v>150</v>
      </c>
      <c r="G131" s="222">
        <v>190</v>
      </c>
      <c r="H131" s="222">
        <v>40</v>
      </c>
      <c r="I131" s="218">
        <v>100</v>
      </c>
      <c r="J131" s="268">
        <f t="shared" si="11"/>
        <v>4000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10</v>
      </c>
      <c r="C132" s="195">
        <v>45183</v>
      </c>
      <c r="D132" s="196" t="s">
        <v>16</v>
      </c>
      <c r="E132" s="222" t="s">
        <v>936</v>
      </c>
      <c r="F132" s="222">
        <v>100</v>
      </c>
      <c r="G132" s="222">
        <v>112</v>
      </c>
      <c r="H132" s="222">
        <v>12</v>
      </c>
      <c r="I132" s="218">
        <v>100</v>
      </c>
      <c r="J132" s="268">
        <f t="shared" si="11"/>
        <v>1200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11</v>
      </c>
      <c r="C133" s="195">
        <v>45184</v>
      </c>
      <c r="D133" s="196" t="s">
        <v>16</v>
      </c>
      <c r="E133" s="222" t="s">
        <v>937</v>
      </c>
      <c r="F133" s="222">
        <v>225</v>
      </c>
      <c r="G133" s="222">
        <v>253</v>
      </c>
      <c r="H133" s="274">
        <f>253-225</f>
        <v>28</v>
      </c>
      <c r="I133" s="218">
        <v>100</v>
      </c>
      <c r="J133" s="268">
        <f t="shared" si="11"/>
        <v>2800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12</v>
      </c>
      <c r="C134" s="195">
        <v>45187</v>
      </c>
      <c r="D134" s="196" t="s">
        <v>16</v>
      </c>
      <c r="E134" s="222" t="s">
        <v>936</v>
      </c>
      <c r="F134" s="222">
        <v>240</v>
      </c>
      <c r="G134" s="222">
        <v>220</v>
      </c>
      <c r="H134" s="274">
        <v>-20</v>
      </c>
      <c r="I134" s="218">
        <v>100</v>
      </c>
      <c r="J134" s="268">
        <f t="shared" si="11"/>
        <v>-2000</v>
      </c>
      <c r="K134" s="185"/>
      <c r="V134" s="183">
        <f t="shared" si="12"/>
        <v>0</v>
      </c>
      <c r="W134" s="183">
        <f t="shared" si="13"/>
        <v>1</v>
      </c>
    </row>
    <row r="135" spans="1:23" x14ac:dyDescent="0.3">
      <c r="A135" s="184"/>
      <c r="B135" s="194">
        <v>13</v>
      </c>
      <c r="C135" s="195">
        <v>45189</v>
      </c>
      <c r="D135" s="196" t="s">
        <v>16</v>
      </c>
      <c r="E135" s="222" t="s">
        <v>936</v>
      </c>
      <c r="F135" s="222">
        <v>270</v>
      </c>
      <c r="G135" s="222">
        <v>290</v>
      </c>
      <c r="H135" s="274">
        <v>20</v>
      </c>
      <c r="I135" s="218">
        <v>100</v>
      </c>
      <c r="J135" s="268">
        <f t="shared" si="11"/>
        <v>2000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14</v>
      </c>
      <c r="C136" s="195">
        <v>45190</v>
      </c>
      <c r="D136" s="196" t="s">
        <v>16</v>
      </c>
      <c r="E136" s="222" t="s">
        <v>937</v>
      </c>
      <c r="F136" s="222">
        <v>253</v>
      </c>
      <c r="G136" s="222">
        <v>233</v>
      </c>
      <c r="H136" s="274">
        <v>-20</v>
      </c>
      <c r="I136" s="218">
        <v>100</v>
      </c>
      <c r="J136" s="268">
        <f t="shared" si="11"/>
        <v>-2000</v>
      </c>
      <c r="K136" s="185"/>
      <c r="V136" s="183">
        <f t="shared" si="12"/>
        <v>0</v>
      </c>
      <c r="W136" s="183">
        <f t="shared" si="13"/>
        <v>1</v>
      </c>
    </row>
    <row r="137" spans="1:23" x14ac:dyDescent="0.3">
      <c r="A137" s="184"/>
      <c r="B137" s="194">
        <v>15</v>
      </c>
      <c r="C137" s="195">
        <v>45191</v>
      </c>
      <c r="D137" s="196" t="s">
        <v>16</v>
      </c>
      <c r="E137" s="196" t="s">
        <v>936</v>
      </c>
      <c r="F137" s="222">
        <v>235</v>
      </c>
      <c r="G137" s="222">
        <v>240</v>
      </c>
      <c r="H137" s="222">
        <v>5</v>
      </c>
      <c r="I137" s="218">
        <v>100</v>
      </c>
      <c r="J137" s="268">
        <f t="shared" si="11"/>
        <v>500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16</v>
      </c>
      <c r="C138" s="195">
        <v>45194</v>
      </c>
      <c r="D138" s="196" t="s">
        <v>16</v>
      </c>
      <c r="E138" s="196" t="s">
        <v>936</v>
      </c>
      <c r="F138" s="222">
        <v>226</v>
      </c>
      <c r="G138" s="274">
        <v>246</v>
      </c>
      <c r="H138" s="274">
        <f>246-226</f>
        <v>20</v>
      </c>
      <c r="I138" s="218">
        <v>100</v>
      </c>
      <c r="J138" s="268">
        <f t="shared" si="11"/>
        <v>2000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17</v>
      </c>
      <c r="C139" s="195">
        <v>45195</v>
      </c>
      <c r="D139" s="196" t="s">
        <v>16</v>
      </c>
      <c r="E139" s="196" t="s">
        <v>936</v>
      </c>
      <c r="F139" s="222">
        <v>262</v>
      </c>
      <c r="G139" s="222">
        <v>271</v>
      </c>
      <c r="H139" s="274">
        <f>271-262</f>
        <v>9</v>
      </c>
      <c r="I139" s="218">
        <v>100</v>
      </c>
      <c r="J139" s="268">
        <f t="shared" si="11"/>
        <v>900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18</v>
      </c>
      <c r="C140" s="195">
        <v>45196</v>
      </c>
      <c r="D140" s="196" t="s">
        <v>16</v>
      </c>
      <c r="E140" s="196" t="s">
        <v>938</v>
      </c>
      <c r="F140" s="222">
        <v>250</v>
      </c>
      <c r="G140" s="222">
        <v>260</v>
      </c>
      <c r="H140" s="274">
        <v>10</v>
      </c>
      <c r="I140" s="218">
        <v>100</v>
      </c>
      <c r="J140" s="268">
        <f t="shared" si="11"/>
        <v>1000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19</v>
      </c>
      <c r="C141" s="195">
        <v>45197</v>
      </c>
      <c r="D141" s="196" t="s">
        <v>16</v>
      </c>
      <c r="E141" s="196" t="s">
        <v>938</v>
      </c>
      <c r="F141" s="222">
        <v>210</v>
      </c>
      <c r="G141" s="222">
        <v>230</v>
      </c>
      <c r="H141" s="274">
        <v>20</v>
      </c>
      <c r="I141" s="218">
        <v>100</v>
      </c>
      <c r="J141" s="268">
        <f t="shared" si="11"/>
        <v>2000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20</v>
      </c>
      <c r="C142" s="195">
        <v>45198</v>
      </c>
      <c r="D142" s="196" t="s">
        <v>16</v>
      </c>
      <c r="E142" s="222" t="s">
        <v>938</v>
      </c>
      <c r="F142" s="222">
        <v>210</v>
      </c>
      <c r="G142" s="222">
        <v>230</v>
      </c>
      <c r="H142" s="274">
        <v>20</v>
      </c>
      <c r="I142" s="218">
        <v>100</v>
      </c>
      <c r="J142" s="268">
        <f t="shared" si="11"/>
        <v>2000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21</v>
      </c>
      <c r="C143" s="195"/>
      <c r="D143" s="196"/>
      <c r="E143" s="222"/>
      <c r="F143" s="222"/>
      <c r="G143" s="222"/>
      <c r="H143" s="274"/>
      <c r="I143" s="218"/>
      <c r="J143" s="268">
        <f t="shared" si="11"/>
        <v>0</v>
      </c>
      <c r="K143" s="185"/>
      <c r="V143" s="183">
        <f t="shared" si="12"/>
        <v>0</v>
      </c>
      <c r="W143" s="183">
        <f t="shared" si="13"/>
        <v>0</v>
      </c>
    </row>
    <row r="144" spans="1:23" x14ac:dyDescent="0.3">
      <c r="A144" s="184"/>
      <c r="B144" s="194">
        <v>22</v>
      </c>
      <c r="C144" s="195"/>
      <c r="D144" s="196"/>
      <c r="E144" s="222"/>
      <c r="F144" s="222"/>
      <c r="G144" s="222"/>
      <c r="H144" s="222"/>
      <c r="I144" s="218"/>
      <c r="J144" s="268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15" thickBot="1" x14ac:dyDescent="0.35">
      <c r="A145" s="184"/>
      <c r="B145" s="199">
        <v>23</v>
      </c>
      <c r="C145" s="200"/>
      <c r="D145" s="201"/>
      <c r="E145" s="201"/>
      <c r="F145" s="284"/>
      <c r="G145" s="284"/>
      <c r="H145" s="284"/>
      <c r="I145" s="285"/>
      <c r="J145" s="269">
        <f>I145*H145</f>
        <v>0</v>
      </c>
      <c r="K145" s="185"/>
      <c r="V145" s="183">
        <f t="shared" si="12"/>
        <v>0</v>
      </c>
      <c r="W145" s="183">
        <f t="shared" si="13"/>
        <v>0</v>
      </c>
    </row>
    <row r="146" spans="1:23" ht="24" thickBot="1" x14ac:dyDescent="0.5">
      <c r="A146" s="184"/>
      <c r="B146" s="304" t="s">
        <v>879</v>
      </c>
      <c r="C146" s="305"/>
      <c r="D146" s="305"/>
      <c r="E146" s="305"/>
      <c r="F146" s="305"/>
      <c r="G146" s="305"/>
      <c r="H146" s="306"/>
      <c r="I146" s="203" t="s">
        <v>880</v>
      </c>
      <c r="J146" s="204">
        <f>SUM(J123:J145)</f>
        <v>17500</v>
      </c>
      <c r="K146" s="185"/>
      <c r="V146" s="183">
        <f>SUM(V123:V145)</f>
        <v>16</v>
      </c>
      <c r="W146" s="183">
        <f>SUM(W123:W145)</f>
        <v>4</v>
      </c>
    </row>
    <row r="147" spans="1:23" ht="30" customHeight="1" thickBot="1" x14ac:dyDescent="0.35">
      <c r="A147" s="205"/>
      <c r="B147" s="286"/>
      <c r="C147" s="286"/>
      <c r="D147" s="286"/>
      <c r="E147" s="286"/>
      <c r="F147" s="286"/>
      <c r="G147" s="286"/>
      <c r="H147" s="287"/>
      <c r="I147" s="286"/>
      <c r="J147" s="287"/>
      <c r="K147" s="207"/>
    </row>
  </sheetData>
  <mergeCells count="54">
    <mergeCell ref="M10:M11"/>
    <mergeCell ref="B120:J120"/>
    <mergeCell ref="B121:J121"/>
    <mergeCell ref="B146:H146"/>
    <mergeCell ref="B83:H83"/>
    <mergeCell ref="B87:J87"/>
    <mergeCell ref="B88:J88"/>
    <mergeCell ref="B89:J89"/>
    <mergeCell ref="B115:H115"/>
    <mergeCell ref="B119:J11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8100-000000000000}"/>
    <hyperlink ref="B83" r:id="rId2" xr:uid="{00000000-0004-0000-8100-000001000000}"/>
    <hyperlink ref="M4:M5" location="'JULY 2023'!A1" display="BULLION" xr:uid="{00000000-0004-0000-8100-000002000000}"/>
    <hyperlink ref="B115" r:id="rId3" xr:uid="{00000000-0004-0000-8100-000003000000}"/>
    <hyperlink ref="M8:M9" location="'JULY 2023'!A86" display="BASE METAL" xr:uid="{00000000-0004-0000-8100-000004000000}"/>
    <hyperlink ref="M1" location="MASTER!A1" display="Back" xr:uid="{00000000-0004-0000-8100-000005000000}"/>
    <hyperlink ref="M6:M7" location="'JULY 2023'!A55" display="ENERGY" xr:uid="{00000000-0004-0000-8100-000006000000}"/>
    <hyperlink ref="B146" r:id="rId4" xr:uid="{00000000-0004-0000-8100-000007000000}"/>
    <hyperlink ref="M10:M11" location="'JULY 2023'!A117" display="CRUDEOIL OPTION" xr:uid="{00000000-0004-0000-8100-000008000000}"/>
  </hyperlinks>
  <pageMargins left="0" right="0" top="0" bottom="0" header="0" footer="0"/>
  <pageSetup paperSize="9" orientation="portrait" r:id="rId5"/>
  <drawing r:id="rId6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W147"/>
  <sheetViews>
    <sheetView topLeftCell="A64" zoomScaleNormal="100" workbookViewId="0">
      <selection activeCell="L18" sqref="L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24" width="0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45200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38</v>
      </c>
      <c r="O4" s="369">
        <f>V52</f>
        <v>33</v>
      </c>
      <c r="P4" s="369">
        <f>W52</f>
        <v>5</v>
      </c>
      <c r="Q4" s="349">
        <f>N4-O4-P4</f>
        <v>0</v>
      </c>
      <c r="R4" s="343">
        <f>O4/N4</f>
        <v>0.86842105263157898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45202</v>
      </c>
      <c r="D6" s="192" t="s">
        <v>23</v>
      </c>
      <c r="E6" s="192" t="s">
        <v>24</v>
      </c>
      <c r="F6" s="193">
        <v>56940</v>
      </c>
      <c r="G6" s="193">
        <v>56840</v>
      </c>
      <c r="H6" s="192">
        <v>100</v>
      </c>
      <c r="I6" s="193">
        <v>100</v>
      </c>
      <c r="J6" s="267">
        <f>H6*I6</f>
        <v>10000</v>
      </c>
      <c r="K6" s="185"/>
      <c r="M6" s="364" t="s">
        <v>258</v>
      </c>
      <c r="N6" s="347">
        <f>COUNT(C60:C82)</f>
        <v>23</v>
      </c>
      <c r="O6" s="348">
        <f>V83</f>
        <v>22</v>
      </c>
      <c r="P6" s="348">
        <f>W83</f>
        <v>1</v>
      </c>
      <c r="Q6" s="349">
        <v>0</v>
      </c>
      <c r="R6" s="345">
        <f t="shared" ref="R6" si="0">O6/N6</f>
        <v>0.95652173913043481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45202</v>
      </c>
      <c r="D7" s="196" t="s">
        <v>23</v>
      </c>
      <c r="E7" s="196" t="s">
        <v>22</v>
      </c>
      <c r="F7" s="197">
        <v>67150</v>
      </c>
      <c r="G7" s="197">
        <v>67000</v>
      </c>
      <c r="H7" s="196">
        <v>150</v>
      </c>
      <c r="I7" s="197">
        <v>30</v>
      </c>
      <c r="J7" s="268">
        <f t="shared" ref="J7:J51" si="1">H7*I7</f>
        <v>4500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45203</v>
      </c>
      <c r="D8" s="196" t="s">
        <v>23</v>
      </c>
      <c r="E8" s="196" t="s">
        <v>24</v>
      </c>
      <c r="F8" s="197">
        <v>56850</v>
      </c>
      <c r="G8" s="197">
        <v>56750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COUNT(C91:C114)</f>
        <v>19</v>
      </c>
      <c r="O8" s="348">
        <f>V115</f>
        <v>18</v>
      </c>
      <c r="P8" s="348">
        <f>W115</f>
        <v>1</v>
      </c>
      <c r="Q8" s="349">
        <f>N8-O8-P8</f>
        <v>0</v>
      </c>
      <c r="R8" s="345">
        <f t="shared" ref="R8" si="4">O8/N8</f>
        <v>0.94736842105263153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45203</v>
      </c>
      <c r="D9" s="196" t="s">
        <v>23</v>
      </c>
      <c r="E9" s="196" t="s">
        <v>22</v>
      </c>
      <c r="F9" s="197">
        <v>67300</v>
      </c>
      <c r="G9" s="197">
        <v>67000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45204</v>
      </c>
      <c r="D10" s="196" t="s">
        <v>23</v>
      </c>
      <c r="E10" s="196" t="s">
        <v>24</v>
      </c>
      <c r="F10" s="197">
        <v>56740</v>
      </c>
      <c r="G10" s="197">
        <v>56540</v>
      </c>
      <c r="H10" s="196">
        <v>200</v>
      </c>
      <c r="I10" s="197">
        <v>100</v>
      </c>
      <c r="J10" s="268">
        <f t="shared" si="1"/>
        <v>20000</v>
      </c>
      <c r="K10" s="185"/>
      <c r="M10" s="364" t="s">
        <v>906</v>
      </c>
      <c r="N10" s="347">
        <f>COUNT(C123:C145)</f>
        <v>19</v>
      </c>
      <c r="O10" s="348">
        <f>V146</f>
        <v>18</v>
      </c>
      <c r="P10" s="348">
        <f>W146</f>
        <v>1</v>
      </c>
      <c r="Q10" s="349">
        <f>N10-O10-P10</f>
        <v>0</v>
      </c>
      <c r="R10" s="345">
        <f>O10/N10</f>
        <v>0.94736842105263153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45204</v>
      </c>
      <c r="D11" s="196" t="s">
        <v>23</v>
      </c>
      <c r="E11" s="196" t="s">
        <v>22</v>
      </c>
      <c r="F11" s="197">
        <v>67250</v>
      </c>
      <c r="G11" s="197">
        <v>66850</v>
      </c>
      <c r="H11" s="196">
        <f>67250-66850</f>
        <v>400</v>
      </c>
      <c r="I11" s="197">
        <v>30</v>
      </c>
      <c r="J11" s="268">
        <f t="shared" si="1"/>
        <v>12000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45205</v>
      </c>
      <c r="D12" s="196" t="s">
        <v>23</v>
      </c>
      <c r="E12" s="196" t="s">
        <v>24</v>
      </c>
      <c r="F12" s="197">
        <v>56650</v>
      </c>
      <c r="G12" s="197">
        <v>56450</v>
      </c>
      <c r="H12" s="196">
        <v>200</v>
      </c>
      <c r="I12" s="197">
        <v>100</v>
      </c>
      <c r="J12" s="268">
        <f t="shared" si="1"/>
        <v>20000</v>
      </c>
      <c r="K12" s="185"/>
      <c r="M12" s="319" t="s">
        <v>300</v>
      </c>
      <c r="N12" s="371">
        <f>SUM(N4:N11)</f>
        <v>99</v>
      </c>
      <c r="O12" s="371">
        <f>SUM(O4:O11)</f>
        <v>91</v>
      </c>
      <c r="P12" s="371">
        <f>SUM(P4:P11)</f>
        <v>8</v>
      </c>
      <c r="Q12" s="371">
        <f>SUM(Q4:Q11)</f>
        <v>0</v>
      </c>
      <c r="R12" s="343">
        <f>O12/N12</f>
        <v>0.91919191919191923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45205</v>
      </c>
      <c r="D13" s="196" t="s">
        <v>23</v>
      </c>
      <c r="E13" s="196" t="s">
        <v>22</v>
      </c>
      <c r="F13" s="197">
        <v>67100</v>
      </c>
      <c r="G13" s="197">
        <v>66620</v>
      </c>
      <c r="H13" s="196">
        <f>67100-66620</f>
        <v>480</v>
      </c>
      <c r="I13" s="197">
        <v>30</v>
      </c>
      <c r="J13" s="268">
        <f t="shared" si="1"/>
        <v>14400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45208</v>
      </c>
      <c r="D14" s="196" t="s">
        <v>23</v>
      </c>
      <c r="E14" s="196" t="s">
        <v>24</v>
      </c>
      <c r="F14" s="197">
        <v>57460</v>
      </c>
      <c r="G14" s="197">
        <v>57360</v>
      </c>
      <c r="H14" s="196">
        <v>100</v>
      </c>
      <c r="I14" s="197">
        <v>100</v>
      </c>
      <c r="J14" s="268">
        <f t="shared" si="1"/>
        <v>10000</v>
      </c>
      <c r="K14" s="185"/>
      <c r="M14" s="323" t="s">
        <v>878</v>
      </c>
      <c r="N14" s="324"/>
      <c r="O14" s="325"/>
      <c r="P14" s="332">
        <f>R12</f>
        <v>0.91919191919191923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45208</v>
      </c>
      <c r="D15" s="196" t="s">
        <v>23</v>
      </c>
      <c r="E15" s="196" t="s">
        <v>22</v>
      </c>
      <c r="F15" s="197">
        <v>68700</v>
      </c>
      <c r="G15" s="197">
        <v>68550</v>
      </c>
      <c r="H15" s="196">
        <f>68700-68550</f>
        <v>150</v>
      </c>
      <c r="I15" s="197">
        <v>30</v>
      </c>
      <c r="J15" s="268">
        <f t="shared" si="1"/>
        <v>4500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45209</v>
      </c>
      <c r="D16" s="196" t="s">
        <v>23</v>
      </c>
      <c r="E16" s="196" t="s">
        <v>24</v>
      </c>
      <c r="F16" s="197">
        <v>57640</v>
      </c>
      <c r="G16" s="197">
        <v>57590</v>
      </c>
      <c r="H16" s="196">
        <f>57640-57590</f>
        <v>50</v>
      </c>
      <c r="I16" s="197">
        <v>100</v>
      </c>
      <c r="J16" s="268">
        <f t="shared" si="1"/>
        <v>5000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45209</v>
      </c>
      <c r="D17" s="196" t="s">
        <v>23</v>
      </c>
      <c r="E17" s="196" t="s">
        <v>22</v>
      </c>
      <c r="F17" s="197">
        <v>68900</v>
      </c>
      <c r="G17" s="197">
        <v>68660</v>
      </c>
      <c r="H17" s="196">
        <f>68900-68660</f>
        <v>240</v>
      </c>
      <c r="I17" s="197">
        <v>30</v>
      </c>
      <c r="J17" s="268">
        <f t="shared" si="1"/>
        <v>7200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45210</v>
      </c>
      <c r="D18" s="196" t="s">
        <v>23</v>
      </c>
      <c r="E18" s="196" t="s">
        <v>24</v>
      </c>
      <c r="F18" s="197">
        <v>57900</v>
      </c>
      <c r="G18" s="197">
        <v>57836</v>
      </c>
      <c r="H18" s="196">
        <f>57900-57836</f>
        <v>64</v>
      </c>
      <c r="I18" s="197">
        <v>100</v>
      </c>
      <c r="J18" s="268">
        <f t="shared" si="1"/>
        <v>6400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45210</v>
      </c>
      <c r="D19" s="196" t="s">
        <v>23</v>
      </c>
      <c r="E19" s="196" t="s">
        <v>22</v>
      </c>
      <c r="F19" s="197">
        <v>69650</v>
      </c>
      <c r="G19" s="197">
        <v>69480</v>
      </c>
      <c r="H19" s="196">
        <f>69650-69480</f>
        <v>170</v>
      </c>
      <c r="I19" s="197">
        <v>30</v>
      </c>
      <c r="J19" s="268">
        <f t="shared" si="1"/>
        <v>5100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45211</v>
      </c>
      <c r="D20" s="196" t="s">
        <v>23</v>
      </c>
      <c r="E20" s="196" t="s">
        <v>24</v>
      </c>
      <c r="F20" s="197">
        <v>58200</v>
      </c>
      <c r="G20" s="197">
        <v>58000</v>
      </c>
      <c r="H20" s="196">
        <v>200</v>
      </c>
      <c r="I20" s="197">
        <v>100</v>
      </c>
      <c r="J20" s="268">
        <f t="shared" si="1"/>
        <v>20000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45211</v>
      </c>
      <c r="D21" s="196" t="s">
        <v>23</v>
      </c>
      <c r="E21" s="196" t="s">
        <v>22</v>
      </c>
      <c r="F21" s="197">
        <v>69900</v>
      </c>
      <c r="G21" s="197">
        <v>69600</v>
      </c>
      <c r="H21" s="196">
        <v>300</v>
      </c>
      <c r="I21" s="197">
        <v>30</v>
      </c>
      <c r="J21" s="268">
        <f t="shared" si="1"/>
        <v>9000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45212</v>
      </c>
      <c r="D22" s="196" t="s">
        <v>23</v>
      </c>
      <c r="E22" s="196" t="s">
        <v>24</v>
      </c>
      <c r="F22" s="197">
        <v>58340</v>
      </c>
      <c r="G22" s="197">
        <v>58440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45212</v>
      </c>
      <c r="D23" s="196" t="s">
        <v>23</v>
      </c>
      <c r="E23" s="196" t="s">
        <v>22</v>
      </c>
      <c r="F23" s="197">
        <v>69850</v>
      </c>
      <c r="G23" s="197">
        <v>69680</v>
      </c>
      <c r="H23" s="196">
        <v>170</v>
      </c>
      <c r="I23" s="197">
        <v>30</v>
      </c>
      <c r="J23" s="268">
        <f t="shared" si="1"/>
        <v>5100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45215</v>
      </c>
      <c r="D24" s="196" t="s">
        <v>23</v>
      </c>
      <c r="E24" s="196" t="s">
        <v>24</v>
      </c>
      <c r="F24" s="197">
        <v>59120</v>
      </c>
      <c r="G24" s="197">
        <v>59220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45215</v>
      </c>
      <c r="D25" s="196" t="s">
        <v>23</v>
      </c>
      <c r="E25" s="196" t="s">
        <v>22</v>
      </c>
      <c r="F25" s="197">
        <v>71100</v>
      </c>
      <c r="G25" s="197">
        <v>70950</v>
      </c>
      <c r="H25" s="196">
        <f>71100-70950</f>
        <v>150</v>
      </c>
      <c r="I25" s="197">
        <v>30</v>
      </c>
      <c r="J25" s="268">
        <f t="shared" si="1"/>
        <v>4500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45216</v>
      </c>
      <c r="D26" s="196" t="s">
        <v>23</v>
      </c>
      <c r="E26" s="196" t="s">
        <v>24</v>
      </c>
      <c r="F26" s="197">
        <v>59300</v>
      </c>
      <c r="G26" s="197">
        <v>59161</v>
      </c>
      <c r="H26" s="196">
        <f>59300-59161</f>
        <v>139</v>
      </c>
      <c r="I26" s="197">
        <v>100</v>
      </c>
      <c r="J26" s="268">
        <f t="shared" si="1"/>
        <v>13900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45216</v>
      </c>
      <c r="D27" s="196" t="s">
        <v>23</v>
      </c>
      <c r="E27" s="196" t="s">
        <v>22</v>
      </c>
      <c r="F27" s="197">
        <v>71400</v>
      </c>
      <c r="G27" s="197">
        <v>71100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45217</v>
      </c>
      <c r="D28" s="196" t="s">
        <v>23</v>
      </c>
      <c r="E28" s="196" t="s">
        <v>24</v>
      </c>
      <c r="F28" s="197">
        <v>59820</v>
      </c>
      <c r="G28" s="197">
        <v>59920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45217</v>
      </c>
      <c r="D29" s="196" t="s">
        <v>23</v>
      </c>
      <c r="E29" s="196" t="s">
        <v>22</v>
      </c>
      <c r="F29" s="197">
        <v>72550</v>
      </c>
      <c r="G29" s="197">
        <v>72850</v>
      </c>
      <c r="H29" s="196">
        <v>-300</v>
      </c>
      <c r="I29" s="197">
        <v>30</v>
      </c>
      <c r="J29" s="268">
        <f t="shared" si="1"/>
        <v>-9000</v>
      </c>
      <c r="K29" s="185"/>
      <c r="V29" s="183">
        <f t="shared" si="2"/>
        <v>0</v>
      </c>
      <c r="W29" s="183">
        <f t="shared" si="3"/>
        <v>1</v>
      </c>
    </row>
    <row r="30" spans="1:23" x14ac:dyDescent="0.3">
      <c r="A30" s="184"/>
      <c r="B30" s="194">
        <v>25</v>
      </c>
      <c r="C30" s="195">
        <v>45218</v>
      </c>
      <c r="D30" s="196" t="s">
        <v>23</v>
      </c>
      <c r="E30" s="196" t="s">
        <v>24</v>
      </c>
      <c r="F30" s="197">
        <v>59940</v>
      </c>
      <c r="G30" s="197">
        <v>60040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45218</v>
      </c>
      <c r="D31" s="196" t="s">
        <v>23</v>
      </c>
      <c r="E31" s="196" t="s">
        <v>22</v>
      </c>
      <c r="F31" s="197">
        <v>71850</v>
      </c>
      <c r="G31" s="197">
        <v>71650</v>
      </c>
      <c r="H31" s="196">
        <v>200</v>
      </c>
      <c r="I31" s="197">
        <v>30</v>
      </c>
      <c r="J31" s="268">
        <f t="shared" si="1"/>
        <v>6000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45219</v>
      </c>
      <c r="D32" s="196" t="s">
        <v>23</v>
      </c>
      <c r="E32" s="196" t="s">
        <v>24</v>
      </c>
      <c r="F32" s="197">
        <v>60750</v>
      </c>
      <c r="G32" s="197">
        <v>60550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45219</v>
      </c>
      <c r="D33" s="196" t="s">
        <v>23</v>
      </c>
      <c r="E33" s="196" t="s">
        <v>22</v>
      </c>
      <c r="F33" s="197">
        <v>72400</v>
      </c>
      <c r="G33" s="197">
        <v>72000</v>
      </c>
      <c r="H33" s="196">
        <v>400</v>
      </c>
      <c r="I33" s="197">
        <v>30</v>
      </c>
      <c r="J33" s="268">
        <f t="shared" si="1"/>
        <v>12000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45224</v>
      </c>
      <c r="D34" s="196" t="s">
        <v>23</v>
      </c>
      <c r="E34" s="196" t="s">
        <v>24</v>
      </c>
      <c r="F34" s="197">
        <v>60520</v>
      </c>
      <c r="G34" s="197">
        <v>60470</v>
      </c>
      <c r="H34" s="196">
        <f>60520-60470</f>
        <v>50</v>
      </c>
      <c r="I34" s="197">
        <v>100</v>
      </c>
      <c r="J34" s="268">
        <f t="shared" si="1"/>
        <v>5000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45224</v>
      </c>
      <c r="D35" s="196" t="s">
        <v>23</v>
      </c>
      <c r="E35" s="196" t="s">
        <v>22</v>
      </c>
      <c r="F35" s="197">
        <v>71500</v>
      </c>
      <c r="G35" s="197">
        <v>71350</v>
      </c>
      <c r="H35" s="196">
        <f>71500-71350</f>
        <v>150</v>
      </c>
      <c r="I35" s="197">
        <v>30</v>
      </c>
      <c r="J35" s="268">
        <f t="shared" si="1"/>
        <v>4500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45225</v>
      </c>
      <c r="D36" s="196" t="s">
        <v>23</v>
      </c>
      <c r="E36" s="196" t="s">
        <v>24</v>
      </c>
      <c r="F36" s="197">
        <v>61020</v>
      </c>
      <c r="G36" s="197">
        <v>60820</v>
      </c>
      <c r="H36" s="196">
        <f>61020-60820</f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45225</v>
      </c>
      <c r="D37" s="196" t="s">
        <v>23</v>
      </c>
      <c r="E37" s="196" t="s">
        <v>22</v>
      </c>
      <c r="F37" s="197">
        <v>72300</v>
      </c>
      <c r="G37" s="197">
        <v>71700</v>
      </c>
      <c r="H37" s="196">
        <v>400</v>
      </c>
      <c r="I37" s="197">
        <v>30</v>
      </c>
      <c r="J37" s="268">
        <f t="shared" si="1"/>
        <v>12000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45226</v>
      </c>
      <c r="D38" s="196" t="s">
        <v>23</v>
      </c>
      <c r="E38" s="196" t="s">
        <v>24</v>
      </c>
      <c r="F38" s="197">
        <v>60800</v>
      </c>
      <c r="G38" s="197">
        <v>60700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45226</v>
      </c>
      <c r="D39" s="196" t="s">
        <v>23</v>
      </c>
      <c r="E39" s="196" t="s">
        <v>22</v>
      </c>
      <c r="F39" s="197">
        <v>71600</v>
      </c>
      <c r="G39" s="197">
        <v>71350</v>
      </c>
      <c r="H39" s="196">
        <f>71600-71350</f>
        <v>250</v>
      </c>
      <c r="I39" s="197">
        <v>30</v>
      </c>
      <c r="J39" s="268">
        <f t="shared" si="1"/>
        <v>7500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45229</v>
      </c>
      <c r="D40" s="196" t="s">
        <v>23</v>
      </c>
      <c r="E40" s="196" t="s">
        <v>24</v>
      </c>
      <c r="F40" s="197">
        <v>61250</v>
      </c>
      <c r="G40" s="197">
        <v>61150</v>
      </c>
      <c r="H40" s="196">
        <v>100</v>
      </c>
      <c r="I40" s="197">
        <v>100</v>
      </c>
      <c r="J40" s="268">
        <f t="shared" si="1"/>
        <v>10000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45229</v>
      </c>
      <c r="D41" s="196" t="s">
        <v>23</v>
      </c>
      <c r="E41" s="196" t="s">
        <v>22</v>
      </c>
      <c r="F41" s="197">
        <v>72450</v>
      </c>
      <c r="G41" s="197">
        <v>72350</v>
      </c>
      <c r="H41" s="196">
        <v>100</v>
      </c>
      <c r="I41" s="197">
        <v>30</v>
      </c>
      <c r="J41" s="268">
        <f t="shared" si="1"/>
        <v>3000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45230</v>
      </c>
      <c r="D42" s="196" t="s">
        <v>23</v>
      </c>
      <c r="E42" s="196" t="s">
        <v>24</v>
      </c>
      <c r="F42" s="197">
        <v>61320</v>
      </c>
      <c r="G42" s="197">
        <v>61240</v>
      </c>
      <c r="H42" s="196">
        <f>61320-61240</f>
        <v>80</v>
      </c>
      <c r="I42" s="197">
        <v>100</v>
      </c>
      <c r="J42" s="268">
        <f t="shared" si="1"/>
        <v>8000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45230</v>
      </c>
      <c r="D43" s="196" t="s">
        <v>23</v>
      </c>
      <c r="E43" s="196" t="s">
        <v>22</v>
      </c>
      <c r="F43" s="197">
        <v>72600</v>
      </c>
      <c r="G43" s="197">
        <v>72150</v>
      </c>
      <c r="H43" s="196">
        <f>72600-72150</f>
        <v>450</v>
      </c>
      <c r="I43" s="197">
        <v>30</v>
      </c>
      <c r="J43" s="268">
        <f t="shared" si="1"/>
        <v>13500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282100</v>
      </c>
      <c r="K52" s="185"/>
      <c r="V52" s="183">
        <f>SUM(V6:V51)</f>
        <v>33</v>
      </c>
      <c r="W52" s="183">
        <f>SUM(W6:W51)</f>
        <v>5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45200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45202</v>
      </c>
      <c r="D60" s="192" t="s">
        <v>23</v>
      </c>
      <c r="E60" s="192" t="s">
        <v>25</v>
      </c>
      <c r="F60" s="193">
        <v>7365</v>
      </c>
      <c r="G60" s="193">
        <v>7340</v>
      </c>
      <c r="H60" s="192">
        <f>7365-7340</f>
        <v>25</v>
      </c>
      <c r="I60" s="193">
        <v>100</v>
      </c>
      <c r="J60" s="267">
        <f t="shared" ref="J60:J82" si="5">I60*H60</f>
        <v>2500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45203</v>
      </c>
      <c r="D61" s="196" t="s">
        <v>23</v>
      </c>
      <c r="E61" s="196" t="s">
        <v>25</v>
      </c>
      <c r="F61" s="197">
        <v>7300</v>
      </c>
      <c r="G61" s="197">
        <v>7230</v>
      </c>
      <c r="H61" s="196">
        <f>7300-7230</f>
        <v>70</v>
      </c>
      <c r="I61" s="197">
        <v>100</v>
      </c>
      <c r="J61" s="268">
        <f t="shared" si="5"/>
        <v>7000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45204</v>
      </c>
      <c r="D62" s="196" t="s">
        <v>23</v>
      </c>
      <c r="E62" s="196" t="s">
        <v>25</v>
      </c>
      <c r="F62" s="197">
        <v>6940</v>
      </c>
      <c r="G62" s="197">
        <v>6910</v>
      </c>
      <c r="H62" s="196">
        <v>30</v>
      </c>
      <c r="I62" s="197">
        <v>100</v>
      </c>
      <c r="J62" s="268">
        <f t="shared" si="5"/>
        <v>3000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45205</v>
      </c>
      <c r="D63" s="196" t="s">
        <v>23</v>
      </c>
      <c r="E63" s="196" t="s">
        <v>25</v>
      </c>
      <c r="F63" s="197">
        <v>6890</v>
      </c>
      <c r="G63" s="197">
        <v>6820</v>
      </c>
      <c r="H63" s="196">
        <f>6890-6820</f>
        <v>70</v>
      </c>
      <c r="I63" s="197">
        <v>100</v>
      </c>
      <c r="J63" s="268">
        <f t="shared" si="5"/>
        <v>7000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45208</v>
      </c>
      <c r="D64" s="196" t="s">
        <v>23</v>
      </c>
      <c r="E64" s="196" t="s">
        <v>25</v>
      </c>
      <c r="F64" s="197">
        <v>7180</v>
      </c>
      <c r="G64" s="197">
        <v>7140</v>
      </c>
      <c r="H64" s="196">
        <v>40</v>
      </c>
      <c r="I64" s="197">
        <v>100</v>
      </c>
      <c r="J64" s="268">
        <f t="shared" si="5"/>
        <v>4000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45209</v>
      </c>
      <c r="D65" s="196" t="s">
        <v>23</v>
      </c>
      <c r="E65" s="196" t="s">
        <v>25</v>
      </c>
      <c r="F65" s="197">
        <v>7210</v>
      </c>
      <c r="G65" s="197">
        <v>7170</v>
      </c>
      <c r="H65" s="196">
        <v>60</v>
      </c>
      <c r="I65" s="197">
        <v>100</v>
      </c>
      <c r="J65" s="268">
        <f t="shared" si="5"/>
        <v>6000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45210</v>
      </c>
      <c r="D66" s="196" t="s">
        <v>23</v>
      </c>
      <c r="E66" s="196" t="s">
        <v>25</v>
      </c>
      <c r="F66" s="222">
        <v>7140</v>
      </c>
      <c r="G66" s="222">
        <v>7110</v>
      </c>
      <c r="H66" s="196">
        <v>30</v>
      </c>
      <c r="I66" s="197">
        <v>100</v>
      </c>
      <c r="J66" s="268">
        <f t="shared" si="5"/>
        <v>3000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45211</v>
      </c>
      <c r="D67" s="196" t="s">
        <v>23</v>
      </c>
      <c r="E67" s="196" t="s">
        <v>25</v>
      </c>
      <c r="F67" s="197">
        <v>7020</v>
      </c>
      <c r="G67" s="197">
        <v>7060</v>
      </c>
      <c r="H67" s="196">
        <v>-40</v>
      </c>
      <c r="I67" s="197">
        <v>100</v>
      </c>
      <c r="J67" s="268">
        <f t="shared" si="5"/>
        <v>-4000</v>
      </c>
      <c r="K67" s="185"/>
      <c r="V67" s="183">
        <f t="shared" si="6"/>
        <v>0</v>
      </c>
      <c r="W67" s="183">
        <f t="shared" si="7"/>
        <v>1</v>
      </c>
    </row>
    <row r="68" spans="1:23" x14ac:dyDescent="0.3">
      <c r="A68" s="184"/>
      <c r="B68" s="194">
        <v>9</v>
      </c>
      <c r="C68" s="195">
        <v>45212</v>
      </c>
      <c r="D68" s="196" t="s">
        <v>23</v>
      </c>
      <c r="E68" s="196" t="s">
        <v>25</v>
      </c>
      <c r="F68" s="197">
        <v>7180</v>
      </c>
      <c r="G68" s="197">
        <v>7150</v>
      </c>
      <c r="H68" s="196">
        <v>30</v>
      </c>
      <c r="I68" s="197">
        <v>100</v>
      </c>
      <c r="J68" s="268">
        <f t="shared" si="5"/>
        <v>3000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45215</v>
      </c>
      <c r="D69" s="196" t="s">
        <v>23</v>
      </c>
      <c r="E69" s="196" t="s">
        <v>25</v>
      </c>
      <c r="F69" s="197">
        <v>7315</v>
      </c>
      <c r="G69" s="197">
        <v>7285</v>
      </c>
      <c r="H69" s="196">
        <f>7315-7285</f>
        <v>30</v>
      </c>
      <c r="I69" s="197">
        <v>100</v>
      </c>
      <c r="J69" s="268">
        <f t="shared" si="5"/>
        <v>3000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45216</v>
      </c>
      <c r="D70" s="196" t="s">
        <v>23</v>
      </c>
      <c r="E70" s="196" t="s">
        <v>25</v>
      </c>
      <c r="F70" s="197">
        <v>7220</v>
      </c>
      <c r="G70" s="197">
        <v>7203</v>
      </c>
      <c r="H70" s="196">
        <f>7220-7203</f>
        <v>17</v>
      </c>
      <c r="I70" s="197">
        <v>100</v>
      </c>
      <c r="J70" s="268">
        <f t="shared" si="5"/>
        <v>1700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45217</v>
      </c>
      <c r="D71" s="196" t="s">
        <v>23</v>
      </c>
      <c r="E71" s="196" t="s">
        <v>25</v>
      </c>
      <c r="F71" s="197">
        <v>7440</v>
      </c>
      <c r="G71" s="197">
        <v>7370</v>
      </c>
      <c r="H71" s="196">
        <v>70</v>
      </c>
      <c r="I71" s="197">
        <v>100</v>
      </c>
      <c r="J71" s="268">
        <f t="shared" si="5"/>
        <v>7000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45218</v>
      </c>
      <c r="D72" s="196" t="s">
        <v>23</v>
      </c>
      <c r="E72" s="196" t="s">
        <v>25</v>
      </c>
      <c r="F72" s="197">
        <v>7270</v>
      </c>
      <c r="G72" s="197">
        <v>7250</v>
      </c>
      <c r="H72" s="196">
        <v>20</v>
      </c>
      <c r="I72" s="197">
        <v>100</v>
      </c>
      <c r="J72" s="268">
        <f t="shared" si="5"/>
        <v>2000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45218</v>
      </c>
      <c r="D73" s="196" t="s">
        <v>23</v>
      </c>
      <c r="E73" s="196" t="s">
        <v>152</v>
      </c>
      <c r="F73" s="197">
        <v>253</v>
      </c>
      <c r="G73" s="197">
        <v>251</v>
      </c>
      <c r="H73" s="196">
        <v>2</v>
      </c>
      <c r="I73" s="197">
        <v>2000</v>
      </c>
      <c r="J73" s="268">
        <f t="shared" si="5"/>
        <v>4000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45219</v>
      </c>
      <c r="D74" s="196" t="s">
        <v>23</v>
      </c>
      <c r="E74" s="196" t="s">
        <v>25</v>
      </c>
      <c r="F74" s="197">
        <v>7430</v>
      </c>
      <c r="G74" s="197">
        <v>7410</v>
      </c>
      <c r="H74" s="196">
        <v>20</v>
      </c>
      <c r="I74" s="197">
        <v>100</v>
      </c>
      <c r="J74" s="268">
        <f t="shared" si="5"/>
        <v>2000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45224</v>
      </c>
      <c r="D75" s="196" t="s">
        <v>23</v>
      </c>
      <c r="E75" s="196" t="s">
        <v>25</v>
      </c>
      <c r="F75" s="197">
        <v>7000</v>
      </c>
      <c r="G75" s="197">
        <v>6950</v>
      </c>
      <c r="H75" s="196">
        <f>7000-6950</f>
        <v>50</v>
      </c>
      <c r="I75" s="197">
        <v>100</v>
      </c>
      <c r="J75" s="268">
        <f t="shared" si="5"/>
        <v>5000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45225</v>
      </c>
      <c r="D76" s="196" t="s">
        <v>23</v>
      </c>
      <c r="E76" s="196" t="s">
        <v>25</v>
      </c>
      <c r="F76" s="197">
        <v>7060</v>
      </c>
      <c r="G76" s="197">
        <v>6990</v>
      </c>
      <c r="H76" s="196">
        <f>7060-6990</f>
        <v>70</v>
      </c>
      <c r="I76" s="197">
        <v>100</v>
      </c>
      <c r="J76" s="268">
        <f t="shared" si="5"/>
        <v>7000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45225</v>
      </c>
      <c r="D77" s="196" t="s">
        <v>16</v>
      </c>
      <c r="E77" s="196" t="s">
        <v>152</v>
      </c>
      <c r="F77" s="197">
        <v>250</v>
      </c>
      <c r="G77" s="197">
        <v>253</v>
      </c>
      <c r="H77" s="196">
        <v>3</v>
      </c>
      <c r="I77" s="197">
        <v>2000</v>
      </c>
      <c r="J77" s="268">
        <f t="shared" si="5"/>
        <v>6000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45226</v>
      </c>
      <c r="D78" s="196" t="s">
        <v>23</v>
      </c>
      <c r="E78" s="196" t="s">
        <v>25</v>
      </c>
      <c r="F78" s="197">
        <v>7075</v>
      </c>
      <c r="G78" s="197">
        <v>7005</v>
      </c>
      <c r="H78" s="196">
        <f>7075-7005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45229</v>
      </c>
      <c r="D79" s="196" t="s">
        <v>23</v>
      </c>
      <c r="E79" s="196" t="s">
        <v>25</v>
      </c>
      <c r="F79" s="197">
        <v>7040</v>
      </c>
      <c r="G79" s="197">
        <v>7000</v>
      </c>
      <c r="H79" s="196">
        <v>40</v>
      </c>
      <c r="I79" s="197">
        <v>100</v>
      </c>
      <c r="J79" s="268">
        <f t="shared" si="5"/>
        <v>4000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45229</v>
      </c>
      <c r="D80" s="196" t="s">
        <v>23</v>
      </c>
      <c r="E80" s="196" t="s">
        <v>152</v>
      </c>
      <c r="F80" s="197">
        <v>279</v>
      </c>
      <c r="G80" s="197">
        <v>277</v>
      </c>
      <c r="H80" s="196">
        <v>2</v>
      </c>
      <c r="I80" s="197">
        <v>2000</v>
      </c>
      <c r="J80" s="268">
        <f t="shared" si="5"/>
        <v>4000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45230</v>
      </c>
      <c r="D81" s="196" t="s">
        <v>23</v>
      </c>
      <c r="E81" s="196" t="s">
        <v>25</v>
      </c>
      <c r="F81" s="197">
        <v>6930</v>
      </c>
      <c r="G81" s="197">
        <v>6890</v>
      </c>
      <c r="H81" s="196">
        <v>40</v>
      </c>
      <c r="I81" s="197">
        <v>100</v>
      </c>
      <c r="J81" s="268">
        <f t="shared" si="5"/>
        <v>4000</v>
      </c>
      <c r="K81" s="185"/>
      <c r="V81" s="183">
        <f t="shared" si="6"/>
        <v>1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>
        <v>45230</v>
      </c>
      <c r="D82" s="196" t="s">
        <v>23</v>
      </c>
      <c r="E82" s="196" t="s">
        <v>152</v>
      </c>
      <c r="F82" s="197">
        <v>283</v>
      </c>
      <c r="G82" s="197">
        <v>288</v>
      </c>
      <c r="H82" s="196">
        <v>5</v>
      </c>
      <c r="I82" s="202">
        <v>2000</v>
      </c>
      <c r="J82" s="269">
        <f t="shared" si="5"/>
        <v>10000</v>
      </c>
      <c r="K82" s="185"/>
      <c r="V82" s="183">
        <f t="shared" si="6"/>
        <v>1</v>
      </c>
      <c r="W82" s="183">
        <f t="shared" si="7"/>
        <v>0</v>
      </c>
    </row>
    <row r="83" spans="1:23" ht="24" thickBot="1" x14ac:dyDescent="0.5">
      <c r="A83" s="184"/>
      <c r="B83" s="368" t="s">
        <v>879</v>
      </c>
      <c r="C83" s="305"/>
      <c r="D83" s="305"/>
      <c r="E83" s="305"/>
      <c r="F83" s="305"/>
      <c r="G83" s="305"/>
      <c r="H83" s="306"/>
      <c r="I83" s="203" t="s">
        <v>880</v>
      </c>
      <c r="J83" s="204">
        <f>SUM(J60:J82)</f>
        <v>98200</v>
      </c>
      <c r="K83" s="185"/>
      <c r="V83" s="183">
        <f>SUM(V60:V82)</f>
        <v>22</v>
      </c>
      <c r="W83" s="183">
        <f>SUM(W60:W82)</f>
        <v>1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07" t="s">
        <v>873</v>
      </c>
      <c r="C87" s="308"/>
      <c r="D87" s="308"/>
      <c r="E87" s="308"/>
      <c r="F87" s="308"/>
      <c r="G87" s="308"/>
      <c r="H87" s="308"/>
      <c r="I87" s="308"/>
      <c r="J87" s="309"/>
      <c r="K87" s="185"/>
    </row>
    <row r="88" spans="1:23" ht="16.2" thickBot="1" x14ac:dyDescent="0.35">
      <c r="A88" s="184"/>
      <c r="B88" s="310">
        <v>45200</v>
      </c>
      <c r="C88" s="311"/>
      <c r="D88" s="311"/>
      <c r="E88" s="311"/>
      <c r="F88" s="311"/>
      <c r="G88" s="311"/>
      <c r="H88" s="311"/>
      <c r="I88" s="311"/>
      <c r="J88" s="312"/>
      <c r="K88" s="185"/>
    </row>
    <row r="89" spans="1:23" ht="16.2" thickBot="1" x14ac:dyDescent="0.35">
      <c r="A89" s="184"/>
      <c r="B89" s="313" t="s">
        <v>882</v>
      </c>
      <c r="C89" s="314"/>
      <c r="D89" s="314"/>
      <c r="E89" s="314"/>
      <c r="F89" s="314"/>
      <c r="G89" s="314"/>
      <c r="H89" s="314"/>
      <c r="I89" s="314"/>
      <c r="J89" s="315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45202</v>
      </c>
      <c r="D91" s="216" t="s">
        <v>23</v>
      </c>
      <c r="E91" s="256" t="s">
        <v>28</v>
      </c>
      <c r="F91" s="256">
        <v>225.5</v>
      </c>
      <c r="G91" s="256">
        <v>224.5</v>
      </c>
      <c r="H91" s="256">
        <v>1</v>
      </c>
      <c r="I91" s="218">
        <v>5000</v>
      </c>
      <c r="J91" s="273">
        <f>I91*H91</f>
        <v>5000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45203</v>
      </c>
      <c r="D92" s="196" t="s">
        <v>23</v>
      </c>
      <c r="E92" s="222" t="s">
        <v>28</v>
      </c>
      <c r="F92" s="222">
        <v>223.7</v>
      </c>
      <c r="G92" s="222">
        <v>224.7</v>
      </c>
      <c r="H92" s="222">
        <v>-1</v>
      </c>
      <c r="I92" s="197">
        <v>5000</v>
      </c>
      <c r="J92" s="268">
        <f t="shared" ref="J92:J112" si="8">I92*H92</f>
        <v>-5000</v>
      </c>
      <c r="K92" s="185"/>
      <c r="V92" s="183">
        <f t="shared" ref="V92:V111" si="9">IF($J92&gt;0,1,0)</f>
        <v>0</v>
      </c>
      <c r="W92" s="183">
        <f t="shared" ref="W92:W111" si="10">IF($J92&lt;0,1,0)</f>
        <v>1</v>
      </c>
    </row>
    <row r="93" spans="1:23" x14ac:dyDescent="0.3">
      <c r="A93" s="184"/>
      <c r="B93" s="194">
        <v>3</v>
      </c>
      <c r="C93" s="195">
        <v>45204</v>
      </c>
      <c r="D93" s="196" t="s">
        <v>23</v>
      </c>
      <c r="E93" s="222" t="s">
        <v>28</v>
      </c>
      <c r="F93" s="222">
        <v>222</v>
      </c>
      <c r="G93" s="222">
        <v>221</v>
      </c>
      <c r="H93" s="222">
        <v>1</v>
      </c>
      <c r="I93" s="197">
        <v>5000</v>
      </c>
      <c r="J93" s="268">
        <f t="shared" si="8"/>
        <v>5000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45205</v>
      </c>
      <c r="D94" s="196" t="s">
        <v>23</v>
      </c>
      <c r="E94" s="222" t="s">
        <v>28</v>
      </c>
      <c r="F94" s="222">
        <v>223.2</v>
      </c>
      <c r="G94" s="222">
        <v>222.3</v>
      </c>
      <c r="H94" s="222">
        <v>1</v>
      </c>
      <c r="I94" s="197">
        <v>5000</v>
      </c>
      <c r="J94" s="268">
        <f t="shared" si="8"/>
        <v>5000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45208</v>
      </c>
      <c r="D95" s="196" t="s">
        <v>23</v>
      </c>
      <c r="E95" s="222" t="s">
        <v>28</v>
      </c>
      <c r="F95" s="222">
        <v>224.5</v>
      </c>
      <c r="G95" s="222">
        <v>222.5</v>
      </c>
      <c r="H95" s="222">
        <v>2</v>
      </c>
      <c r="I95" s="197">
        <v>5000</v>
      </c>
      <c r="J95" s="268">
        <f t="shared" si="8"/>
        <v>10000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45209</v>
      </c>
      <c r="D96" s="196" t="s">
        <v>23</v>
      </c>
      <c r="E96" s="222" t="s">
        <v>28</v>
      </c>
      <c r="F96" s="222">
        <v>221.4</v>
      </c>
      <c r="G96" s="222">
        <v>221</v>
      </c>
      <c r="H96" s="222">
        <v>0.4</v>
      </c>
      <c r="I96" s="197">
        <v>5000</v>
      </c>
      <c r="J96" s="268">
        <f t="shared" si="8"/>
        <v>2000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45210</v>
      </c>
      <c r="D97" s="196" t="s">
        <v>23</v>
      </c>
      <c r="E97" s="222" t="s">
        <v>28</v>
      </c>
      <c r="F97" s="222">
        <v>222.3</v>
      </c>
      <c r="G97" s="222">
        <v>221</v>
      </c>
      <c r="H97" s="274">
        <f>222.3-221</f>
        <v>1.3000000000000114</v>
      </c>
      <c r="I97" s="197">
        <v>5000</v>
      </c>
      <c r="J97" s="268">
        <f t="shared" si="8"/>
        <v>6500.0000000000564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45211</v>
      </c>
      <c r="D98" s="196" t="s">
        <v>23</v>
      </c>
      <c r="E98" s="222" t="s">
        <v>28</v>
      </c>
      <c r="F98" s="222">
        <v>221.8</v>
      </c>
      <c r="G98" s="222">
        <v>220.8</v>
      </c>
      <c r="H98" s="222">
        <v>1</v>
      </c>
      <c r="I98" s="197">
        <v>5000</v>
      </c>
      <c r="J98" s="268">
        <f t="shared" si="8"/>
        <v>5000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45212</v>
      </c>
      <c r="D99" s="196" t="s">
        <v>23</v>
      </c>
      <c r="E99" s="222" t="s">
        <v>28</v>
      </c>
      <c r="F99" s="222">
        <v>220.4</v>
      </c>
      <c r="G99" s="222">
        <v>220</v>
      </c>
      <c r="H99" s="222">
        <v>0.4</v>
      </c>
      <c r="I99" s="197">
        <v>5000</v>
      </c>
      <c r="J99" s="268">
        <f t="shared" si="8"/>
        <v>2000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45215</v>
      </c>
      <c r="D100" s="196" t="s">
        <v>23</v>
      </c>
      <c r="E100" s="222" t="s">
        <v>28</v>
      </c>
      <c r="F100" s="222">
        <v>221</v>
      </c>
      <c r="G100" s="222">
        <v>220</v>
      </c>
      <c r="H100" s="222">
        <v>1</v>
      </c>
      <c r="I100" s="197">
        <v>5000</v>
      </c>
      <c r="J100" s="268">
        <f t="shared" si="8"/>
        <v>5000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45216</v>
      </c>
      <c r="D101" s="196" t="s">
        <v>23</v>
      </c>
      <c r="E101" s="222" t="s">
        <v>28</v>
      </c>
      <c r="F101" s="222">
        <v>218</v>
      </c>
      <c r="G101" s="222">
        <v>217.3</v>
      </c>
      <c r="H101" s="274">
        <f>218-217.3</f>
        <v>0.69999999999998863</v>
      </c>
      <c r="I101" s="197">
        <v>5000</v>
      </c>
      <c r="J101" s="268">
        <f t="shared" si="8"/>
        <v>3499.9999999999432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45217</v>
      </c>
      <c r="D102" s="196" t="s">
        <v>23</v>
      </c>
      <c r="E102" s="222" t="s">
        <v>28</v>
      </c>
      <c r="F102" s="222">
        <v>220.2</v>
      </c>
      <c r="G102" s="222">
        <v>219.5</v>
      </c>
      <c r="H102" s="274">
        <f>220.2-219.5</f>
        <v>0.69999999999998863</v>
      </c>
      <c r="I102" s="197">
        <v>5000</v>
      </c>
      <c r="J102" s="268">
        <f t="shared" si="8"/>
        <v>3499.9999999999432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45218</v>
      </c>
      <c r="D103" s="196" t="s">
        <v>23</v>
      </c>
      <c r="E103" s="222" t="s">
        <v>28</v>
      </c>
      <c r="F103" s="222">
        <v>219.2</v>
      </c>
      <c r="G103" s="222">
        <v>218.8</v>
      </c>
      <c r="H103" s="274">
        <f>219.2-218.8</f>
        <v>0.39999999999997726</v>
      </c>
      <c r="I103" s="197">
        <v>5000</v>
      </c>
      <c r="J103" s="268">
        <f t="shared" si="8"/>
        <v>1999.9999999998863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45219</v>
      </c>
      <c r="D104" s="196" t="s">
        <v>23</v>
      </c>
      <c r="E104" s="222" t="s">
        <v>28</v>
      </c>
      <c r="F104" s="222">
        <v>218.6</v>
      </c>
      <c r="G104" s="222">
        <v>218.2</v>
      </c>
      <c r="H104" s="274">
        <v>0.4</v>
      </c>
      <c r="I104" s="197">
        <v>5000</v>
      </c>
      <c r="J104" s="268">
        <f t="shared" si="8"/>
        <v>2000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45224</v>
      </c>
      <c r="D105" s="196" t="s">
        <v>23</v>
      </c>
      <c r="E105" s="196" t="s">
        <v>28</v>
      </c>
      <c r="F105" s="222">
        <v>222.2</v>
      </c>
      <c r="G105" s="222">
        <v>221.8</v>
      </c>
      <c r="H105" s="222">
        <f>222.2-221.8</f>
        <v>0.39999999999997726</v>
      </c>
      <c r="I105" s="197">
        <v>5000</v>
      </c>
      <c r="J105" s="268">
        <f t="shared" si="8"/>
        <v>1999.9999999998863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45225</v>
      </c>
      <c r="D106" s="196" t="s">
        <v>23</v>
      </c>
      <c r="E106" s="196" t="s">
        <v>28</v>
      </c>
      <c r="F106" s="222">
        <v>221</v>
      </c>
      <c r="G106" s="222">
        <v>221.8</v>
      </c>
      <c r="H106" s="222">
        <v>0.8</v>
      </c>
      <c r="I106" s="197">
        <v>5000</v>
      </c>
      <c r="J106" s="268">
        <f t="shared" si="8"/>
        <v>4000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45226</v>
      </c>
      <c r="D107" s="196" t="s">
        <v>23</v>
      </c>
      <c r="E107" s="196" t="s">
        <v>28</v>
      </c>
      <c r="F107" s="222">
        <v>221.5</v>
      </c>
      <c r="G107" s="274">
        <v>221</v>
      </c>
      <c r="H107" s="274">
        <v>0.5</v>
      </c>
      <c r="I107" s="197">
        <v>5000</v>
      </c>
      <c r="J107" s="268">
        <f t="shared" si="8"/>
        <v>2500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45229</v>
      </c>
      <c r="D108" s="196" t="s">
        <v>23</v>
      </c>
      <c r="E108" s="196" t="s">
        <v>28</v>
      </c>
      <c r="F108" s="222">
        <v>222.2</v>
      </c>
      <c r="G108" s="222">
        <v>221.7</v>
      </c>
      <c r="H108" s="274">
        <f>222.2-221.7</f>
        <v>0.5</v>
      </c>
      <c r="I108" s="197">
        <v>5000</v>
      </c>
      <c r="J108" s="268">
        <f t="shared" si="8"/>
        <v>2500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45230</v>
      </c>
      <c r="D109" s="196" t="s">
        <v>23</v>
      </c>
      <c r="E109" s="196" t="s">
        <v>28</v>
      </c>
      <c r="F109" s="222">
        <v>222.2</v>
      </c>
      <c r="G109" s="222">
        <v>219.2</v>
      </c>
      <c r="H109" s="274">
        <v>1</v>
      </c>
      <c r="I109" s="197">
        <v>5000</v>
      </c>
      <c r="J109" s="268">
        <f t="shared" si="8"/>
        <v>5000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/>
      <c r="D110" s="196"/>
      <c r="E110" s="196"/>
      <c r="F110" s="222"/>
      <c r="G110" s="222"/>
      <c r="H110" s="274"/>
      <c r="I110" s="197"/>
      <c r="J110" s="268">
        <f t="shared" si="8"/>
        <v>0</v>
      </c>
      <c r="K110" s="185"/>
      <c r="V110" s="183">
        <f t="shared" si="9"/>
        <v>0</v>
      </c>
      <c r="W110" s="183">
        <f t="shared" si="10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8"/>
        <v>0</v>
      </c>
      <c r="K111" s="185"/>
      <c r="V111" s="183">
        <f t="shared" si="9"/>
        <v>0</v>
      </c>
      <c r="W111" s="183">
        <f t="shared" si="10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74"/>
      <c r="I112" s="197"/>
      <c r="J112" s="268">
        <f t="shared" si="8"/>
        <v>0</v>
      </c>
      <c r="K112" s="185"/>
      <c r="V112" s="183">
        <f>IF($J112&gt;0,1,0)</f>
        <v>0</v>
      </c>
      <c r="W112" s="183">
        <f>IF($J112&lt;0,1,0)</f>
        <v>0</v>
      </c>
    </row>
    <row r="113" spans="1:23" x14ac:dyDescent="0.3">
      <c r="A113" s="184"/>
      <c r="B113" s="194">
        <v>23</v>
      </c>
      <c r="C113" s="195"/>
      <c r="D113" s="196"/>
      <c r="E113" s="222"/>
      <c r="F113" s="222"/>
      <c r="G113" s="222"/>
      <c r="H113" s="222"/>
      <c r="I113" s="197"/>
      <c r="J113" s="268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15" thickBot="1" x14ac:dyDescent="0.35">
      <c r="A114" s="184"/>
      <c r="B114" s="194">
        <v>24</v>
      </c>
      <c r="C114" s="220"/>
      <c r="D114" s="221"/>
      <c r="E114" s="221"/>
      <c r="F114" s="222"/>
      <c r="G114" s="222"/>
      <c r="H114" s="222"/>
      <c r="I114" s="211"/>
      <c r="J114" s="272">
        <f>I114*H114</f>
        <v>0</v>
      </c>
      <c r="K114" s="185"/>
      <c r="V114" s="183">
        <f>IF($J114&gt;0,1,0)</f>
        <v>0</v>
      </c>
      <c r="W114" s="183">
        <f>IF($J114&lt;0,1,0)</f>
        <v>0</v>
      </c>
    </row>
    <row r="115" spans="1:23" ht="24" thickBot="1" x14ac:dyDescent="0.5">
      <c r="A115" s="184"/>
      <c r="B115" s="316" t="s">
        <v>879</v>
      </c>
      <c r="C115" s="317"/>
      <c r="D115" s="317"/>
      <c r="E115" s="317"/>
      <c r="F115" s="317"/>
      <c r="G115" s="317"/>
      <c r="H115" s="318"/>
      <c r="I115" s="212" t="s">
        <v>880</v>
      </c>
      <c r="J115" s="213">
        <f>SUM(J91:J114)</f>
        <v>67499.999999999709</v>
      </c>
      <c r="K115" s="185"/>
      <c r="V115" s="183">
        <f>SUM(V91:V114)</f>
        <v>18</v>
      </c>
      <c r="W115" s="183">
        <f>SUM(W91:W114)</f>
        <v>1</v>
      </c>
    </row>
    <row r="116" spans="1:23" ht="30" customHeight="1" thickBot="1" x14ac:dyDescent="0.35">
      <c r="A116" s="205"/>
      <c r="B116" s="206"/>
      <c r="C116" s="206"/>
      <c r="D116" s="206"/>
      <c r="E116" s="206"/>
      <c r="F116" s="206"/>
      <c r="G116" s="206"/>
      <c r="H116" s="261"/>
      <c r="I116" s="206"/>
      <c r="J116" s="261"/>
      <c r="K116" s="207"/>
      <c r="L116" s="183" t="s">
        <v>926</v>
      </c>
    </row>
    <row r="117" spans="1:23" ht="15" thickBot="1" x14ac:dyDescent="0.35"/>
    <row r="118" spans="1:23" ht="30" customHeight="1" thickBot="1" x14ac:dyDescent="0.35">
      <c r="A118" s="180"/>
      <c r="B118" s="181"/>
      <c r="C118" s="181"/>
      <c r="D118" s="181"/>
      <c r="E118" s="181"/>
      <c r="F118" s="181"/>
      <c r="G118" s="181"/>
      <c r="H118" s="259"/>
      <c r="I118" s="181"/>
      <c r="J118" s="259"/>
      <c r="K118" s="182"/>
    </row>
    <row r="119" spans="1:23" ht="25.2" thickBot="1" x14ac:dyDescent="0.35">
      <c r="A119" s="184" t="s">
        <v>0</v>
      </c>
      <c r="B119" s="307" t="s">
        <v>873</v>
      </c>
      <c r="C119" s="308"/>
      <c r="D119" s="308"/>
      <c r="E119" s="308"/>
      <c r="F119" s="308"/>
      <c r="G119" s="308"/>
      <c r="H119" s="308"/>
      <c r="I119" s="308"/>
      <c r="J119" s="309"/>
      <c r="K119" s="185"/>
    </row>
    <row r="120" spans="1:23" ht="16.2" thickBot="1" x14ac:dyDescent="0.35">
      <c r="A120" s="184"/>
      <c r="B120" s="310">
        <v>45200</v>
      </c>
      <c r="C120" s="311"/>
      <c r="D120" s="311"/>
      <c r="E120" s="311"/>
      <c r="F120" s="311"/>
      <c r="G120" s="311"/>
      <c r="H120" s="311"/>
      <c r="I120" s="311"/>
      <c r="J120" s="312"/>
      <c r="K120" s="185"/>
    </row>
    <row r="121" spans="1:23" ht="16.2" thickBot="1" x14ac:dyDescent="0.35">
      <c r="A121" s="184"/>
      <c r="B121" s="313" t="s">
        <v>905</v>
      </c>
      <c r="C121" s="314"/>
      <c r="D121" s="314"/>
      <c r="E121" s="314"/>
      <c r="F121" s="314"/>
      <c r="G121" s="314"/>
      <c r="H121" s="314"/>
      <c r="I121" s="314"/>
      <c r="J121" s="315"/>
      <c r="K121" s="185"/>
    </row>
    <row r="122" spans="1:23" ht="15" thickBot="1" x14ac:dyDescent="0.35">
      <c r="A122" s="208"/>
      <c r="B122" s="186" t="s">
        <v>876</v>
      </c>
      <c r="C122" s="187" t="s">
        <v>1</v>
      </c>
      <c r="D122" s="188" t="s">
        <v>2</v>
      </c>
      <c r="E122" s="188" t="s">
        <v>3</v>
      </c>
      <c r="F122" s="189" t="s">
        <v>4</v>
      </c>
      <c r="G122" s="189" t="s">
        <v>5</v>
      </c>
      <c r="H122" s="260" t="s">
        <v>720</v>
      </c>
      <c r="I122" s="189" t="s">
        <v>6</v>
      </c>
      <c r="J122" s="266" t="s">
        <v>7</v>
      </c>
      <c r="K122" s="209"/>
      <c r="L122" s="198"/>
      <c r="V122" s="183" t="s">
        <v>254</v>
      </c>
      <c r="W122" s="183" t="s">
        <v>255</v>
      </c>
    </row>
    <row r="123" spans="1:23" x14ac:dyDescent="0.3">
      <c r="A123" s="184"/>
      <c r="B123" s="214">
        <v>1</v>
      </c>
      <c r="C123" s="215">
        <v>45202</v>
      </c>
      <c r="D123" s="216" t="s">
        <v>16</v>
      </c>
      <c r="E123" s="256" t="s">
        <v>936</v>
      </c>
      <c r="F123" s="256">
        <v>270</v>
      </c>
      <c r="G123" s="256">
        <v>278</v>
      </c>
      <c r="H123" s="256">
        <v>8</v>
      </c>
      <c r="I123" s="218">
        <v>100</v>
      </c>
      <c r="J123" s="273">
        <f>I123*H123</f>
        <v>800</v>
      </c>
      <c r="K123" s="185"/>
      <c r="V123" s="183">
        <f>IF($J123&gt;0,1,0)</f>
        <v>1</v>
      </c>
      <c r="W123" s="183">
        <f>IF($J123&lt;0,1,0)</f>
        <v>0</v>
      </c>
    </row>
    <row r="124" spans="1:23" x14ac:dyDescent="0.3">
      <c r="A124" s="184"/>
      <c r="B124" s="194">
        <v>2</v>
      </c>
      <c r="C124" s="195">
        <v>45203</v>
      </c>
      <c r="D124" s="196" t="s">
        <v>16</v>
      </c>
      <c r="E124" s="222" t="s">
        <v>937</v>
      </c>
      <c r="F124" s="222">
        <v>243</v>
      </c>
      <c r="G124" s="222">
        <v>283</v>
      </c>
      <c r="H124" s="222">
        <v>40</v>
      </c>
      <c r="I124" s="218">
        <v>100</v>
      </c>
      <c r="J124" s="268">
        <f t="shared" ref="J124:J143" si="11">I124*H124</f>
        <v>4000</v>
      </c>
      <c r="K124" s="185"/>
      <c r="V124" s="183">
        <f t="shared" ref="V124:V145" si="12">IF($J124&gt;0,1,0)</f>
        <v>1</v>
      </c>
      <c r="W124" s="183">
        <f t="shared" ref="W124:W145" si="13">IF($J124&lt;0,1,0)</f>
        <v>0</v>
      </c>
    </row>
    <row r="125" spans="1:23" x14ac:dyDescent="0.3">
      <c r="A125" s="184"/>
      <c r="B125" s="194">
        <v>3</v>
      </c>
      <c r="C125" s="195">
        <v>45204</v>
      </c>
      <c r="D125" s="196" t="s">
        <v>16</v>
      </c>
      <c r="E125" s="222" t="s">
        <v>931</v>
      </c>
      <c r="F125" s="222">
        <v>240</v>
      </c>
      <c r="G125" s="222">
        <v>280</v>
      </c>
      <c r="H125" s="222">
        <v>40</v>
      </c>
      <c r="I125" s="218">
        <v>100</v>
      </c>
      <c r="J125" s="268">
        <f t="shared" si="11"/>
        <v>4000</v>
      </c>
      <c r="K125" s="185"/>
      <c r="M125" s="183" t="s">
        <v>870</v>
      </c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4</v>
      </c>
      <c r="C126" s="195">
        <v>45205</v>
      </c>
      <c r="D126" s="196" t="s">
        <v>16</v>
      </c>
      <c r="E126" s="222" t="s">
        <v>931</v>
      </c>
      <c r="F126" s="222">
        <v>250</v>
      </c>
      <c r="G126" s="222">
        <v>290</v>
      </c>
      <c r="H126" s="222">
        <v>40</v>
      </c>
      <c r="I126" s="218">
        <v>100</v>
      </c>
      <c r="J126" s="268">
        <f t="shared" si="11"/>
        <v>4000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5</v>
      </c>
      <c r="C127" s="195">
        <v>45208</v>
      </c>
      <c r="D127" s="196" t="s">
        <v>16</v>
      </c>
      <c r="E127" s="222" t="s">
        <v>933</v>
      </c>
      <c r="F127" s="222">
        <v>210</v>
      </c>
      <c r="G127" s="222">
        <v>226</v>
      </c>
      <c r="H127" s="222">
        <f>226-210</f>
        <v>16</v>
      </c>
      <c r="I127" s="218">
        <v>100</v>
      </c>
      <c r="J127" s="268">
        <f t="shared" si="11"/>
        <v>1600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6</v>
      </c>
      <c r="C128" s="195">
        <v>45209</v>
      </c>
      <c r="D128" s="196" t="s">
        <v>16</v>
      </c>
      <c r="E128" s="222" t="s">
        <v>934</v>
      </c>
      <c r="F128" s="222">
        <v>230</v>
      </c>
      <c r="G128" s="222">
        <v>250</v>
      </c>
      <c r="H128" s="222">
        <v>20</v>
      </c>
      <c r="I128" s="218">
        <v>100</v>
      </c>
      <c r="J128" s="268">
        <f t="shared" si="11"/>
        <v>2000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7</v>
      </c>
      <c r="C129" s="195">
        <v>45210</v>
      </c>
      <c r="D129" s="196" t="s">
        <v>16</v>
      </c>
      <c r="E129" s="222" t="s">
        <v>934</v>
      </c>
      <c r="F129" s="222">
        <v>250</v>
      </c>
      <c r="G129" s="222">
        <v>270</v>
      </c>
      <c r="H129" s="274">
        <v>20</v>
      </c>
      <c r="I129" s="218">
        <v>100</v>
      </c>
      <c r="J129" s="268">
        <f t="shared" si="11"/>
        <v>2000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8</v>
      </c>
      <c r="C130" s="195">
        <v>45211</v>
      </c>
      <c r="D130" s="196" t="s">
        <v>16</v>
      </c>
      <c r="E130" s="222" t="s">
        <v>933</v>
      </c>
      <c r="F130" s="222">
        <v>260</v>
      </c>
      <c r="G130" s="222">
        <v>240</v>
      </c>
      <c r="H130" s="222">
        <v>-20</v>
      </c>
      <c r="I130" s="218">
        <v>100</v>
      </c>
      <c r="J130" s="268">
        <f t="shared" si="11"/>
        <v>-2000</v>
      </c>
      <c r="K130" s="185"/>
      <c r="V130" s="183">
        <f t="shared" si="12"/>
        <v>0</v>
      </c>
      <c r="W130" s="183">
        <f t="shared" si="13"/>
        <v>1</v>
      </c>
    </row>
    <row r="131" spans="1:23" x14ac:dyDescent="0.3">
      <c r="A131" s="184"/>
      <c r="B131" s="194">
        <v>9</v>
      </c>
      <c r="C131" s="195">
        <v>45212</v>
      </c>
      <c r="D131" s="196" t="s">
        <v>16</v>
      </c>
      <c r="E131" s="222" t="s">
        <v>934</v>
      </c>
      <c r="F131" s="222">
        <v>224</v>
      </c>
      <c r="G131" s="222">
        <v>234</v>
      </c>
      <c r="H131" s="222">
        <v>10</v>
      </c>
      <c r="I131" s="218">
        <v>100</v>
      </c>
      <c r="J131" s="268">
        <f t="shared" si="11"/>
        <v>1000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10</v>
      </c>
      <c r="C132" s="195">
        <v>45215</v>
      </c>
      <c r="D132" s="196" t="s">
        <v>16</v>
      </c>
      <c r="E132" s="222" t="s">
        <v>936</v>
      </c>
      <c r="F132" s="222">
        <v>214</v>
      </c>
      <c r="G132" s="222">
        <v>241</v>
      </c>
      <c r="H132" s="222">
        <f>241-214</f>
        <v>27</v>
      </c>
      <c r="I132" s="218">
        <v>100</v>
      </c>
      <c r="J132" s="268">
        <f t="shared" si="11"/>
        <v>2700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11</v>
      </c>
      <c r="C133" s="195">
        <v>45216</v>
      </c>
      <c r="D133" s="196" t="s">
        <v>16</v>
      </c>
      <c r="E133" s="222" t="s">
        <v>936</v>
      </c>
      <c r="F133" s="222">
        <v>270</v>
      </c>
      <c r="G133" s="222">
        <v>281</v>
      </c>
      <c r="H133" s="274">
        <f>281-270</f>
        <v>11</v>
      </c>
      <c r="I133" s="218">
        <v>100</v>
      </c>
      <c r="J133" s="268">
        <f t="shared" si="11"/>
        <v>1100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12</v>
      </c>
      <c r="C134" s="195">
        <v>45217</v>
      </c>
      <c r="D134" s="196" t="s">
        <v>16</v>
      </c>
      <c r="E134" s="222" t="s">
        <v>933</v>
      </c>
      <c r="F134" s="222">
        <v>295</v>
      </c>
      <c r="G134" s="222">
        <v>335</v>
      </c>
      <c r="H134" s="274">
        <f>335-295</f>
        <v>40</v>
      </c>
      <c r="I134" s="218">
        <v>100</v>
      </c>
      <c r="J134" s="268">
        <f t="shared" si="11"/>
        <v>4000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13</v>
      </c>
      <c r="C135" s="195">
        <v>45218</v>
      </c>
      <c r="D135" s="196" t="s">
        <v>16</v>
      </c>
      <c r="E135" s="222" t="s">
        <v>932</v>
      </c>
      <c r="F135" s="222">
        <v>285</v>
      </c>
      <c r="G135" s="222">
        <v>293</v>
      </c>
      <c r="H135" s="274">
        <f>293-285</f>
        <v>8</v>
      </c>
      <c r="I135" s="218">
        <v>100</v>
      </c>
      <c r="J135" s="268">
        <f t="shared" si="11"/>
        <v>800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14</v>
      </c>
      <c r="C136" s="195">
        <v>45219</v>
      </c>
      <c r="D136" s="196" t="s">
        <v>16</v>
      </c>
      <c r="E136" s="222" t="s">
        <v>933</v>
      </c>
      <c r="F136" s="222">
        <v>245</v>
      </c>
      <c r="G136" s="222">
        <v>260</v>
      </c>
      <c r="H136" s="274">
        <f>260-245</f>
        <v>15</v>
      </c>
      <c r="I136" s="218">
        <v>100</v>
      </c>
      <c r="J136" s="268">
        <f t="shared" si="11"/>
        <v>1500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15</v>
      </c>
      <c r="C137" s="195">
        <v>45224</v>
      </c>
      <c r="D137" s="196" t="s">
        <v>16</v>
      </c>
      <c r="E137" s="196" t="s">
        <v>922</v>
      </c>
      <c r="F137" s="222">
        <v>235</v>
      </c>
      <c r="G137" s="222">
        <v>255</v>
      </c>
      <c r="H137" s="222">
        <v>20</v>
      </c>
      <c r="I137" s="218">
        <v>100</v>
      </c>
      <c r="J137" s="268">
        <f t="shared" si="11"/>
        <v>2000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16</v>
      </c>
      <c r="C138" s="195">
        <v>45225</v>
      </c>
      <c r="D138" s="196" t="s">
        <v>16</v>
      </c>
      <c r="E138" s="196" t="s">
        <v>922</v>
      </c>
      <c r="F138" s="222">
        <v>224</v>
      </c>
      <c r="G138" s="274">
        <v>264</v>
      </c>
      <c r="H138" s="274">
        <f>264-224</f>
        <v>40</v>
      </c>
      <c r="I138" s="218">
        <v>100</v>
      </c>
      <c r="J138" s="268">
        <f t="shared" si="11"/>
        <v>4000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17</v>
      </c>
      <c r="C139" s="195">
        <v>45226</v>
      </c>
      <c r="D139" s="196" t="s">
        <v>16</v>
      </c>
      <c r="E139" s="196" t="s">
        <v>931</v>
      </c>
      <c r="F139" s="222">
        <v>250</v>
      </c>
      <c r="G139" s="222">
        <v>280</v>
      </c>
      <c r="H139" s="274">
        <v>30</v>
      </c>
      <c r="I139" s="218">
        <v>100</v>
      </c>
      <c r="J139" s="268">
        <f t="shared" si="11"/>
        <v>3000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18</v>
      </c>
      <c r="C140" s="195">
        <v>45229</v>
      </c>
      <c r="D140" s="196" t="s">
        <v>16</v>
      </c>
      <c r="E140" s="196" t="s">
        <v>931</v>
      </c>
      <c r="F140" s="222">
        <v>240</v>
      </c>
      <c r="G140" s="222">
        <v>260</v>
      </c>
      <c r="H140" s="274">
        <v>20</v>
      </c>
      <c r="I140" s="218">
        <v>100</v>
      </c>
      <c r="J140" s="268">
        <f t="shared" si="11"/>
        <v>2000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19</v>
      </c>
      <c r="C141" s="195">
        <v>45230</v>
      </c>
      <c r="D141" s="196" t="s">
        <v>16</v>
      </c>
      <c r="E141" s="196" t="s">
        <v>922</v>
      </c>
      <c r="F141" s="222">
        <v>230</v>
      </c>
      <c r="G141" s="222">
        <v>250</v>
      </c>
      <c r="H141" s="274">
        <v>20</v>
      </c>
      <c r="I141" s="218">
        <v>100</v>
      </c>
      <c r="J141" s="268">
        <f t="shared" si="11"/>
        <v>2000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20</v>
      </c>
      <c r="C142" s="195"/>
      <c r="D142" s="196"/>
      <c r="E142" s="222"/>
      <c r="F142" s="222"/>
      <c r="G142" s="222"/>
      <c r="H142" s="274"/>
      <c r="I142" s="218"/>
      <c r="J142" s="268">
        <f t="shared" si="11"/>
        <v>0</v>
      </c>
      <c r="K142" s="185"/>
      <c r="V142" s="183">
        <f t="shared" si="12"/>
        <v>0</v>
      </c>
      <c r="W142" s="183">
        <f t="shared" si="13"/>
        <v>0</v>
      </c>
    </row>
    <row r="143" spans="1:23" x14ac:dyDescent="0.3">
      <c r="A143" s="184"/>
      <c r="B143" s="194">
        <v>21</v>
      </c>
      <c r="C143" s="195"/>
      <c r="D143" s="196"/>
      <c r="E143" s="222"/>
      <c r="F143" s="222"/>
      <c r="G143" s="222"/>
      <c r="H143" s="274"/>
      <c r="I143" s="218"/>
      <c r="J143" s="268">
        <f t="shared" si="11"/>
        <v>0</v>
      </c>
      <c r="K143" s="185"/>
      <c r="V143" s="183">
        <f t="shared" si="12"/>
        <v>0</v>
      </c>
      <c r="W143" s="183">
        <f t="shared" si="13"/>
        <v>0</v>
      </c>
    </row>
    <row r="144" spans="1:23" x14ac:dyDescent="0.3">
      <c r="A144" s="184"/>
      <c r="B144" s="194">
        <v>22</v>
      </c>
      <c r="C144" s="195"/>
      <c r="D144" s="196"/>
      <c r="E144" s="222"/>
      <c r="F144" s="222"/>
      <c r="G144" s="222"/>
      <c r="H144" s="222"/>
      <c r="I144" s="218"/>
      <c r="J144" s="268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15" thickBot="1" x14ac:dyDescent="0.35">
      <c r="A145" s="184"/>
      <c r="B145" s="199">
        <v>23</v>
      </c>
      <c r="C145" s="200"/>
      <c r="D145" s="201"/>
      <c r="E145" s="201"/>
      <c r="F145" s="284"/>
      <c r="G145" s="284"/>
      <c r="H145" s="284"/>
      <c r="I145" s="285"/>
      <c r="J145" s="269">
        <f>I145*H145</f>
        <v>0</v>
      </c>
      <c r="K145" s="185"/>
      <c r="V145" s="183">
        <f t="shared" si="12"/>
        <v>0</v>
      </c>
      <c r="W145" s="183">
        <f t="shared" si="13"/>
        <v>0</v>
      </c>
    </row>
    <row r="146" spans="1:23" ht="24" thickBot="1" x14ac:dyDescent="0.5">
      <c r="A146" s="184"/>
      <c r="B146" s="304" t="s">
        <v>879</v>
      </c>
      <c r="C146" s="305"/>
      <c r="D146" s="305"/>
      <c r="E146" s="305"/>
      <c r="F146" s="305"/>
      <c r="G146" s="305"/>
      <c r="H146" s="306"/>
      <c r="I146" s="203" t="s">
        <v>880</v>
      </c>
      <c r="J146" s="204">
        <f>SUM(J123:J145)</f>
        <v>40500</v>
      </c>
      <c r="K146" s="185"/>
      <c r="V146" s="183">
        <f>SUM(V123:V145)</f>
        <v>18</v>
      </c>
      <c r="W146" s="183">
        <f>SUM(W123:W145)</f>
        <v>1</v>
      </c>
    </row>
    <row r="147" spans="1:23" ht="30" customHeight="1" thickBot="1" x14ac:dyDescent="0.35">
      <c r="A147" s="205"/>
      <c r="B147" s="286"/>
      <c r="C147" s="286"/>
      <c r="D147" s="286"/>
      <c r="E147" s="286"/>
      <c r="F147" s="286"/>
      <c r="G147" s="286"/>
      <c r="H147" s="287"/>
      <c r="I147" s="286"/>
      <c r="J147" s="287"/>
      <c r="K147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20:J120"/>
    <mergeCell ref="B121:J121"/>
    <mergeCell ref="B146:H146"/>
    <mergeCell ref="B83:H83"/>
    <mergeCell ref="B87:J87"/>
    <mergeCell ref="B88:J88"/>
    <mergeCell ref="B89:J89"/>
    <mergeCell ref="B115:H115"/>
    <mergeCell ref="B119:J119"/>
  </mergeCells>
  <hyperlinks>
    <hyperlink ref="B52" r:id="rId1" xr:uid="{00000000-0004-0000-8200-000000000000}"/>
    <hyperlink ref="B83" r:id="rId2" xr:uid="{00000000-0004-0000-8200-000001000000}"/>
    <hyperlink ref="M4:M5" location="'OCT 2023'!A1" display="BULLION" xr:uid="{00000000-0004-0000-8200-000002000000}"/>
    <hyperlink ref="B115" r:id="rId3" xr:uid="{00000000-0004-0000-8200-000003000000}"/>
    <hyperlink ref="M8:M9" location="'OCT 2023'!A86" display="BASE METAL" xr:uid="{00000000-0004-0000-8200-000004000000}"/>
    <hyperlink ref="M1" location="MASTER!A1" display="Back" xr:uid="{00000000-0004-0000-8200-000005000000}"/>
    <hyperlink ref="M6:M7" location="'OCT 2023'!A55" display="ENERGY" xr:uid="{00000000-0004-0000-8200-000006000000}"/>
    <hyperlink ref="B146" r:id="rId4" xr:uid="{00000000-0004-0000-8200-000007000000}"/>
    <hyperlink ref="M10:M11" location="'OCT 2023'!A117" display="CRUDEOIL OPTION" xr:uid="{00000000-0004-0000-8200-000008000000}"/>
  </hyperlinks>
  <pageMargins left="0" right="0" top="0" bottom="0" header="0" footer="0"/>
  <pageSetup paperSize="9" orientation="portrait" r:id="rId5"/>
  <drawing r:id="rId6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X154"/>
  <sheetViews>
    <sheetView topLeftCell="A49" zoomScaleNormal="100" workbookViewId="0">
      <selection activeCell="E63" sqref="E6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45231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32</v>
      </c>
      <c r="O4" s="369">
        <f>V52</f>
        <v>27</v>
      </c>
      <c r="P4" s="369">
        <f>W52</f>
        <v>5</v>
      </c>
      <c r="Q4" s="349">
        <f>N4-O4-P4</f>
        <v>0</v>
      </c>
      <c r="R4" s="343">
        <f>O4/N4</f>
        <v>0.84375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45231</v>
      </c>
      <c r="D6" s="192" t="s">
        <v>23</v>
      </c>
      <c r="E6" s="192" t="s">
        <v>24</v>
      </c>
      <c r="F6" s="193">
        <v>60930</v>
      </c>
      <c r="G6" s="193">
        <v>61030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COUNT(C60:C89)</f>
        <v>29</v>
      </c>
      <c r="O6" s="348">
        <f>V90</f>
        <v>26</v>
      </c>
      <c r="P6" s="348">
        <f>W90</f>
        <v>3</v>
      </c>
      <c r="Q6" s="349">
        <v>0</v>
      </c>
      <c r="R6" s="345">
        <f t="shared" ref="R6" si="0">O6/N6</f>
        <v>0.89655172413793105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45231</v>
      </c>
      <c r="D7" s="196" t="s">
        <v>23</v>
      </c>
      <c r="E7" s="196" t="s">
        <v>22</v>
      </c>
      <c r="F7" s="197">
        <v>71200</v>
      </c>
      <c r="G7" s="197">
        <v>71500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45232</v>
      </c>
      <c r="D8" s="196" t="s">
        <v>23</v>
      </c>
      <c r="E8" s="196" t="s">
        <v>24</v>
      </c>
      <c r="F8" s="197">
        <v>61000</v>
      </c>
      <c r="G8" s="197">
        <v>60950</v>
      </c>
      <c r="H8" s="196">
        <f>61000-60950</f>
        <v>50</v>
      </c>
      <c r="I8" s="197">
        <v>100</v>
      </c>
      <c r="J8" s="268">
        <f t="shared" si="1"/>
        <v>5000</v>
      </c>
      <c r="K8" s="185"/>
      <c r="M8" s="362" t="s">
        <v>877</v>
      </c>
      <c r="N8" s="347">
        <f>COUNT(C98:C121)</f>
        <v>15</v>
      </c>
      <c r="O8" s="348">
        <f>V122</f>
        <v>13</v>
      </c>
      <c r="P8" s="348">
        <f>W122</f>
        <v>2</v>
      </c>
      <c r="Q8" s="349">
        <f>N8-O8-P8</f>
        <v>0</v>
      </c>
      <c r="R8" s="345">
        <f t="shared" ref="R8" si="4">O8/N8</f>
        <v>0.8666666666666667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45232</v>
      </c>
      <c r="D9" s="196" t="s">
        <v>23</v>
      </c>
      <c r="E9" s="196" t="s">
        <v>22</v>
      </c>
      <c r="F9" s="197">
        <v>72100</v>
      </c>
      <c r="G9" s="197">
        <v>71800</v>
      </c>
      <c r="H9" s="196">
        <f>72100-71800</f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45233</v>
      </c>
      <c r="D10" s="196" t="s">
        <v>23</v>
      </c>
      <c r="E10" s="196" t="s">
        <v>24</v>
      </c>
      <c r="F10" s="197">
        <v>61000</v>
      </c>
      <c r="G10" s="197">
        <v>60940</v>
      </c>
      <c r="H10" s="196">
        <f>61000-60940</f>
        <v>60</v>
      </c>
      <c r="I10" s="197">
        <v>100</v>
      </c>
      <c r="J10" s="268">
        <f t="shared" si="1"/>
        <v>6000</v>
      </c>
      <c r="K10" s="185"/>
      <c r="M10" s="364" t="s">
        <v>906</v>
      </c>
      <c r="N10" s="347">
        <f>COUNT(C130:C152)</f>
        <v>16</v>
      </c>
      <c r="O10" s="348">
        <f>V153</f>
        <v>13</v>
      </c>
      <c r="P10" s="348">
        <f>W153</f>
        <v>3</v>
      </c>
      <c r="Q10" s="349">
        <f>N10-O10-P10</f>
        <v>0</v>
      </c>
      <c r="R10" s="345">
        <f>O10/N10</f>
        <v>0.8125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45233</v>
      </c>
      <c r="D11" s="196" t="s">
        <v>23</v>
      </c>
      <c r="E11" s="196" t="s">
        <v>22</v>
      </c>
      <c r="F11" s="197">
        <v>71100</v>
      </c>
      <c r="G11" s="197">
        <v>71400</v>
      </c>
      <c r="H11" s="196">
        <v>-300</v>
      </c>
      <c r="I11" s="197">
        <v>30</v>
      </c>
      <c r="J11" s="268">
        <f t="shared" si="1"/>
        <v>-9000</v>
      </c>
      <c r="K11" s="185"/>
      <c r="M11" s="365"/>
      <c r="N11" s="347"/>
      <c r="O11" s="348"/>
      <c r="P11" s="348"/>
      <c r="Q11" s="350"/>
      <c r="R11" s="345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45236</v>
      </c>
      <c r="D12" s="196" t="s">
        <v>23</v>
      </c>
      <c r="E12" s="196" t="s">
        <v>24</v>
      </c>
      <c r="F12" s="197">
        <v>60910</v>
      </c>
      <c r="G12" s="197">
        <v>60860</v>
      </c>
      <c r="H12" s="196">
        <f>60910-60860</f>
        <v>50</v>
      </c>
      <c r="I12" s="197">
        <v>100</v>
      </c>
      <c r="J12" s="268">
        <f t="shared" si="1"/>
        <v>5000</v>
      </c>
      <c r="K12" s="185"/>
      <c r="M12" s="319" t="s">
        <v>300</v>
      </c>
      <c r="N12" s="371">
        <f>SUM(N4:N11)</f>
        <v>92</v>
      </c>
      <c r="O12" s="371">
        <f>SUM(O4:O11)</f>
        <v>79</v>
      </c>
      <c r="P12" s="371">
        <f>SUM(P4:P11)</f>
        <v>13</v>
      </c>
      <c r="Q12" s="371">
        <f>SUM(Q4:Q11)</f>
        <v>0</v>
      </c>
      <c r="R12" s="343">
        <f>O12/N12</f>
        <v>0.85869565217391308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45236</v>
      </c>
      <c r="D13" s="196" t="s">
        <v>23</v>
      </c>
      <c r="E13" s="196" t="s">
        <v>22</v>
      </c>
      <c r="F13" s="197">
        <v>72300</v>
      </c>
      <c r="G13" s="197">
        <v>71850</v>
      </c>
      <c r="H13" s="196">
        <f>72300-71850</f>
        <v>450</v>
      </c>
      <c r="I13" s="197">
        <v>30</v>
      </c>
      <c r="J13" s="268">
        <f t="shared" si="1"/>
        <v>13500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45237</v>
      </c>
      <c r="D14" s="196" t="s">
        <v>23</v>
      </c>
      <c r="E14" s="196" t="s">
        <v>24</v>
      </c>
      <c r="F14" s="197">
        <v>60320</v>
      </c>
      <c r="G14" s="197">
        <v>60150</v>
      </c>
      <c r="H14" s="196">
        <f>60320-60150</f>
        <v>170</v>
      </c>
      <c r="I14" s="197">
        <v>100</v>
      </c>
      <c r="J14" s="268">
        <f t="shared" si="1"/>
        <v>17000</v>
      </c>
      <c r="K14" s="185"/>
      <c r="M14" s="323" t="s">
        <v>878</v>
      </c>
      <c r="N14" s="324"/>
      <c r="O14" s="325"/>
      <c r="P14" s="332">
        <f>R12</f>
        <v>0.85869565217391308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45237</v>
      </c>
      <c r="D15" s="196" t="s">
        <v>23</v>
      </c>
      <c r="E15" s="196" t="s">
        <v>22</v>
      </c>
      <c r="F15" s="197">
        <v>70800</v>
      </c>
      <c r="G15" s="197">
        <v>70562</v>
      </c>
      <c r="H15" s="196">
        <f>70800-70562</f>
        <v>238</v>
      </c>
      <c r="I15" s="197">
        <v>30</v>
      </c>
      <c r="J15" s="268">
        <f t="shared" si="1"/>
        <v>7140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45238</v>
      </c>
      <c r="D16" s="196" t="s">
        <v>23</v>
      </c>
      <c r="E16" s="196" t="s">
        <v>24</v>
      </c>
      <c r="F16" s="197">
        <v>60350</v>
      </c>
      <c r="G16" s="197">
        <v>60215</v>
      </c>
      <c r="H16" s="196">
        <f>60350-60215</f>
        <v>135</v>
      </c>
      <c r="I16" s="197">
        <v>100</v>
      </c>
      <c r="J16" s="268">
        <f t="shared" si="1"/>
        <v>13500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45238</v>
      </c>
      <c r="D17" s="196" t="s">
        <v>23</v>
      </c>
      <c r="E17" s="196" t="s">
        <v>22</v>
      </c>
      <c r="F17" s="197">
        <v>70450</v>
      </c>
      <c r="G17" s="197">
        <v>70280</v>
      </c>
      <c r="H17" s="196">
        <f>70450-70280</f>
        <v>170</v>
      </c>
      <c r="I17" s="197">
        <v>30</v>
      </c>
      <c r="J17" s="268">
        <f t="shared" si="1"/>
        <v>5100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45239</v>
      </c>
      <c r="D18" s="196" t="s">
        <v>23</v>
      </c>
      <c r="E18" s="196" t="s">
        <v>24</v>
      </c>
      <c r="F18" s="197">
        <v>59850</v>
      </c>
      <c r="G18" s="197">
        <v>59750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45239</v>
      </c>
      <c r="D19" s="196" t="s">
        <v>23</v>
      </c>
      <c r="E19" s="196" t="s">
        <v>22</v>
      </c>
      <c r="F19" s="197">
        <v>70600</v>
      </c>
      <c r="G19" s="197">
        <v>70300</v>
      </c>
      <c r="H19" s="196">
        <v>300</v>
      </c>
      <c r="I19" s="197">
        <v>30</v>
      </c>
      <c r="J19" s="268">
        <f t="shared" si="1"/>
        <v>9000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45240</v>
      </c>
      <c r="D20" s="196" t="s">
        <v>23</v>
      </c>
      <c r="E20" s="196" t="s">
        <v>24</v>
      </c>
      <c r="F20" s="197">
        <v>60050</v>
      </c>
      <c r="G20" s="197">
        <v>59850</v>
      </c>
      <c r="H20" s="196">
        <v>200</v>
      </c>
      <c r="I20" s="197">
        <v>100</v>
      </c>
      <c r="J20" s="268">
        <f t="shared" si="1"/>
        <v>20000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45240</v>
      </c>
      <c r="D21" s="196" t="s">
        <v>23</v>
      </c>
      <c r="E21" s="196" t="s">
        <v>22</v>
      </c>
      <c r="F21" s="197">
        <v>70700</v>
      </c>
      <c r="G21" s="197">
        <v>70451</v>
      </c>
      <c r="H21" s="196">
        <f>70700-70451</f>
        <v>249</v>
      </c>
      <c r="I21" s="197">
        <v>30</v>
      </c>
      <c r="J21" s="268">
        <f t="shared" si="1"/>
        <v>7470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45250</v>
      </c>
      <c r="D22" s="196" t="s">
        <v>23</v>
      </c>
      <c r="E22" s="196" t="s">
        <v>24</v>
      </c>
      <c r="F22" s="197">
        <v>60700</v>
      </c>
      <c r="G22" s="197">
        <v>60500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45250</v>
      </c>
      <c r="D23" s="196" t="s">
        <v>23</v>
      </c>
      <c r="E23" s="196" t="s">
        <v>22</v>
      </c>
      <c r="F23" s="197">
        <v>72800</v>
      </c>
      <c r="G23" s="197">
        <v>72200</v>
      </c>
      <c r="H23" s="196">
        <f>72800-72200</f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45251</v>
      </c>
      <c r="D24" s="196" t="s">
        <v>23</v>
      </c>
      <c r="E24" s="196" t="s">
        <v>24</v>
      </c>
      <c r="F24" s="197">
        <v>60950</v>
      </c>
      <c r="G24" s="197">
        <v>60900</v>
      </c>
      <c r="H24" s="196">
        <v>50</v>
      </c>
      <c r="I24" s="197">
        <v>100</v>
      </c>
      <c r="J24" s="268">
        <f t="shared" si="1"/>
        <v>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45251</v>
      </c>
      <c r="D25" s="196" t="s">
        <v>23</v>
      </c>
      <c r="E25" s="196" t="s">
        <v>22</v>
      </c>
      <c r="F25" s="197">
        <v>72800</v>
      </c>
      <c r="G25" s="197">
        <v>72680</v>
      </c>
      <c r="H25" s="196">
        <f>72800-72680</f>
        <v>120</v>
      </c>
      <c r="I25" s="197">
        <v>30</v>
      </c>
      <c r="J25" s="268">
        <f t="shared" si="1"/>
        <v>3600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45252</v>
      </c>
      <c r="D26" s="196" t="s">
        <v>23</v>
      </c>
      <c r="E26" s="196" t="s">
        <v>24</v>
      </c>
      <c r="F26" s="197">
        <v>61300</v>
      </c>
      <c r="G26" s="197">
        <v>61250</v>
      </c>
      <c r="H26" s="196">
        <v>50</v>
      </c>
      <c r="I26" s="197">
        <v>100</v>
      </c>
      <c r="J26" s="268">
        <f t="shared" si="1"/>
        <v>5000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45252</v>
      </c>
      <c r="D27" s="196" t="s">
        <v>23</v>
      </c>
      <c r="E27" s="196" t="s">
        <v>22</v>
      </c>
      <c r="F27" s="197">
        <v>73400</v>
      </c>
      <c r="G27" s="197">
        <v>73200</v>
      </c>
      <c r="H27" s="196"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45253</v>
      </c>
      <c r="D28" s="196" t="s">
        <v>23</v>
      </c>
      <c r="E28" s="196" t="s">
        <v>24</v>
      </c>
      <c r="F28" s="197">
        <v>61100</v>
      </c>
      <c r="G28" s="197">
        <v>61050</v>
      </c>
      <c r="H28" s="196">
        <v>50</v>
      </c>
      <c r="I28" s="197">
        <v>100</v>
      </c>
      <c r="J28" s="268">
        <f t="shared" si="1"/>
        <v>5000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45253</v>
      </c>
      <c r="D29" s="196" t="s">
        <v>23</v>
      </c>
      <c r="E29" s="196" t="s">
        <v>22</v>
      </c>
      <c r="F29" s="197">
        <v>73000</v>
      </c>
      <c r="G29" s="197">
        <v>72800</v>
      </c>
      <c r="H29" s="196">
        <f>73000-72800</f>
        <v>200</v>
      </c>
      <c r="I29" s="197">
        <v>30</v>
      </c>
      <c r="J29" s="268">
        <f t="shared" si="1"/>
        <v>6000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45254</v>
      </c>
      <c r="D30" s="196" t="s">
        <v>23</v>
      </c>
      <c r="E30" s="196" t="s">
        <v>24</v>
      </c>
      <c r="F30" s="197">
        <v>61190</v>
      </c>
      <c r="G30" s="197">
        <v>61290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45254</v>
      </c>
      <c r="D31" s="196" t="s">
        <v>23</v>
      </c>
      <c r="E31" s="196" t="s">
        <v>22</v>
      </c>
      <c r="F31" s="197">
        <v>72900</v>
      </c>
      <c r="G31" s="197">
        <v>73200</v>
      </c>
      <c r="H31" s="196">
        <f>73200-72900</f>
        <v>300</v>
      </c>
      <c r="I31" s="197">
        <v>30</v>
      </c>
      <c r="J31" s="268">
        <f t="shared" si="1"/>
        <v>9000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45258</v>
      </c>
      <c r="D32" s="196" t="s">
        <v>16</v>
      </c>
      <c r="E32" s="196" t="s">
        <v>24</v>
      </c>
      <c r="F32" s="197">
        <v>61500</v>
      </c>
      <c r="G32" s="197">
        <v>61600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45258</v>
      </c>
      <c r="D33" s="196" t="s">
        <v>16</v>
      </c>
      <c r="E33" s="196" t="s">
        <v>22</v>
      </c>
      <c r="F33" s="197">
        <v>74500</v>
      </c>
      <c r="G33" s="197">
        <v>74770</v>
      </c>
      <c r="H33" s="196">
        <v>270</v>
      </c>
      <c r="I33" s="197">
        <v>30</v>
      </c>
      <c r="J33" s="268">
        <f t="shared" si="1"/>
        <v>8100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45259</v>
      </c>
      <c r="D34" s="196" t="s">
        <v>16</v>
      </c>
      <c r="E34" s="196" t="s">
        <v>24</v>
      </c>
      <c r="F34" s="197">
        <v>62500</v>
      </c>
      <c r="G34" s="197">
        <v>62400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45259</v>
      </c>
      <c r="D35" s="196" t="s">
        <v>16</v>
      </c>
      <c r="E35" s="196" t="s">
        <v>22</v>
      </c>
      <c r="F35" s="197">
        <v>75300</v>
      </c>
      <c r="G35" s="197">
        <v>75550</v>
      </c>
      <c r="H35" s="196">
        <f>75550-75300</f>
        <v>250</v>
      </c>
      <c r="I35" s="197">
        <v>30</v>
      </c>
      <c r="J35" s="268">
        <f t="shared" si="1"/>
        <v>7500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45260</v>
      </c>
      <c r="D36" s="196" t="s">
        <v>23</v>
      </c>
      <c r="E36" s="196" t="s">
        <v>24</v>
      </c>
      <c r="F36" s="197">
        <v>62720</v>
      </c>
      <c r="G36" s="197">
        <v>62620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45260</v>
      </c>
      <c r="D37" s="196" t="s">
        <v>23</v>
      </c>
      <c r="E37" s="196" t="s">
        <v>22</v>
      </c>
      <c r="F37" s="197">
        <v>77250</v>
      </c>
      <c r="G37" s="197">
        <v>77100</v>
      </c>
      <c r="H37" s="196">
        <v>150</v>
      </c>
      <c r="I37" s="197">
        <v>30</v>
      </c>
      <c r="J37" s="268">
        <f t="shared" si="1"/>
        <v>4500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x14ac:dyDescent="0.3">
      <c r="A39" s="184"/>
      <c r="B39" s="194">
        <v>34</v>
      </c>
      <c r="C39" s="195"/>
      <c r="D39" s="196"/>
      <c r="E39" s="196"/>
      <c r="F39" s="197"/>
      <c r="G39" s="197"/>
      <c r="H39" s="196"/>
      <c r="I39" s="197"/>
      <c r="J39" s="268">
        <f t="shared" si="1"/>
        <v>0</v>
      </c>
      <c r="K39" s="185"/>
      <c r="V39" s="183">
        <f t="shared" si="2"/>
        <v>0</v>
      </c>
      <c r="W39" s="183">
        <f t="shared" si="3"/>
        <v>0</v>
      </c>
    </row>
    <row r="40" spans="1:23" x14ac:dyDescent="0.3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N40" s="183" t="s">
        <v>0</v>
      </c>
      <c r="V40" s="183">
        <f t="shared" si="2"/>
        <v>0</v>
      </c>
      <c r="W40" s="183">
        <f t="shared" si="3"/>
        <v>0</v>
      </c>
    </row>
    <row r="41" spans="1:23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197410</v>
      </c>
      <c r="K52" s="185"/>
      <c r="V52" s="183">
        <f>SUM(V6:V51)</f>
        <v>27</v>
      </c>
      <c r="W52" s="183">
        <f>SUM(W6:W51)</f>
        <v>5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45231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45231</v>
      </c>
      <c r="D60" s="192" t="s">
        <v>23</v>
      </c>
      <c r="E60" s="192" t="s">
        <v>25</v>
      </c>
      <c r="F60" s="193">
        <v>6850</v>
      </c>
      <c r="G60" s="193">
        <v>6835</v>
      </c>
      <c r="H60" s="192">
        <f>6850-6835</f>
        <v>15</v>
      </c>
      <c r="I60" s="193">
        <v>100</v>
      </c>
      <c r="J60" s="267">
        <f t="shared" ref="J60:J89" si="5">I60*H60</f>
        <v>1500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45231</v>
      </c>
      <c r="D61" s="196" t="s">
        <v>23</v>
      </c>
      <c r="E61" s="196" t="s">
        <v>939</v>
      </c>
      <c r="F61" s="197">
        <v>291</v>
      </c>
      <c r="G61" s="197">
        <v>288.10000000000002</v>
      </c>
      <c r="H61" s="196">
        <f>291-288.1</f>
        <v>2.8999999999999773</v>
      </c>
      <c r="I61" s="197">
        <v>2000</v>
      </c>
      <c r="J61" s="268">
        <f t="shared" si="5"/>
        <v>5799.9999999999545</v>
      </c>
      <c r="K61" s="185"/>
      <c r="V61" s="183">
        <f t="shared" ref="V61:V89" si="6">IF($J61&gt;0,1,0)</f>
        <v>1</v>
      </c>
      <c r="W61" s="183">
        <f t="shared" ref="W61:W89" si="7">IF($J61&lt;0,1,0)</f>
        <v>0</v>
      </c>
    </row>
    <row r="62" spans="1:23" x14ac:dyDescent="0.3">
      <c r="A62" s="184"/>
      <c r="B62" s="194">
        <v>3</v>
      </c>
      <c r="C62" s="195">
        <v>45232</v>
      </c>
      <c r="D62" s="196" t="s">
        <v>23</v>
      </c>
      <c r="E62" s="196" t="s">
        <v>25</v>
      </c>
      <c r="F62" s="197">
        <v>6820</v>
      </c>
      <c r="G62" s="197">
        <v>6750</v>
      </c>
      <c r="H62" s="196">
        <f>6820-6750</f>
        <v>70</v>
      </c>
      <c r="I62" s="197">
        <v>100</v>
      </c>
      <c r="J62" s="268">
        <f t="shared" si="5"/>
        <v>7000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45232</v>
      </c>
      <c r="D63" s="196" t="s">
        <v>23</v>
      </c>
      <c r="E63" s="196" t="s">
        <v>939</v>
      </c>
      <c r="F63" s="197">
        <v>288</v>
      </c>
      <c r="G63" s="197">
        <v>284</v>
      </c>
      <c r="H63" s="196">
        <v>4</v>
      </c>
      <c r="I63" s="197">
        <v>2000</v>
      </c>
      <c r="J63" s="268">
        <f t="shared" si="5"/>
        <v>8000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45233</v>
      </c>
      <c r="D64" s="196" t="s">
        <v>23</v>
      </c>
      <c r="E64" s="196" t="s">
        <v>25</v>
      </c>
      <c r="F64" s="197">
        <v>6880</v>
      </c>
      <c r="G64" s="197">
        <v>6910</v>
      </c>
      <c r="H64" s="196">
        <v>-30</v>
      </c>
      <c r="I64" s="197">
        <v>100</v>
      </c>
      <c r="J64" s="268">
        <f t="shared" si="5"/>
        <v>-3000</v>
      </c>
      <c r="K64" s="185"/>
      <c r="V64" s="183">
        <f t="shared" si="6"/>
        <v>0</v>
      </c>
      <c r="W64" s="183">
        <f t="shared" si="7"/>
        <v>1</v>
      </c>
    </row>
    <row r="65" spans="1:23" x14ac:dyDescent="0.3">
      <c r="A65" s="184"/>
      <c r="B65" s="194">
        <v>6</v>
      </c>
      <c r="C65" s="195">
        <v>45233</v>
      </c>
      <c r="D65" s="196" t="s">
        <v>23</v>
      </c>
      <c r="E65" s="196" t="s">
        <v>939</v>
      </c>
      <c r="F65" s="197">
        <v>294</v>
      </c>
      <c r="G65" s="197">
        <v>290</v>
      </c>
      <c r="H65" s="196">
        <v>4</v>
      </c>
      <c r="I65" s="197">
        <v>2000</v>
      </c>
      <c r="J65" s="268">
        <f t="shared" si="5"/>
        <v>8000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45236</v>
      </c>
      <c r="D66" s="196" t="s">
        <v>23</v>
      </c>
      <c r="E66" s="196" t="s">
        <v>25</v>
      </c>
      <c r="F66" s="222">
        <v>6830</v>
      </c>
      <c r="G66" s="222">
        <v>6813</v>
      </c>
      <c r="H66" s="196">
        <f>6830-6813</f>
        <v>17</v>
      </c>
      <c r="I66" s="197">
        <v>100</v>
      </c>
      <c r="J66" s="268">
        <f t="shared" si="5"/>
        <v>1700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45236</v>
      </c>
      <c r="D67" s="196" t="s">
        <v>23</v>
      </c>
      <c r="E67" s="196" t="s">
        <v>939</v>
      </c>
      <c r="F67" s="197">
        <v>284</v>
      </c>
      <c r="G67" s="197">
        <v>276</v>
      </c>
      <c r="H67" s="196">
        <f>284-276</f>
        <v>8</v>
      </c>
      <c r="I67" s="197">
        <v>2000</v>
      </c>
      <c r="J67" s="268">
        <f t="shared" si="5"/>
        <v>16000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45237</v>
      </c>
      <c r="D68" s="196" t="s">
        <v>23</v>
      </c>
      <c r="E68" s="196" t="s">
        <v>25</v>
      </c>
      <c r="F68" s="197">
        <v>6640</v>
      </c>
      <c r="G68" s="197">
        <v>6600</v>
      </c>
      <c r="H68" s="196">
        <v>40</v>
      </c>
      <c r="I68" s="197">
        <v>100</v>
      </c>
      <c r="J68" s="268">
        <f t="shared" si="5"/>
        <v>4000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45238</v>
      </c>
      <c r="D69" s="196" t="s">
        <v>23</v>
      </c>
      <c r="E69" s="196" t="s">
        <v>25</v>
      </c>
      <c r="F69" s="197">
        <v>6430</v>
      </c>
      <c r="G69" s="197">
        <v>6360</v>
      </c>
      <c r="H69" s="196">
        <f>6400-6360</f>
        <v>40</v>
      </c>
      <c r="I69" s="197">
        <v>100</v>
      </c>
      <c r="J69" s="268">
        <f t="shared" si="5"/>
        <v>4000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45238</v>
      </c>
      <c r="D70" s="196" t="s">
        <v>16</v>
      </c>
      <c r="E70" s="196" t="s">
        <v>939</v>
      </c>
      <c r="F70" s="197">
        <v>264</v>
      </c>
      <c r="G70" s="197">
        <v>268</v>
      </c>
      <c r="H70" s="196">
        <v>4</v>
      </c>
      <c r="I70" s="197">
        <v>2000</v>
      </c>
      <c r="J70" s="268">
        <f t="shared" si="5"/>
        <v>8000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45239</v>
      </c>
      <c r="D71" s="196" t="s">
        <v>23</v>
      </c>
      <c r="E71" s="196" t="s">
        <v>25</v>
      </c>
      <c r="F71" s="197">
        <v>6350</v>
      </c>
      <c r="G71" s="197">
        <v>6320</v>
      </c>
      <c r="H71" s="196">
        <f>6350-6320</f>
        <v>30</v>
      </c>
      <c r="I71" s="197">
        <v>100</v>
      </c>
      <c r="J71" s="268">
        <f t="shared" si="5"/>
        <v>3000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45239</v>
      </c>
      <c r="D72" s="196" t="s">
        <v>23</v>
      </c>
      <c r="E72" s="196" t="s">
        <v>939</v>
      </c>
      <c r="F72" s="197">
        <v>259</v>
      </c>
      <c r="G72" s="197">
        <v>256</v>
      </c>
      <c r="H72" s="196">
        <v>3</v>
      </c>
      <c r="I72" s="197">
        <v>2000</v>
      </c>
      <c r="J72" s="268">
        <f t="shared" si="5"/>
        <v>6000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45240</v>
      </c>
      <c r="D73" s="196" t="s">
        <v>23</v>
      </c>
      <c r="E73" s="196" t="s">
        <v>25</v>
      </c>
      <c r="F73" s="197">
        <v>6395</v>
      </c>
      <c r="G73" s="197">
        <v>6385</v>
      </c>
      <c r="H73" s="196">
        <v>10</v>
      </c>
      <c r="I73" s="197">
        <v>100</v>
      </c>
      <c r="J73" s="268">
        <f t="shared" si="5"/>
        <v>1000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45250</v>
      </c>
      <c r="D74" s="196" t="s">
        <v>23</v>
      </c>
      <c r="E74" s="196" t="s">
        <v>25</v>
      </c>
      <c r="F74" s="197">
        <v>6410</v>
      </c>
      <c r="G74" s="197">
        <v>6380</v>
      </c>
      <c r="H74" s="196">
        <f>6410-6380</f>
        <v>30</v>
      </c>
      <c r="I74" s="197">
        <v>100</v>
      </c>
      <c r="J74" s="268">
        <f t="shared" si="5"/>
        <v>3000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45250</v>
      </c>
      <c r="D75" s="196" t="s">
        <v>23</v>
      </c>
      <c r="E75" s="196" t="s">
        <v>939</v>
      </c>
      <c r="F75" s="197">
        <v>244</v>
      </c>
      <c r="G75" s="197">
        <v>241</v>
      </c>
      <c r="H75" s="196">
        <v>3</v>
      </c>
      <c r="I75" s="197">
        <v>2000</v>
      </c>
      <c r="J75" s="268">
        <f t="shared" si="5"/>
        <v>6000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45251</v>
      </c>
      <c r="D76" s="196" t="s">
        <v>23</v>
      </c>
      <c r="E76" s="196" t="s">
        <v>25</v>
      </c>
      <c r="F76" s="197">
        <v>6445</v>
      </c>
      <c r="G76" s="197">
        <v>6485</v>
      </c>
      <c r="H76" s="196">
        <v>-30</v>
      </c>
      <c r="I76" s="197">
        <v>100</v>
      </c>
      <c r="J76" s="268">
        <f t="shared" si="5"/>
        <v>-3000</v>
      </c>
      <c r="K76" s="185"/>
      <c r="V76" s="183">
        <f t="shared" si="6"/>
        <v>0</v>
      </c>
      <c r="W76" s="183">
        <f t="shared" si="7"/>
        <v>1</v>
      </c>
    </row>
    <row r="77" spans="1:23" x14ac:dyDescent="0.3">
      <c r="A77" s="184"/>
      <c r="B77" s="194">
        <v>18</v>
      </c>
      <c r="C77" s="195">
        <v>45251</v>
      </c>
      <c r="D77" s="196" t="s">
        <v>23</v>
      </c>
      <c r="E77" s="196" t="s">
        <v>939</v>
      </c>
      <c r="F77" s="197">
        <v>242</v>
      </c>
      <c r="G77" s="197">
        <v>238</v>
      </c>
      <c r="H77" s="196">
        <f>242-238</f>
        <v>4</v>
      </c>
      <c r="I77" s="197">
        <v>2000</v>
      </c>
      <c r="J77" s="268">
        <f t="shared" si="5"/>
        <v>8000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45252</v>
      </c>
      <c r="D78" s="196" t="s">
        <v>23</v>
      </c>
      <c r="E78" s="196" t="s">
        <v>25</v>
      </c>
      <c r="F78" s="197">
        <v>6460</v>
      </c>
      <c r="G78" s="197">
        <v>6390</v>
      </c>
      <c r="H78" s="196">
        <f>6460-6390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45252</v>
      </c>
      <c r="D79" s="196" t="s">
        <v>23</v>
      </c>
      <c r="E79" s="196" t="s">
        <v>939</v>
      </c>
      <c r="F79" s="197">
        <v>239</v>
      </c>
      <c r="G79" s="197">
        <v>234</v>
      </c>
      <c r="H79" s="196">
        <v>5</v>
      </c>
      <c r="I79" s="197">
        <v>2000</v>
      </c>
      <c r="J79" s="268">
        <f t="shared" si="5"/>
        <v>10000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45253</v>
      </c>
      <c r="D80" s="196" t="s">
        <v>23</v>
      </c>
      <c r="E80" s="196" t="s">
        <v>25</v>
      </c>
      <c r="F80" s="197">
        <v>6350</v>
      </c>
      <c r="G80" s="197">
        <v>6334</v>
      </c>
      <c r="H80" s="196">
        <f>6350-6334</f>
        <v>16</v>
      </c>
      <c r="I80" s="197">
        <v>100</v>
      </c>
      <c r="J80" s="268">
        <f t="shared" si="5"/>
        <v>1600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45253</v>
      </c>
      <c r="D81" s="196" t="s">
        <v>16</v>
      </c>
      <c r="E81" s="196" t="s">
        <v>939</v>
      </c>
      <c r="F81" s="197">
        <v>240</v>
      </c>
      <c r="G81" s="197">
        <v>244</v>
      </c>
      <c r="H81" s="196">
        <v>4</v>
      </c>
      <c r="I81" s="197">
        <v>2000</v>
      </c>
      <c r="J81" s="268">
        <f t="shared" si="5"/>
        <v>8000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45254</v>
      </c>
      <c r="D82" s="196" t="s">
        <v>23</v>
      </c>
      <c r="E82" s="196" t="s">
        <v>25</v>
      </c>
      <c r="F82" s="197">
        <v>6410</v>
      </c>
      <c r="G82" s="197">
        <v>6340</v>
      </c>
      <c r="H82" s="196">
        <f>6410-6340</f>
        <v>70</v>
      </c>
      <c r="I82" s="197">
        <v>100</v>
      </c>
      <c r="J82" s="268">
        <f t="shared" si="5"/>
        <v>7000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45254</v>
      </c>
      <c r="D83" s="196" t="s">
        <v>23</v>
      </c>
      <c r="E83" s="196" t="s">
        <v>939</v>
      </c>
      <c r="F83" s="197">
        <v>237</v>
      </c>
      <c r="G83" s="197">
        <v>234</v>
      </c>
      <c r="H83" s="196">
        <v>3</v>
      </c>
      <c r="I83" s="197">
        <v>2000</v>
      </c>
      <c r="J83" s="268">
        <f t="shared" si="5"/>
        <v>6000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255"/>
      <c r="B84" s="194">
        <v>25</v>
      </c>
      <c r="C84" s="195">
        <v>45258</v>
      </c>
      <c r="D84" s="196" t="s">
        <v>16</v>
      </c>
      <c r="E84" s="196" t="s">
        <v>25</v>
      </c>
      <c r="F84" s="197">
        <v>6275</v>
      </c>
      <c r="G84" s="197">
        <v>6335</v>
      </c>
      <c r="H84" s="196">
        <f>6335-6275</f>
        <v>60</v>
      </c>
      <c r="I84" s="197">
        <v>100</v>
      </c>
      <c r="J84" s="268">
        <f t="shared" si="5"/>
        <v>6000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45258</v>
      </c>
      <c r="D85" s="196" t="s">
        <v>16</v>
      </c>
      <c r="E85" s="196" t="s">
        <v>939</v>
      </c>
      <c r="F85" s="197">
        <v>246</v>
      </c>
      <c r="G85" s="197">
        <v>250</v>
      </c>
      <c r="H85" s="196">
        <v>4</v>
      </c>
      <c r="I85" s="197">
        <v>2000</v>
      </c>
      <c r="J85" s="268">
        <f t="shared" si="5"/>
        <v>8000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45259</v>
      </c>
      <c r="D86" s="196" t="s">
        <v>23</v>
      </c>
      <c r="E86" s="196" t="s">
        <v>25</v>
      </c>
      <c r="F86" s="197">
        <v>6400</v>
      </c>
      <c r="G86" s="197">
        <v>6380</v>
      </c>
      <c r="H86" s="196">
        <v>20</v>
      </c>
      <c r="I86" s="197">
        <v>100</v>
      </c>
      <c r="J86" s="268">
        <f t="shared" si="5"/>
        <v>2000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45259</v>
      </c>
      <c r="D87" s="196" t="s">
        <v>16</v>
      </c>
      <c r="E87" s="196" t="s">
        <v>939</v>
      </c>
      <c r="F87" s="197">
        <v>233</v>
      </c>
      <c r="G87" s="197">
        <v>238.5</v>
      </c>
      <c r="H87" s="196">
        <v>5.5</v>
      </c>
      <c r="I87" s="197">
        <v>2000</v>
      </c>
      <c r="J87" s="268">
        <f t="shared" si="5"/>
        <v>11000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45260</v>
      </c>
      <c r="D88" s="196" t="s">
        <v>23</v>
      </c>
      <c r="E88" s="196" t="s">
        <v>25</v>
      </c>
      <c r="F88" s="197">
        <v>6520</v>
      </c>
      <c r="G88" s="197">
        <v>6560</v>
      </c>
      <c r="H88" s="196">
        <v>-40</v>
      </c>
      <c r="I88" s="197">
        <v>100</v>
      </c>
      <c r="J88" s="268">
        <f t="shared" si="5"/>
        <v>-4000</v>
      </c>
      <c r="K88" s="185"/>
      <c r="V88" s="183">
        <f t="shared" si="6"/>
        <v>0</v>
      </c>
      <c r="W88" s="183">
        <f t="shared" si="7"/>
        <v>1</v>
      </c>
    </row>
    <row r="89" spans="1:23" ht="15" thickBot="1" x14ac:dyDescent="0.35">
      <c r="A89" s="184"/>
      <c r="B89" s="194">
        <v>30</v>
      </c>
      <c r="C89" s="195"/>
      <c r="D89" s="196"/>
      <c r="E89" s="196"/>
      <c r="F89" s="197"/>
      <c r="G89" s="197"/>
      <c r="H89" s="196"/>
      <c r="I89" s="202"/>
      <c r="J89" s="269">
        <f t="shared" si="5"/>
        <v>0</v>
      </c>
      <c r="K89" s="185"/>
      <c r="V89" s="183">
        <f t="shared" si="6"/>
        <v>0</v>
      </c>
      <c r="W89" s="183">
        <f t="shared" si="7"/>
        <v>0</v>
      </c>
    </row>
    <row r="90" spans="1:23" ht="24" thickBot="1" x14ac:dyDescent="0.5">
      <c r="A90" s="184"/>
      <c r="B90" s="368" t="s">
        <v>879</v>
      </c>
      <c r="C90" s="305"/>
      <c r="D90" s="305"/>
      <c r="E90" s="305"/>
      <c r="F90" s="305"/>
      <c r="G90" s="305"/>
      <c r="H90" s="306"/>
      <c r="I90" s="203" t="s">
        <v>880</v>
      </c>
      <c r="J90" s="204">
        <f>SUM(J60:J89)</f>
        <v>147599.99999999994</v>
      </c>
      <c r="K90" s="185"/>
      <c r="V90" s="183">
        <f>SUM(V60:V89)</f>
        <v>26</v>
      </c>
      <c r="W90" s="183">
        <f>SUM(W60:W89)</f>
        <v>3</v>
      </c>
    </row>
    <row r="91" spans="1:23" ht="30" customHeight="1" thickBot="1" x14ac:dyDescent="0.35">
      <c r="A91" s="205"/>
      <c r="B91" s="206"/>
      <c r="C91" s="206"/>
      <c r="D91" s="206"/>
      <c r="E91" s="206"/>
      <c r="F91" s="206"/>
      <c r="G91" s="206"/>
      <c r="H91" s="261"/>
      <c r="I91" s="206"/>
      <c r="J91" s="261"/>
      <c r="K91" s="207"/>
    </row>
    <row r="92" spans="1:23" ht="15" thickBot="1" x14ac:dyDescent="0.35"/>
    <row r="93" spans="1:23" ht="30" customHeight="1" thickBot="1" x14ac:dyDescent="0.35">
      <c r="A93" s="180"/>
      <c r="B93" s="181"/>
      <c r="C93" s="181"/>
      <c r="D93" s="181"/>
      <c r="E93" s="181"/>
      <c r="F93" s="181"/>
      <c r="G93" s="181"/>
      <c r="H93" s="259"/>
      <c r="I93" s="181"/>
      <c r="J93" s="259"/>
      <c r="K93" s="182"/>
    </row>
    <row r="94" spans="1:23" ht="25.2" thickBot="1" x14ac:dyDescent="0.35">
      <c r="A94" s="184" t="s">
        <v>0</v>
      </c>
      <c r="B94" s="307" t="s">
        <v>873</v>
      </c>
      <c r="C94" s="308"/>
      <c r="D94" s="308"/>
      <c r="E94" s="308"/>
      <c r="F94" s="308"/>
      <c r="G94" s="308"/>
      <c r="H94" s="308"/>
      <c r="I94" s="308"/>
      <c r="J94" s="309"/>
      <c r="K94" s="185"/>
    </row>
    <row r="95" spans="1:23" ht="16.2" thickBot="1" x14ac:dyDescent="0.35">
      <c r="A95" s="184"/>
      <c r="B95" s="310">
        <v>45231</v>
      </c>
      <c r="C95" s="311"/>
      <c r="D95" s="311"/>
      <c r="E95" s="311"/>
      <c r="F95" s="311"/>
      <c r="G95" s="311"/>
      <c r="H95" s="311"/>
      <c r="I95" s="311"/>
      <c r="J95" s="312"/>
      <c r="K95" s="185"/>
    </row>
    <row r="96" spans="1:23" ht="16.2" thickBot="1" x14ac:dyDescent="0.35">
      <c r="A96" s="184"/>
      <c r="B96" s="313" t="s">
        <v>882</v>
      </c>
      <c r="C96" s="314"/>
      <c r="D96" s="314"/>
      <c r="E96" s="314"/>
      <c r="F96" s="314"/>
      <c r="G96" s="314"/>
      <c r="H96" s="314"/>
      <c r="I96" s="314"/>
      <c r="J96" s="315"/>
      <c r="K96" s="185"/>
    </row>
    <row r="97" spans="1:23" ht="15" thickBot="1" x14ac:dyDescent="0.35">
      <c r="A97" s="208"/>
      <c r="B97" s="186" t="s">
        <v>876</v>
      </c>
      <c r="C97" s="187" t="s">
        <v>1</v>
      </c>
      <c r="D97" s="188" t="s">
        <v>2</v>
      </c>
      <c r="E97" s="188" t="s">
        <v>3</v>
      </c>
      <c r="F97" s="189" t="s">
        <v>4</v>
      </c>
      <c r="G97" s="189" t="s">
        <v>5</v>
      </c>
      <c r="H97" s="260" t="s">
        <v>720</v>
      </c>
      <c r="I97" s="189" t="s">
        <v>6</v>
      </c>
      <c r="J97" s="266" t="s">
        <v>7</v>
      </c>
      <c r="K97" s="209"/>
      <c r="L97" s="198"/>
      <c r="V97" s="183" t="s">
        <v>254</v>
      </c>
      <c r="W97" s="183" t="s">
        <v>255</v>
      </c>
    </row>
    <row r="98" spans="1:23" x14ac:dyDescent="0.3">
      <c r="A98" s="184"/>
      <c r="B98" s="214">
        <v>1</v>
      </c>
      <c r="C98" s="215">
        <v>45232</v>
      </c>
      <c r="D98" s="216" t="s">
        <v>23</v>
      </c>
      <c r="E98" s="256" t="s">
        <v>28</v>
      </c>
      <c r="F98" s="256">
        <v>224.2</v>
      </c>
      <c r="G98" s="256">
        <v>223.2</v>
      </c>
      <c r="H98" s="256">
        <v>1</v>
      </c>
      <c r="I98" s="218">
        <v>5000</v>
      </c>
      <c r="J98" s="273">
        <f>I98*H98</f>
        <v>5000</v>
      </c>
      <c r="K98" s="185"/>
      <c r="V98" s="183">
        <f>IF($J98&gt;0,1,0)</f>
        <v>1</v>
      </c>
      <c r="W98" s="183">
        <f>IF($J98&lt;0,1,0)</f>
        <v>0</v>
      </c>
    </row>
    <row r="99" spans="1:23" x14ac:dyDescent="0.3">
      <c r="A99" s="184"/>
      <c r="B99" s="194">
        <v>2</v>
      </c>
      <c r="C99" s="195">
        <v>45233</v>
      </c>
      <c r="D99" s="196" t="s">
        <v>23</v>
      </c>
      <c r="E99" s="222" t="s">
        <v>28</v>
      </c>
      <c r="F99" s="222">
        <v>222.2</v>
      </c>
      <c r="G99" s="222">
        <v>221.8</v>
      </c>
      <c r="H99" s="222">
        <f>222.2-221.8</f>
        <v>0.39999999999997726</v>
      </c>
      <c r="I99" s="197">
        <v>5000</v>
      </c>
      <c r="J99" s="268">
        <f t="shared" ref="J99:J119" si="8">I99*H99</f>
        <v>1999.9999999998863</v>
      </c>
      <c r="K99" s="185"/>
      <c r="V99" s="183">
        <f t="shared" ref="V99:V118" si="9">IF($J99&gt;0,1,0)</f>
        <v>1</v>
      </c>
      <c r="W99" s="183">
        <f t="shared" ref="W99:W118" si="10">IF($J99&lt;0,1,0)</f>
        <v>0</v>
      </c>
    </row>
    <row r="100" spans="1:23" x14ac:dyDescent="0.3">
      <c r="A100" s="184"/>
      <c r="B100" s="194">
        <v>3</v>
      </c>
      <c r="C100" s="195">
        <v>45236</v>
      </c>
      <c r="D100" s="196" t="s">
        <v>23</v>
      </c>
      <c r="E100" s="222" t="s">
        <v>28</v>
      </c>
      <c r="F100" s="222">
        <v>227</v>
      </c>
      <c r="G100" s="222">
        <v>228</v>
      </c>
      <c r="H100" s="222">
        <v>1</v>
      </c>
      <c r="I100" s="197">
        <v>5000</v>
      </c>
      <c r="J100" s="268">
        <f t="shared" si="8"/>
        <v>5000</v>
      </c>
      <c r="K100" s="185"/>
      <c r="M100" s="183" t="s">
        <v>870</v>
      </c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4</v>
      </c>
      <c r="C101" s="195">
        <v>45237</v>
      </c>
      <c r="D101" s="196" t="s">
        <v>16</v>
      </c>
      <c r="E101" s="222" t="s">
        <v>28</v>
      </c>
      <c r="F101" s="222">
        <v>225.8</v>
      </c>
      <c r="G101" s="222">
        <v>226</v>
      </c>
      <c r="H101" s="222">
        <v>0.4</v>
      </c>
      <c r="I101" s="197">
        <v>5000</v>
      </c>
      <c r="J101" s="268">
        <f t="shared" si="8"/>
        <v>2000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5</v>
      </c>
      <c r="C102" s="195">
        <v>45238</v>
      </c>
      <c r="D102" s="196" t="s">
        <v>23</v>
      </c>
      <c r="E102" s="222" t="s">
        <v>28</v>
      </c>
      <c r="F102" s="222">
        <v>228.8</v>
      </c>
      <c r="G102" s="222">
        <v>228.4</v>
      </c>
      <c r="H102" s="222">
        <v>0.4</v>
      </c>
      <c r="I102" s="197">
        <v>5000</v>
      </c>
      <c r="J102" s="268">
        <f t="shared" si="8"/>
        <v>2000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6</v>
      </c>
      <c r="C103" s="195">
        <v>45239</v>
      </c>
      <c r="D103" s="196" t="s">
        <v>23</v>
      </c>
      <c r="E103" s="222" t="s">
        <v>28</v>
      </c>
      <c r="F103" s="222">
        <v>228.2</v>
      </c>
      <c r="G103" s="222">
        <v>227.2</v>
      </c>
      <c r="H103" s="222">
        <f>228.8-227.2</f>
        <v>1.6000000000000227</v>
      </c>
      <c r="I103" s="197">
        <v>5000</v>
      </c>
      <c r="J103" s="268">
        <f t="shared" si="8"/>
        <v>8000.0000000001137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7</v>
      </c>
      <c r="C104" s="195">
        <v>45240</v>
      </c>
      <c r="D104" s="196" t="s">
        <v>23</v>
      </c>
      <c r="E104" s="222" t="s">
        <v>28</v>
      </c>
      <c r="F104" s="222">
        <v>228.8</v>
      </c>
      <c r="G104" s="222">
        <v>227.8</v>
      </c>
      <c r="H104" s="274">
        <v>1</v>
      </c>
      <c r="I104" s="197">
        <v>5000</v>
      </c>
      <c r="J104" s="268">
        <f t="shared" si="8"/>
        <v>5000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8</v>
      </c>
      <c r="C105" s="195">
        <v>45250</v>
      </c>
      <c r="D105" s="196" t="s">
        <v>23</v>
      </c>
      <c r="E105" s="222" t="s">
        <v>28</v>
      </c>
      <c r="F105" s="222">
        <v>228</v>
      </c>
      <c r="G105" s="222">
        <v>227.5</v>
      </c>
      <c r="H105" s="222">
        <v>0.5</v>
      </c>
      <c r="I105" s="197">
        <v>5000</v>
      </c>
      <c r="J105" s="268">
        <f t="shared" si="8"/>
        <v>2500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9</v>
      </c>
      <c r="C106" s="195">
        <v>45251</v>
      </c>
      <c r="D106" s="196" t="s">
        <v>23</v>
      </c>
      <c r="E106" s="222" t="s">
        <v>28</v>
      </c>
      <c r="F106" s="222">
        <v>226.5</v>
      </c>
      <c r="G106" s="222">
        <v>225.5</v>
      </c>
      <c r="H106" s="222">
        <v>1</v>
      </c>
      <c r="I106" s="197">
        <v>5000</v>
      </c>
      <c r="J106" s="268">
        <f t="shared" si="8"/>
        <v>5000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10</v>
      </c>
      <c r="C107" s="195">
        <v>45252</v>
      </c>
      <c r="D107" s="196" t="s">
        <v>23</v>
      </c>
      <c r="E107" s="222" t="s">
        <v>28</v>
      </c>
      <c r="F107" s="222">
        <v>223.4</v>
      </c>
      <c r="G107" s="222">
        <v>224.4</v>
      </c>
      <c r="H107" s="222">
        <v>-1</v>
      </c>
      <c r="I107" s="197">
        <v>5000</v>
      </c>
      <c r="J107" s="268">
        <f t="shared" si="8"/>
        <v>-5000</v>
      </c>
      <c r="K107" s="185"/>
      <c r="V107" s="183">
        <f t="shared" si="9"/>
        <v>0</v>
      </c>
      <c r="W107" s="183">
        <f t="shared" si="10"/>
        <v>1</v>
      </c>
    </row>
    <row r="108" spans="1:23" x14ac:dyDescent="0.3">
      <c r="A108" s="184"/>
      <c r="B108" s="194">
        <v>11</v>
      </c>
      <c r="C108" s="195">
        <v>45253</v>
      </c>
      <c r="D108" s="196" t="s">
        <v>23</v>
      </c>
      <c r="E108" s="222" t="s">
        <v>28</v>
      </c>
      <c r="F108" s="222">
        <v>225.8</v>
      </c>
      <c r="G108" s="222">
        <v>225.4</v>
      </c>
      <c r="H108" s="274">
        <v>0.4</v>
      </c>
      <c r="I108" s="197">
        <v>5000</v>
      </c>
      <c r="J108" s="268">
        <f t="shared" si="8"/>
        <v>2000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12</v>
      </c>
      <c r="C109" s="195">
        <v>45254</v>
      </c>
      <c r="D109" s="196" t="s">
        <v>23</v>
      </c>
      <c r="E109" s="222" t="s">
        <v>28</v>
      </c>
      <c r="F109" s="222">
        <v>228.7</v>
      </c>
      <c r="G109" s="222">
        <v>227.7</v>
      </c>
      <c r="H109" s="274">
        <v>1</v>
      </c>
      <c r="I109" s="197">
        <v>5000</v>
      </c>
      <c r="J109" s="268">
        <f t="shared" si="8"/>
        <v>5000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13</v>
      </c>
      <c r="C110" s="195">
        <v>45258</v>
      </c>
      <c r="D110" s="196" t="s">
        <v>16</v>
      </c>
      <c r="E110" s="222" t="s">
        <v>28</v>
      </c>
      <c r="F110" s="222">
        <v>225.8</v>
      </c>
      <c r="G110" s="222">
        <v>226.3</v>
      </c>
      <c r="H110" s="274">
        <f>226.3-225.8</f>
        <v>0.5</v>
      </c>
      <c r="I110" s="197">
        <v>500</v>
      </c>
      <c r="J110" s="268">
        <f t="shared" si="8"/>
        <v>250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14</v>
      </c>
      <c r="C111" s="195">
        <v>45259</v>
      </c>
      <c r="D111" s="196" t="s">
        <v>16</v>
      </c>
      <c r="E111" s="222" t="s">
        <v>28</v>
      </c>
      <c r="F111" s="222">
        <v>226.3</v>
      </c>
      <c r="G111" s="222">
        <v>225.3</v>
      </c>
      <c r="H111" s="274">
        <v>-1</v>
      </c>
      <c r="I111" s="197">
        <v>5000</v>
      </c>
      <c r="J111" s="268">
        <f t="shared" si="8"/>
        <v>-5000</v>
      </c>
      <c r="K111" s="185"/>
      <c r="V111" s="183">
        <f t="shared" si="9"/>
        <v>0</v>
      </c>
      <c r="W111" s="183">
        <f t="shared" si="10"/>
        <v>1</v>
      </c>
    </row>
    <row r="112" spans="1:23" x14ac:dyDescent="0.3">
      <c r="A112" s="184"/>
      <c r="B112" s="194">
        <v>15</v>
      </c>
      <c r="C112" s="195">
        <v>45260</v>
      </c>
      <c r="D112" s="196" t="s">
        <v>23</v>
      </c>
      <c r="E112" s="196" t="s">
        <v>28</v>
      </c>
      <c r="F112" s="222">
        <v>224</v>
      </c>
      <c r="G112" s="222">
        <v>222.5</v>
      </c>
      <c r="H112" s="222">
        <f>224-222.5</f>
        <v>1.5</v>
      </c>
      <c r="I112" s="197">
        <v>5000</v>
      </c>
      <c r="J112" s="268">
        <f t="shared" si="8"/>
        <v>7500</v>
      </c>
      <c r="K112" s="185"/>
      <c r="V112" s="183">
        <f t="shared" si="9"/>
        <v>1</v>
      </c>
      <c r="W112" s="183">
        <f t="shared" si="10"/>
        <v>0</v>
      </c>
    </row>
    <row r="113" spans="1:23" x14ac:dyDescent="0.3">
      <c r="A113" s="184"/>
      <c r="B113" s="194">
        <v>16</v>
      </c>
      <c r="C113" s="195"/>
      <c r="D113" s="196"/>
      <c r="E113" s="196"/>
      <c r="F113" s="222"/>
      <c r="G113" s="222"/>
      <c r="H113" s="222"/>
      <c r="I113" s="197"/>
      <c r="J113" s="268">
        <f t="shared" si="8"/>
        <v>0</v>
      </c>
      <c r="K113" s="185"/>
      <c r="V113" s="183">
        <f t="shared" si="9"/>
        <v>0</v>
      </c>
      <c r="W113" s="183">
        <f t="shared" si="10"/>
        <v>0</v>
      </c>
    </row>
    <row r="114" spans="1:23" x14ac:dyDescent="0.3">
      <c r="A114" s="184"/>
      <c r="B114" s="194">
        <v>17</v>
      </c>
      <c r="C114" s="195"/>
      <c r="D114" s="196"/>
      <c r="E114" s="196"/>
      <c r="F114" s="222"/>
      <c r="G114" s="274"/>
      <c r="H114" s="274"/>
      <c r="I114" s="197"/>
      <c r="J114" s="268">
        <f t="shared" si="8"/>
        <v>0</v>
      </c>
      <c r="K114" s="185"/>
      <c r="V114" s="183">
        <f t="shared" si="9"/>
        <v>0</v>
      </c>
      <c r="W114" s="183">
        <f t="shared" si="10"/>
        <v>0</v>
      </c>
    </row>
    <row r="115" spans="1:23" x14ac:dyDescent="0.3">
      <c r="A115" s="184"/>
      <c r="B115" s="194">
        <v>18</v>
      </c>
      <c r="C115" s="195"/>
      <c r="D115" s="196"/>
      <c r="E115" s="196"/>
      <c r="F115" s="222"/>
      <c r="G115" s="222"/>
      <c r="H115" s="274"/>
      <c r="I115" s="197"/>
      <c r="J115" s="268">
        <f t="shared" si="8"/>
        <v>0</v>
      </c>
      <c r="K115" s="185"/>
      <c r="V115" s="183">
        <f t="shared" si="9"/>
        <v>0</v>
      </c>
      <c r="W115" s="183">
        <f t="shared" si="10"/>
        <v>0</v>
      </c>
    </row>
    <row r="116" spans="1:23" x14ac:dyDescent="0.3">
      <c r="A116" s="184"/>
      <c r="B116" s="194">
        <v>19</v>
      </c>
      <c r="C116" s="195"/>
      <c r="D116" s="196"/>
      <c r="E116" s="196"/>
      <c r="F116" s="222"/>
      <c r="G116" s="222"/>
      <c r="H116" s="274"/>
      <c r="I116" s="197"/>
      <c r="J116" s="268">
        <f t="shared" si="8"/>
        <v>0</v>
      </c>
      <c r="K116" s="185"/>
      <c r="V116" s="183">
        <f t="shared" si="9"/>
        <v>0</v>
      </c>
      <c r="W116" s="183">
        <f t="shared" si="10"/>
        <v>0</v>
      </c>
    </row>
    <row r="117" spans="1:23" x14ac:dyDescent="0.3">
      <c r="A117" s="184"/>
      <c r="B117" s="194">
        <v>20</v>
      </c>
      <c r="C117" s="195"/>
      <c r="D117" s="196"/>
      <c r="E117" s="196"/>
      <c r="F117" s="222"/>
      <c r="G117" s="222"/>
      <c r="H117" s="274"/>
      <c r="I117" s="197"/>
      <c r="J117" s="268">
        <f t="shared" si="8"/>
        <v>0</v>
      </c>
      <c r="K117" s="185"/>
      <c r="V117" s="183">
        <f t="shared" si="9"/>
        <v>0</v>
      </c>
      <c r="W117" s="183">
        <f t="shared" si="10"/>
        <v>0</v>
      </c>
    </row>
    <row r="118" spans="1:23" x14ac:dyDescent="0.3">
      <c r="A118" s="184"/>
      <c r="B118" s="194">
        <v>21</v>
      </c>
      <c r="C118" s="195"/>
      <c r="D118" s="196"/>
      <c r="E118" s="222"/>
      <c r="F118" s="222"/>
      <c r="G118" s="222"/>
      <c r="H118" s="274"/>
      <c r="I118" s="197"/>
      <c r="J118" s="268">
        <f t="shared" si="8"/>
        <v>0</v>
      </c>
      <c r="K118" s="185"/>
      <c r="V118" s="183">
        <f t="shared" si="9"/>
        <v>0</v>
      </c>
      <c r="W118" s="183">
        <f t="shared" si="10"/>
        <v>0</v>
      </c>
    </row>
    <row r="119" spans="1:23" x14ac:dyDescent="0.3">
      <c r="A119" s="184"/>
      <c r="B119" s="194">
        <v>22</v>
      </c>
      <c r="C119" s="195"/>
      <c r="D119" s="196"/>
      <c r="E119" s="222"/>
      <c r="F119" s="222"/>
      <c r="G119" s="222"/>
      <c r="H119" s="274"/>
      <c r="I119" s="197"/>
      <c r="J119" s="268">
        <f t="shared" si="8"/>
        <v>0</v>
      </c>
      <c r="K119" s="185"/>
      <c r="V119" s="183">
        <f>IF($J119&gt;0,1,0)</f>
        <v>0</v>
      </c>
      <c r="W119" s="183">
        <f>IF($J119&lt;0,1,0)</f>
        <v>0</v>
      </c>
    </row>
    <row r="120" spans="1:23" x14ac:dyDescent="0.3">
      <c r="A120" s="184"/>
      <c r="B120" s="194">
        <v>23</v>
      </c>
      <c r="C120" s="195"/>
      <c r="D120" s="196"/>
      <c r="E120" s="222"/>
      <c r="F120" s="222"/>
      <c r="G120" s="222"/>
      <c r="H120" s="222"/>
      <c r="I120" s="197"/>
      <c r="J120" s="268">
        <f>I120*H120</f>
        <v>0</v>
      </c>
      <c r="K120" s="185"/>
      <c r="V120" s="183">
        <f>IF($J120&gt;0,1,0)</f>
        <v>0</v>
      </c>
      <c r="W120" s="183">
        <f>IF($J120&lt;0,1,0)</f>
        <v>0</v>
      </c>
    </row>
    <row r="121" spans="1:23" ht="15" thickBot="1" x14ac:dyDescent="0.35">
      <c r="A121" s="184"/>
      <c r="B121" s="194">
        <v>24</v>
      </c>
      <c r="C121" s="220"/>
      <c r="D121" s="221"/>
      <c r="E121" s="221"/>
      <c r="F121" s="222"/>
      <c r="G121" s="222"/>
      <c r="H121" s="222"/>
      <c r="I121" s="211"/>
      <c r="J121" s="272">
        <f>I121*H121</f>
        <v>0</v>
      </c>
      <c r="K121" s="185"/>
      <c r="V121" s="183">
        <f>IF($J121&gt;0,1,0)</f>
        <v>0</v>
      </c>
      <c r="W121" s="183">
        <f>IF($J121&lt;0,1,0)</f>
        <v>0</v>
      </c>
    </row>
    <row r="122" spans="1:23" ht="24" thickBot="1" x14ac:dyDescent="0.5">
      <c r="A122" s="184"/>
      <c r="B122" s="316" t="s">
        <v>879</v>
      </c>
      <c r="C122" s="317"/>
      <c r="D122" s="317"/>
      <c r="E122" s="317"/>
      <c r="F122" s="317"/>
      <c r="G122" s="317"/>
      <c r="H122" s="318"/>
      <c r="I122" s="212" t="s">
        <v>880</v>
      </c>
      <c r="J122" s="213">
        <f>SUM(J98:J121)</f>
        <v>41250</v>
      </c>
      <c r="K122" s="185"/>
      <c r="V122" s="183">
        <f>SUM(V98:V121)</f>
        <v>13</v>
      </c>
      <c r="W122" s="183">
        <f>SUM(W98:W121)</f>
        <v>2</v>
      </c>
    </row>
    <row r="123" spans="1:23" ht="30" customHeight="1" thickBot="1" x14ac:dyDescent="0.35">
      <c r="A123" s="205"/>
      <c r="B123" s="206"/>
      <c r="C123" s="206"/>
      <c r="D123" s="206"/>
      <c r="E123" s="206"/>
      <c r="F123" s="206"/>
      <c r="G123" s="206"/>
      <c r="H123" s="261"/>
      <c r="I123" s="206"/>
      <c r="J123" s="261"/>
      <c r="K123" s="207"/>
      <c r="L123" s="183" t="s">
        <v>926</v>
      </c>
    </row>
    <row r="124" spans="1:23" ht="15" thickBot="1" x14ac:dyDescent="0.35"/>
    <row r="125" spans="1:23" ht="30" customHeight="1" thickBot="1" x14ac:dyDescent="0.35">
      <c r="A125" s="180"/>
      <c r="B125" s="181"/>
      <c r="C125" s="181"/>
      <c r="D125" s="181"/>
      <c r="E125" s="181"/>
      <c r="F125" s="181"/>
      <c r="G125" s="181"/>
      <c r="H125" s="259"/>
      <c r="I125" s="181"/>
      <c r="J125" s="259"/>
      <c r="K125" s="182"/>
    </row>
    <row r="126" spans="1:23" ht="25.2" thickBot="1" x14ac:dyDescent="0.35">
      <c r="A126" s="184" t="s">
        <v>0</v>
      </c>
      <c r="B126" s="307" t="s">
        <v>873</v>
      </c>
      <c r="C126" s="308"/>
      <c r="D126" s="308"/>
      <c r="E126" s="308"/>
      <c r="F126" s="308"/>
      <c r="G126" s="308"/>
      <c r="H126" s="308"/>
      <c r="I126" s="308"/>
      <c r="J126" s="309"/>
      <c r="K126" s="185"/>
    </row>
    <row r="127" spans="1:23" ht="16.2" thickBot="1" x14ac:dyDescent="0.35">
      <c r="A127" s="184"/>
      <c r="B127" s="310">
        <v>45231</v>
      </c>
      <c r="C127" s="311"/>
      <c r="D127" s="311"/>
      <c r="E127" s="311"/>
      <c r="F127" s="311"/>
      <c r="G127" s="311"/>
      <c r="H127" s="311"/>
      <c r="I127" s="311"/>
      <c r="J127" s="312"/>
      <c r="K127" s="185"/>
    </row>
    <row r="128" spans="1:23" ht="16.2" thickBot="1" x14ac:dyDescent="0.35">
      <c r="A128" s="184"/>
      <c r="B128" s="313" t="s">
        <v>905</v>
      </c>
      <c r="C128" s="314"/>
      <c r="D128" s="314"/>
      <c r="E128" s="314"/>
      <c r="F128" s="314"/>
      <c r="G128" s="314"/>
      <c r="H128" s="314"/>
      <c r="I128" s="314"/>
      <c r="J128" s="315"/>
      <c r="K128" s="185"/>
    </row>
    <row r="129" spans="1:23" ht="15" thickBot="1" x14ac:dyDescent="0.35">
      <c r="A129" s="208"/>
      <c r="B129" s="186" t="s">
        <v>876</v>
      </c>
      <c r="C129" s="187" t="s">
        <v>1</v>
      </c>
      <c r="D129" s="188" t="s">
        <v>2</v>
      </c>
      <c r="E129" s="188" t="s">
        <v>3</v>
      </c>
      <c r="F129" s="189" t="s">
        <v>4</v>
      </c>
      <c r="G129" s="189" t="s">
        <v>5</v>
      </c>
      <c r="H129" s="260" t="s">
        <v>720</v>
      </c>
      <c r="I129" s="189" t="s">
        <v>6</v>
      </c>
      <c r="J129" s="266" t="s">
        <v>7</v>
      </c>
      <c r="K129" s="209"/>
      <c r="L129" s="198"/>
      <c r="V129" s="183" t="s">
        <v>254</v>
      </c>
      <c r="W129" s="183" t="s">
        <v>255</v>
      </c>
    </row>
    <row r="130" spans="1:23" x14ac:dyDescent="0.3">
      <c r="A130" s="184"/>
      <c r="B130" s="214">
        <v>1</v>
      </c>
      <c r="C130" s="215">
        <v>45231</v>
      </c>
      <c r="D130" s="216" t="s">
        <v>16</v>
      </c>
      <c r="E130" s="256" t="s">
        <v>922</v>
      </c>
      <c r="F130" s="256">
        <v>255</v>
      </c>
      <c r="G130" s="256">
        <v>262</v>
      </c>
      <c r="H130" s="256">
        <f>262-255</f>
        <v>7</v>
      </c>
      <c r="I130" s="218">
        <v>100</v>
      </c>
      <c r="J130" s="273">
        <f>I130*H130</f>
        <v>700</v>
      </c>
      <c r="K130" s="185"/>
      <c r="V130" s="183">
        <f>IF($J130&gt;0,1,0)</f>
        <v>1</v>
      </c>
      <c r="W130" s="183">
        <f>IF($J130&lt;0,1,0)</f>
        <v>0</v>
      </c>
    </row>
    <row r="131" spans="1:23" x14ac:dyDescent="0.3">
      <c r="A131" s="184"/>
      <c r="B131" s="194">
        <v>2</v>
      </c>
      <c r="C131" s="195">
        <v>45232</v>
      </c>
      <c r="D131" s="196" t="s">
        <v>16</v>
      </c>
      <c r="E131" s="222" t="s">
        <v>922</v>
      </c>
      <c r="F131" s="222">
        <v>253</v>
      </c>
      <c r="G131" s="222">
        <v>293</v>
      </c>
      <c r="H131" s="222">
        <f>293-253</f>
        <v>40</v>
      </c>
      <c r="I131" s="218">
        <v>100</v>
      </c>
      <c r="J131" s="268">
        <f t="shared" ref="J131:J150" si="11">I131*H131</f>
        <v>4000</v>
      </c>
      <c r="K131" s="185"/>
      <c r="V131" s="183">
        <f t="shared" ref="V131:V152" si="12">IF($J131&gt;0,1,0)</f>
        <v>1</v>
      </c>
      <c r="W131" s="183">
        <f t="shared" ref="W131:W152" si="13">IF($J131&lt;0,1,0)</f>
        <v>0</v>
      </c>
    </row>
    <row r="132" spans="1:23" x14ac:dyDescent="0.3">
      <c r="A132" s="184"/>
      <c r="B132" s="194">
        <v>3</v>
      </c>
      <c r="C132" s="195">
        <v>45233</v>
      </c>
      <c r="D132" s="196" t="s">
        <v>16</v>
      </c>
      <c r="E132" s="222" t="s">
        <v>922</v>
      </c>
      <c r="F132" s="222">
        <v>213</v>
      </c>
      <c r="G132" s="222">
        <v>193</v>
      </c>
      <c r="H132" s="222">
        <v>-20</v>
      </c>
      <c r="I132" s="218">
        <v>100</v>
      </c>
      <c r="J132" s="268">
        <f t="shared" si="11"/>
        <v>-2000</v>
      </c>
      <c r="K132" s="185"/>
      <c r="M132" s="183" t="s">
        <v>870</v>
      </c>
      <c r="V132" s="183">
        <f t="shared" si="12"/>
        <v>0</v>
      </c>
      <c r="W132" s="183">
        <f t="shared" si="13"/>
        <v>1</v>
      </c>
    </row>
    <row r="133" spans="1:23" x14ac:dyDescent="0.3">
      <c r="A133" s="184"/>
      <c r="B133" s="194">
        <v>4</v>
      </c>
      <c r="C133" s="195">
        <v>45236</v>
      </c>
      <c r="D133" s="196" t="s">
        <v>16</v>
      </c>
      <c r="E133" s="222" t="s">
        <v>922</v>
      </c>
      <c r="F133" s="222">
        <v>220</v>
      </c>
      <c r="G133" s="222">
        <v>228</v>
      </c>
      <c r="H133" s="222">
        <v>8</v>
      </c>
      <c r="I133" s="218">
        <v>100</v>
      </c>
      <c r="J133" s="268">
        <f t="shared" si="11"/>
        <v>800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5</v>
      </c>
      <c r="C134" s="195">
        <v>45237</v>
      </c>
      <c r="D134" s="196" t="s">
        <v>16</v>
      </c>
      <c r="E134" s="222" t="s">
        <v>928</v>
      </c>
      <c r="F134" s="222">
        <v>255</v>
      </c>
      <c r="G134" s="222">
        <v>291</v>
      </c>
      <c r="H134" s="222">
        <f>291-255</f>
        <v>36</v>
      </c>
      <c r="I134" s="218">
        <v>100</v>
      </c>
      <c r="J134" s="268">
        <f t="shared" si="11"/>
        <v>3600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6</v>
      </c>
      <c r="C135" s="195">
        <v>45238</v>
      </c>
      <c r="D135" s="196" t="s">
        <v>16</v>
      </c>
      <c r="E135" s="222" t="s">
        <v>913</v>
      </c>
      <c r="F135" s="222">
        <v>203</v>
      </c>
      <c r="G135" s="222">
        <v>243</v>
      </c>
      <c r="H135" s="222">
        <f>243-203</f>
        <v>40</v>
      </c>
      <c r="I135" s="218">
        <v>100</v>
      </c>
      <c r="J135" s="268">
        <f t="shared" si="11"/>
        <v>4000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7</v>
      </c>
      <c r="C136" s="195">
        <v>45239</v>
      </c>
      <c r="D136" s="196" t="s">
        <v>16</v>
      </c>
      <c r="E136" s="222" t="s">
        <v>913</v>
      </c>
      <c r="F136" s="222">
        <v>240</v>
      </c>
      <c r="G136" s="222">
        <v>260</v>
      </c>
      <c r="H136" s="274">
        <v>20</v>
      </c>
      <c r="I136" s="218">
        <v>100</v>
      </c>
      <c r="J136" s="268">
        <f t="shared" si="11"/>
        <v>2000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8</v>
      </c>
      <c r="C137" s="195">
        <v>45240</v>
      </c>
      <c r="D137" s="196" t="s">
        <v>16</v>
      </c>
      <c r="E137" s="222" t="s">
        <v>912</v>
      </c>
      <c r="F137" s="222">
        <v>250</v>
      </c>
      <c r="G137" s="222">
        <v>257</v>
      </c>
      <c r="H137" s="222">
        <v>7</v>
      </c>
      <c r="I137" s="218">
        <v>100</v>
      </c>
      <c r="J137" s="268">
        <f t="shared" si="11"/>
        <v>700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9</v>
      </c>
      <c r="C138" s="195">
        <v>45250</v>
      </c>
      <c r="D138" s="196" t="s">
        <v>16</v>
      </c>
      <c r="E138" s="222" t="s">
        <v>907</v>
      </c>
      <c r="F138" s="222">
        <v>215</v>
      </c>
      <c r="G138" s="222">
        <v>229</v>
      </c>
      <c r="H138" s="222">
        <f>229-215</f>
        <v>14</v>
      </c>
      <c r="I138" s="218">
        <v>100</v>
      </c>
      <c r="J138" s="268">
        <f t="shared" si="11"/>
        <v>1400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10</v>
      </c>
      <c r="C139" s="195">
        <v>45251</v>
      </c>
      <c r="D139" s="196" t="s">
        <v>16</v>
      </c>
      <c r="E139" s="222" t="s">
        <v>910</v>
      </c>
      <c r="F139" s="222">
        <v>235</v>
      </c>
      <c r="G139" s="222">
        <v>215</v>
      </c>
      <c r="H139" s="222">
        <f>235-215</f>
        <v>20</v>
      </c>
      <c r="I139" s="218">
        <v>100</v>
      </c>
      <c r="J139" s="268">
        <f t="shared" si="11"/>
        <v>2000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11</v>
      </c>
      <c r="C140" s="195">
        <v>45252</v>
      </c>
      <c r="D140" s="196" t="s">
        <v>16</v>
      </c>
      <c r="E140" s="222" t="s">
        <v>910</v>
      </c>
      <c r="F140" s="222">
        <v>225</v>
      </c>
      <c r="G140" s="222">
        <v>265</v>
      </c>
      <c r="H140" s="274">
        <v>20</v>
      </c>
      <c r="I140" s="218">
        <v>100</v>
      </c>
      <c r="J140" s="268">
        <f t="shared" si="11"/>
        <v>2000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12</v>
      </c>
      <c r="C141" s="195">
        <v>45253</v>
      </c>
      <c r="D141" s="196" t="s">
        <v>16</v>
      </c>
      <c r="E141" s="222" t="s">
        <v>907</v>
      </c>
      <c r="F141" s="222">
        <v>245</v>
      </c>
      <c r="G141" s="222">
        <v>254</v>
      </c>
      <c r="H141" s="274">
        <f>254-245</f>
        <v>9</v>
      </c>
      <c r="I141" s="218">
        <v>100</v>
      </c>
      <c r="J141" s="268">
        <f t="shared" si="11"/>
        <v>900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13</v>
      </c>
      <c r="C142" s="195">
        <v>45254</v>
      </c>
      <c r="D142" s="196" t="s">
        <v>16</v>
      </c>
      <c r="E142" s="222" t="s">
        <v>907</v>
      </c>
      <c r="F142" s="222">
        <v>215</v>
      </c>
      <c r="G142" s="222">
        <v>235</v>
      </c>
      <c r="H142" s="274">
        <f>235-215</f>
        <v>20</v>
      </c>
      <c r="I142" s="218">
        <v>100</v>
      </c>
      <c r="J142" s="268">
        <f t="shared" si="11"/>
        <v>2000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14</v>
      </c>
      <c r="C143" s="195">
        <v>45258</v>
      </c>
      <c r="D143" s="196" t="s">
        <v>16</v>
      </c>
      <c r="E143" s="222" t="s">
        <v>940</v>
      </c>
      <c r="F143" s="222">
        <v>230</v>
      </c>
      <c r="G143" s="222">
        <v>250</v>
      </c>
      <c r="H143" s="274">
        <v>20</v>
      </c>
      <c r="I143" s="218">
        <v>100</v>
      </c>
      <c r="J143" s="268">
        <f t="shared" si="11"/>
        <v>2000</v>
      </c>
      <c r="K143" s="185"/>
      <c r="V143" s="183">
        <f t="shared" si="12"/>
        <v>1</v>
      </c>
      <c r="W143" s="183">
        <f t="shared" si="13"/>
        <v>0</v>
      </c>
    </row>
    <row r="144" spans="1:23" x14ac:dyDescent="0.3">
      <c r="A144" s="184"/>
      <c r="B144" s="194">
        <v>15</v>
      </c>
      <c r="C144" s="195">
        <v>45259</v>
      </c>
      <c r="D144" s="196" t="s">
        <v>16</v>
      </c>
      <c r="E144" s="196" t="s">
        <v>910</v>
      </c>
      <c r="F144" s="222">
        <v>245</v>
      </c>
      <c r="G144" s="222">
        <v>225</v>
      </c>
      <c r="H144" s="222">
        <v>-20</v>
      </c>
      <c r="I144" s="218">
        <v>100</v>
      </c>
      <c r="J144" s="268">
        <f t="shared" si="11"/>
        <v>-2000</v>
      </c>
      <c r="K144" s="185"/>
      <c r="V144" s="183">
        <f t="shared" si="12"/>
        <v>0</v>
      </c>
      <c r="W144" s="183">
        <f t="shared" si="13"/>
        <v>1</v>
      </c>
    </row>
    <row r="145" spans="1:23" x14ac:dyDescent="0.3">
      <c r="A145" s="184"/>
      <c r="B145" s="194">
        <v>16</v>
      </c>
      <c r="C145" s="195">
        <v>45260</v>
      </c>
      <c r="D145" s="196" t="s">
        <v>16</v>
      </c>
      <c r="E145" s="196" t="s">
        <v>913</v>
      </c>
      <c r="F145" s="222">
        <v>220</v>
      </c>
      <c r="G145" s="274">
        <v>200</v>
      </c>
      <c r="H145" s="274">
        <v>-20</v>
      </c>
      <c r="I145" s="218">
        <v>100</v>
      </c>
      <c r="J145" s="268">
        <f t="shared" si="11"/>
        <v>-2000</v>
      </c>
      <c r="K145" s="185"/>
      <c r="V145" s="183">
        <f t="shared" si="12"/>
        <v>0</v>
      </c>
      <c r="W145" s="183">
        <f t="shared" si="13"/>
        <v>1</v>
      </c>
    </row>
    <row r="146" spans="1:23" x14ac:dyDescent="0.3">
      <c r="A146" s="184"/>
      <c r="B146" s="194">
        <v>17</v>
      </c>
      <c r="C146" s="195"/>
      <c r="D146" s="196"/>
      <c r="E146" s="196"/>
      <c r="F146" s="222"/>
      <c r="G146" s="222"/>
      <c r="H146" s="274"/>
      <c r="I146" s="218"/>
      <c r="J146" s="268">
        <f t="shared" si="11"/>
        <v>0</v>
      </c>
      <c r="K146" s="185"/>
      <c r="V146" s="183">
        <f t="shared" si="12"/>
        <v>0</v>
      </c>
      <c r="W146" s="183">
        <f t="shared" si="13"/>
        <v>0</v>
      </c>
    </row>
    <row r="147" spans="1:23" x14ac:dyDescent="0.3">
      <c r="A147" s="184"/>
      <c r="B147" s="194">
        <v>18</v>
      </c>
      <c r="C147" s="195"/>
      <c r="D147" s="196"/>
      <c r="E147" s="196"/>
      <c r="F147" s="222"/>
      <c r="G147" s="222"/>
      <c r="H147" s="274"/>
      <c r="I147" s="218"/>
      <c r="J147" s="268">
        <f t="shared" si="11"/>
        <v>0</v>
      </c>
      <c r="K147" s="185"/>
      <c r="V147" s="183">
        <f t="shared" si="12"/>
        <v>0</v>
      </c>
      <c r="W147" s="183">
        <f t="shared" si="13"/>
        <v>0</v>
      </c>
    </row>
    <row r="148" spans="1:23" x14ac:dyDescent="0.3">
      <c r="A148" s="184"/>
      <c r="B148" s="194">
        <v>19</v>
      </c>
      <c r="C148" s="195"/>
      <c r="D148" s="196"/>
      <c r="E148" s="196"/>
      <c r="F148" s="222"/>
      <c r="G148" s="222"/>
      <c r="H148" s="274"/>
      <c r="I148" s="218"/>
      <c r="J148" s="268">
        <f t="shared" si="11"/>
        <v>0</v>
      </c>
      <c r="K148" s="185"/>
      <c r="V148" s="183">
        <f t="shared" si="12"/>
        <v>0</v>
      </c>
      <c r="W148" s="183">
        <f t="shared" si="13"/>
        <v>0</v>
      </c>
    </row>
    <row r="149" spans="1:23" x14ac:dyDescent="0.3">
      <c r="A149" s="184"/>
      <c r="B149" s="194">
        <v>20</v>
      </c>
      <c r="C149" s="195"/>
      <c r="D149" s="196"/>
      <c r="E149" s="222"/>
      <c r="F149" s="222"/>
      <c r="G149" s="222"/>
      <c r="H149" s="274"/>
      <c r="I149" s="218"/>
      <c r="J149" s="268">
        <f t="shared" si="11"/>
        <v>0</v>
      </c>
      <c r="K149" s="185"/>
      <c r="V149" s="183">
        <f t="shared" si="12"/>
        <v>0</v>
      </c>
      <c r="W149" s="183">
        <f t="shared" si="13"/>
        <v>0</v>
      </c>
    </row>
    <row r="150" spans="1:23" x14ac:dyDescent="0.3">
      <c r="A150" s="184"/>
      <c r="B150" s="194">
        <v>21</v>
      </c>
      <c r="C150" s="195"/>
      <c r="D150" s="196"/>
      <c r="E150" s="222"/>
      <c r="F150" s="222"/>
      <c r="G150" s="222"/>
      <c r="H150" s="274"/>
      <c r="I150" s="218"/>
      <c r="J150" s="268">
        <f t="shared" si="11"/>
        <v>0</v>
      </c>
      <c r="K150" s="185"/>
      <c r="V150" s="183">
        <f t="shared" si="12"/>
        <v>0</v>
      </c>
      <c r="W150" s="183">
        <f t="shared" si="13"/>
        <v>0</v>
      </c>
    </row>
    <row r="151" spans="1:23" x14ac:dyDescent="0.3">
      <c r="A151" s="184"/>
      <c r="B151" s="194">
        <v>22</v>
      </c>
      <c r="C151" s="195"/>
      <c r="D151" s="196"/>
      <c r="E151" s="222"/>
      <c r="F151" s="222"/>
      <c r="G151" s="222"/>
      <c r="H151" s="222"/>
      <c r="I151" s="218"/>
      <c r="J151" s="268">
        <f>I151*H151</f>
        <v>0</v>
      </c>
      <c r="K151" s="185"/>
      <c r="V151" s="183">
        <f t="shared" si="12"/>
        <v>0</v>
      </c>
      <c r="W151" s="183">
        <f t="shared" si="13"/>
        <v>0</v>
      </c>
    </row>
    <row r="152" spans="1:23" ht="15" thickBot="1" x14ac:dyDescent="0.35">
      <c r="A152" s="184"/>
      <c r="B152" s="199">
        <v>23</v>
      </c>
      <c r="C152" s="200"/>
      <c r="D152" s="201"/>
      <c r="E152" s="201"/>
      <c r="F152" s="284"/>
      <c r="G152" s="284"/>
      <c r="H152" s="284"/>
      <c r="I152" s="285"/>
      <c r="J152" s="269">
        <f>I152*H152</f>
        <v>0</v>
      </c>
      <c r="K152" s="185"/>
      <c r="V152" s="183">
        <f t="shared" si="12"/>
        <v>0</v>
      </c>
      <c r="W152" s="183">
        <f t="shared" si="13"/>
        <v>0</v>
      </c>
    </row>
    <row r="153" spans="1:23" ht="24" thickBot="1" x14ac:dyDescent="0.5">
      <c r="A153" s="184"/>
      <c r="B153" s="304" t="s">
        <v>879</v>
      </c>
      <c r="C153" s="305"/>
      <c r="D153" s="305"/>
      <c r="E153" s="305"/>
      <c r="F153" s="305"/>
      <c r="G153" s="305"/>
      <c r="H153" s="306"/>
      <c r="I153" s="203" t="s">
        <v>880</v>
      </c>
      <c r="J153" s="204">
        <f>SUM(J130:J152)</f>
        <v>20100</v>
      </c>
      <c r="K153" s="185"/>
      <c r="V153" s="183">
        <f>SUM(V130:V152)</f>
        <v>13</v>
      </c>
      <c r="W153" s="183">
        <f>SUM(W130:W152)</f>
        <v>3</v>
      </c>
    </row>
    <row r="154" spans="1:23" ht="30" customHeight="1" thickBot="1" x14ac:dyDescent="0.35">
      <c r="A154" s="205"/>
      <c r="B154" s="286"/>
      <c r="C154" s="286"/>
      <c r="D154" s="286"/>
      <c r="E154" s="286"/>
      <c r="F154" s="286"/>
      <c r="G154" s="286"/>
      <c r="H154" s="287"/>
      <c r="I154" s="286"/>
      <c r="J154" s="287"/>
      <c r="K154" s="207"/>
    </row>
  </sheetData>
  <mergeCells count="54">
    <mergeCell ref="M10:M11"/>
    <mergeCell ref="B127:J127"/>
    <mergeCell ref="B128:J128"/>
    <mergeCell ref="B153:H153"/>
    <mergeCell ref="B90:H90"/>
    <mergeCell ref="B94:J94"/>
    <mergeCell ref="B95:J95"/>
    <mergeCell ref="B96:J96"/>
    <mergeCell ref="B122:H122"/>
    <mergeCell ref="B126:J126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8300-000000000000}"/>
    <hyperlink ref="B90" r:id="rId2" xr:uid="{00000000-0004-0000-8300-000001000000}"/>
    <hyperlink ref="M4:M5" location="'NOV 2023'!A1" display="BULLION" xr:uid="{00000000-0004-0000-8300-000002000000}"/>
    <hyperlink ref="B122" r:id="rId3" xr:uid="{00000000-0004-0000-8300-000003000000}"/>
    <hyperlink ref="M8:M9" location="'NOV 2023'!A86" display="BASE METAL" xr:uid="{00000000-0004-0000-8300-000004000000}"/>
    <hyperlink ref="M1" location="MASTER!A1" display="Back" xr:uid="{00000000-0004-0000-8300-000005000000}"/>
    <hyperlink ref="M6:M7" location="'NOV 2023'!A55" display="ENERGY" xr:uid="{00000000-0004-0000-8300-000006000000}"/>
    <hyperlink ref="B153" r:id="rId4" xr:uid="{00000000-0004-0000-8300-000007000000}"/>
    <hyperlink ref="M10:M11" location="'NOV 2023'!A117" display="CRUDEOIL OPTION" xr:uid="{00000000-0004-0000-8300-000008000000}"/>
  </hyperlinks>
  <pageMargins left="0" right="0" top="0" bottom="0" header="0" footer="0"/>
  <pageSetup paperSize="9" orientation="portrait" r:id="rId5"/>
  <drawing r:id="rId6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X167"/>
  <sheetViews>
    <sheetView topLeftCell="A84" zoomScaleNormal="100" workbookViewId="0">
      <selection activeCell="O6" sqref="O6:O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45261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38</v>
      </c>
      <c r="O4" s="369">
        <f>V52</f>
        <v>33</v>
      </c>
      <c r="P4" s="369">
        <f>W52</f>
        <v>5</v>
      </c>
      <c r="Q4" s="349">
        <f>N4-O4-P4</f>
        <v>0</v>
      </c>
      <c r="R4" s="343">
        <f>O4/N4</f>
        <v>0.86842105263157898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45261</v>
      </c>
      <c r="D6" s="192" t="s">
        <v>23</v>
      </c>
      <c r="E6" s="192" t="s">
        <v>24</v>
      </c>
      <c r="F6" s="193">
        <v>62900</v>
      </c>
      <c r="G6" s="193">
        <v>62730</v>
      </c>
      <c r="H6" s="192">
        <f>62900-62730</f>
        <v>170</v>
      </c>
      <c r="I6" s="193">
        <v>100</v>
      </c>
      <c r="J6" s="267">
        <f>H6*I6</f>
        <v>17000</v>
      </c>
      <c r="K6" s="185"/>
      <c r="M6" s="364" t="s">
        <v>258</v>
      </c>
      <c r="N6" s="347">
        <f>COUNT(C60:C102)</f>
        <v>39</v>
      </c>
      <c r="O6" s="348">
        <f>V103</f>
        <v>34</v>
      </c>
      <c r="P6" s="348">
        <f>W103</f>
        <v>5</v>
      </c>
      <c r="Q6" s="349">
        <v>0</v>
      </c>
      <c r="R6" s="345">
        <f t="shared" ref="R6" si="0">O6/N6</f>
        <v>0.87179487179487181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45261</v>
      </c>
      <c r="D7" s="196" t="s">
        <v>23</v>
      </c>
      <c r="E7" s="196" t="s">
        <v>22</v>
      </c>
      <c r="F7" s="197">
        <v>77900</v>
      </c>
      <c r="G7" s="197">
        <v>77450</v>
      </c>
      <c r="H7" s="196">
        <f>77900-77450</f>
        <v>450</v>
      </c>
      <c r="I7" s="197">
        <v>30</v>
      </c>
      <c r="J7" s="268">
        <f t="shared" ref="J7:J51" si="1">H7*I7</f>
        <v>13500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45264</v>
      </c>
      <c r="D8" s="196" t="s">
        <v>23</v>
      </c>
      <c r="E8" s="196" t="s">
        <v>24</v>
      </c>
      <c r="F8" s="197">
        <v>63580</v>
      </c>
      <c r="G8" s="197">
        <v>63440</v>
      </c>
      <c r="H8" s="196">
        <f>63580-63440</f>
        <v>140</v>
      </c>
      <c r="I8" s="197">
        <v>100</v>
      </c>
      <c r="J8" s="268">
        <f t="shared" si="1"/>
        <v>14000</v>
      </c>
      <c r="K8" s="185"/>
      <c r="M8" s="362" t="s">
        <v>877</v>
      </c>
      <c r="N8" s="347">
        <f>COUNT(C111:C134)</f>
        <v>20</v>
      </c>
      <c r="O8" s="348">
        <f>V135</f>
        <v>19</v>
      </c>
      <c r="P8" s="348">
        <f>W135</f>
        <v>1</v>
      </c>
      <c r="Q8" s="349">
        <f>N8-O8-P8</f>
        <v>0</v>
      </c>
      <c r="R8" s="345">
        <f t="shared" ref="R8" si="4">O8/N8</f>
        <v>0.95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45264</v>
      </c>
      <c r="D9" s="196" t="s">
        <v>23</v>
      </c>
      <c r="E9" s="196" t="s">
        <v>22</v>
      </c>
      <c r="F9" s="197">
        <v>77600</v>
      </c>
      <c r="G9" s="197">
        <v>77470</v>
      </c>
      <c r="H9" s="196">
        <f>77600-77470</f>
        <v>130</v>
      </c>
      <c r="I9" s="197">
        <v>30</v>
      </c>
      <c r="J9" s="268">
        <f t="shared" si="1"/>
        <v>3900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45265</v>
      </c>
      <c r="D10" s="196" t="s">
        <v>23</v>
      </c>
      <c r="E10" s="196" t="s">
        <v>24</v>
      </c>
      <c r="F10" s="197">
        <v>62450</v>
      </c>
      <c r="G10" s="197">
        <v>62266</v>
      </c>
      <c r="H10" s="196">
        <f>62450-62266</f>
        <v>184</v>
      </c>
      <c r="I10" s="197">
        <v>100</v>
      </c>
      <c r="J10" s="268">
        <f t="shared" si="1"/>
        <v>18400</v>
      </c>
      <c r="K10" s="185"/>
      <c r="M10" s="364" t="s">
        <v>906</v>
      </c>
      <c r="N10" s="347">
        <f>COUNT(C143:C165)</f>
        <v>20</v>
      </c>
      <c r="O10" s="348">
        <f>V166</f>
        <v>19</v>
      </c>
      <c r="P10" s="348">
        <f>W166</f>
        <v>1</v>
      </c>
      <c r="Q10" s="349">
        <f>N10-O10-P10</f>
        <v>0</v>
      </c>
      <c r="R10" s="345">
        <f>O10/N10</f>
        <v>0.95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45265</v>
      </c>
      <c r="D11" s="196" t="s">
        <v>23</v>
      </c>
      <c r="E11" s="196" t="s">
        <v>22</v>
      </c>
      <c r="F11" s="197">
        <v>76000</v>
      </c>
      <c r="G11" s="197">
        <v>75485</v>
      </c>
      <c r="H11" s="196">
        <f>76000-75485</f>
        <v>515</v>
      </c>
      <c r="I11" s="197">
        <v>30</v>
      </c>
      <c r="J11" s="268">
        <f t="shared" si="1"/>
        <v>15450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45266</v>
      </c>
      <c r="D12" s="196" t="s">
        <v>23</v>
      </c>
      <c r="E12" s="196" t="s">
        <v>24</v>
      </c>
      <c r="F12" s="197">
        <v>62250</v>
      </c>
      <c r="G12" s="197">
        <v>62050</v>
      </c>
      <c r="H12" s="196">
        <f>62250-62050</f>
        <v>200</v>
      </c>
      <c r="I12" s="197">
        <v>100</v>
      </c>
      <c r="J12" s="268">
        <f t="shared" si="1"/>
        <v>20000</v>
      </c>
      <c r="K12" s="185"/>
      <c r="M12" s="319" t="s">
        <v>300</v>
      </c>
      <c r="N12" s="371">
        <f>SUM(N4:N11)</f>
        <v>117</v>
      </c>
      <c r="O12" s="371">
        <f>SUM(O4:O11)</f>
        <v>105</v>
      </c>
      <c r="P12" s="371">
        <f>SUM(P4:P11)</f>
        <v>12</v>
      </c>
      <c r="Q12" s="371">
        <f>SUM(Q4:Q11)</f>
        <v>0</v>
      </c>
      <c r="R12" s="343">
        <f>O12/N12</f>
        <v>0.89743589743589747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45266</v>
      </c>
      <c r="D13" s="196" t="s">
        <v>23</v>
      </c>
      <c r="E13" s="196" t="s">
        <v>22</v>
      </c>
      <c r="F13" s="197">
        <v>75350</v>
      </c>
      <c r="G13" s="197">
        <v>74750</v>
      </c>
      <c r="H13" s="196">
        <v>400</v>
      </c>
      <c r="I13" s="197">
        <v>30</v>
      </c>
      <c r="J13" s="268">
        <f t="shared" si="1"/>
        <v>12000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45267</v>
      </c>
      <c r="D14" s="196" t="s">
        <v>23</v>
      </c>
      <c r="E14" s="196" t="s">
        <v>24</v>
      </c>
      <c r="F14" s="197">
        <v>62580</v>
      </c>
      <c r="G14" s="197">
        <v>62480</v>
      </c>
      <c r="H14" s="196">
        <v>100</v>
      </c>
      <c r="I14" s="197">
        <v>100</v>
      </c>
      <c r="J14" s="268">
        <f t="shared" si="1"/>
        <v>10000</v>
      </c>
      <c r="K14" s="185"/>
      <c r="M14" s="323" t="s">
        <v>878</v>
      </c>
      <c r="N14" s="324"/>
      <c r="O14" s="325"/>
      <c r="P14" s="332">
        <f>R12</f>
        <v>0.89743589743589747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45267</v>
      </c>
      <c r="D15" s="196" t="s">
        <v>23</v>
      </c>
      <c r="E15" s="196" t="s">
        <v>22</v>
      </c>
      <c r="F15" s="197">
        <v>74850</v>
      </c>
      <c r="G15" s="197">
        <v>74680</v>
      </c>
      <c r="H15" s="196">
        <v>170</v>
      </c>
      <c r="I15" s="197">
        <v>30</v>
      </c>
      <c r="J15" s="268">
        <f t="shared" si="1"/>
        <v>5100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45271</v>
      </c>
      <c r="D16" s="196" t="s">
        <v>23</v>
      </c>
      <c r="E16" s="196" t="s">
        <v>24</v>
      </c>
      <c r="F16" s="197">
        <v>61520</v>
      </c>
      <c r="G16" s="197">
        <v>61450</v>
      </c>
      <c r="H16" s="196">
        <f>61520-61450</f>
        <v>70</v>
      </c>
      <c r="I16" s="197">
        <v>100</v>
      </c>
      <c r="J16" s="268">
        <f t="shared" si="1"/>
        <v>7000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45271</v>
      </c>
      <c r="D17" s="196" t="s">
        <v>23</v>
      </c>
      <c r="E17" s="196" t="s">
        <v>22</v>
      </c>
      <c r="F17" s="197">
        <v>72250</v>
      </c>
      <c r="G17" s="197">
        <v>72100</v>
      </c>
      <c r="H17" s="196">
        <f>72250-72100</f>
        <v>150</v>
      </c>
      <c r="I17" s="197">
        <v>30</v>
      </c>
      <c r="J17" s="268">
        <f t="shared" si="1"/>
        <v>4500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45272</v>
      </c>
      <c r="D18" s="196" t="s">
        <v>23</v>
      </c>
      <c r="E18" s="196" t="s">
        <v>24</v>
      </c>
      <c r="F18" s="197">
        <v>61320</v>
      </c>
      <c r="G18" s="197">
        <v>61260</v>
      </c>
      <c r="H18" s="196">
        <f>61320-61260</f>
        <v>60</v>
      </c>
      <c r="I18" s="197">
        <v>100</v>
      </c>
      <c r="J18" s="268">
        <f t="shared" si="1"/>
        <v>6000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45272</v>
      </c>
      <c r="D19" s="196" t="s">
        <v>23</v>
      </c>
      <c r="E19" s="196" t="s">
        <v>22</v>
      </c>
      <c r="F19" s="197">
        <v>72150</v>
      </c>
      <c r="G19" s="197">
        <v>72045</v>
      </c>
      <c r="H19" s="196">
        <f>72150-72045</f>
        <v>105</v>
      </c>
      <c r="I19" s="197">
        <v>30</v>
      </c>
      <c r="J19" s="268">
        <f t="shared" si="1"/>
        <v>3150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45273</v>
      </c>
      <c r="D20" s="196" t="s">
        <v>23</v>
      </c>
      <c r="E20" s="196" t="s">
        <v>24</v>
      </c>
      <c r="F20" s="197">
        <v>61140</v>
      </c>
      <c r="G20" s="197">
        <v>61240</v>
      </c>
      <c r="H20" s="196">
        <v>-100</v>
      </c>
      <c r="I20" s="197">
        <v>100</v>
      </c>
      <c r="J20" s="268">
        <f t="shared" si="1"/>
        <v>-10000</v>
      </c>
      <c r="K20" s="185"/>
      <c r="M20" s="183" t="s">
        <v>870</v>
      </c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45273</v>
      </c>
      <c r="D21" s="196" t="s">
        <v>23</v>
      </c>
      <c r="E21" s="196" t="s">
        <v>22</v>
      </c>
      <c r="F21" s="197">
        <v>71600</v>
      </c>
      <c r="G21" s="197">
        <v>71900</v>
      </c>
      <c r="H21" s="196">
        <v>-300</v>
      </c>
      <c r="I21" s="197">
        <v>30</v>
      </c>
      <c r="J21" s="268">
        <f t="shared" si="1"/>
        <v>-9000</v>
      </c>
      <c r="K21" s="185"/>
      <c r="M21" s="183" t="s">
        <v>904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45274</v>
      </c>
      <c r="D22" s="196" t="s">
        <v>23</v>
      </c>
      <c r="E22" s="196" t="s">
        <v>24</v>
      </c>
      <c r="F22" s="197">
        <v>62540</v>
      </c>
      <c r="G22" s="197">
        <v>62460</v>
      </c>
      <c r="H22" s="196">
        <f>62540-62460</f>
        <v>80</v>
      </c>
      <c r="I22" s="197">
        <v>100</v>
      </c>
      <c r="J22" s="268">
        <f t="shared" si="1"/>
        <v>8000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45274</v>
      </c>
      <c r="D23" s="196" t="s">
        <v>23</v>
      </c>
      <c r="E23" s="196" t="s">
        <v>22</v>
      </c>
      <c r="F23" s="197">
        <v>74900</v>
      </c>
      <c r="G23" s="197">
        <v>75200</v>
      </c>
      <c r="H23" s="196">
        <v>-300</v>
      </c>
      <c r="I23" s="197">
        <v>30</v>
      </c>
      <c r="J23" s="268">
        <f t="shared" si="1"/>
        <v>-9000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45275</v>
      </c>
      <c r="D24" s="196" t="s">
        <v>23</v>
      </c>
      <c r="E24" s="196" t="s">
        <v>24</v>
      </c>
      <c r="F24" s="197">
        <v>62500</v>
      </c>
      <c r="G24" s="197">
        <v>62300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45275</v>
      </c>
      <c r="D25" s="196" t="s">
        <v>23</v>
      </c>
      <c r="E25" s="196" t="s">
        <v>22</v>
      </c>
      <c r="F25" s="197">
        <v>75200</v>
      </c>
      <c r="G25" s="197">
        <v>74600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45278</v>
      </c>
      <c r="D26" s="196" t="s">
        <v>16</v>
      </c>
      <c r="E26" s="196" t="s">
        <v>24</v>
      </c>
      <c r="F26" s="197">
        <v>62100</v>
      </c>
      <c r="G26" s="197">
        <v>62000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45278</v>
      </c>
      <c r="D27" s="196" t="s">
        <v>16</v>
      </c>
      <c r="E27" s="196" t="s">
        <v>22</v>
      </c>
      <c r="F27" s="197">
        <v>74700</v>
      </c>
      <c r="G27" s="197">
        <v>74400</v>
      </c>
      <c r="H27" s="196">
        <v>-300</v>
      </c>
      <c r="I27" s="197">
        <v>30</v>
      </c>
      <c r="J27" s="268">
        <f t="shared" si="1"/>
        <v>-9000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45279</v>
      </c>
      <c r="D28" s="196" t="s">
        <v>23</v>
      </c>
      <c r="E28" s="196" t="s">
        <v>24</v>
      </c>
      <c r="F28" s="197">
        <v>62220</v>
      </c>
      <c r="G28" s="197">
        <v>62155</v>
      </c>
      <c r="H28" s="196">
        <f>62220-62155</f>
        <v>65</v>
      </c>
      <c r="I28" s="197">
        <v>100</v>
      </c>
      <c r="J28" s="268">
        <f t="shared" si="1"/>
        <v>6500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45279</v>
      </c>
      <c r="D29" s="196" t="s">
        <v>23</v>
      </c>
      <c r="E29" s="196" t="s">
        <v>22</v>
      </c>
      <c r="F29" s="197">
        <v>74650</v>
      </c>
      <c r="G29" s="197">
        <v>74450</v>
      </c>
      <c r="H29" s="196">
        <f>74650-74450</f>
        <v>200</v>
      </c>
      <c r="I29" s="197">
        <v>30</v>
      </c>
      <c r="J29" s="268">
        <f t="shared" si="1"/>
        <v>6000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45280</v>
      </c>
      <c r="D30" s="196" t="s">
        <v>23</v>
      </c>
      <c r="E30" s="196" t="s">
        <v>24</v>
      </c>
      <c r="F30" s="197">
        <v>62550</v>
      </c>
      <c r="G30" s="197">
        <v>62350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45280</v>
      </c>
      <c r="D31" s="196" t="s">
        <v>23</v>
      </c>
      <c r="E31" s="196" t="s">
        <v>22</v>
      </c>
      <c r="F31" s="197">
        <v>74900</v>
      </c>
      <c r="G31" s="197">
        <v>74600</v>
      </c>
      <c r="H31" s="196">
        <v>300</v>
      </c>
      <c r="I31" s="197">
        <v>30</v>
      </c>
      <c r="J31" s="268">
        <f t="shared" si="1"/>
        <v>9000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45281</v>
      </c>
      <c r="D32" s="196" t="s">
        <v>23</v>
      </c>
      <c r="E32" s="196" t="s">
        <v>24</v>
      </c>
      <c r="F32" s="197">
        <v>62480</v>
      </c>
      <c r="G32" s="197">
        <v>62380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45281</v>
      </c>
      <c r="D33" s="196" t="s">
        <v>23</v>
      </c>
      <c r="E33" s="196" t="s">
        <v>22</v>
      </c>
      <c r="F33" s="197">
        <v>75500</v>
      </c>
      <c r="G33" s="197">
        <v>75272</v>
      </c>
      <c r="H33" s="196">
        <f>75500-75272</f>
        <v>228</v>
      </c>
      <c r="I33" s="197">
        <v>30</v>
      </c>
      <c r="J33" s="268">
        <f t="shared" si="1"/>
        <v>6840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45282</v>
      </c>
      <c r="D34" s="196" t="s">
        <v>16</v>
      </c>
      <c r="E34" s="196" t="s">
        <v>24</v>
      </c>
      <c r="F34" s="197">
        <v>62750</v>
      </c>
      <c r="G34" s="197">
        <v>62950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45282</v>
      </c>
      <c r="D35" s="196" t="s">
        <v>16</v>
      </c>
      <c r="E35" s="196" t="s">
        <v>22</v>
      </c>
      <c r="F35" s="197">
        <v>75700</v>
      </c>
      <c r="G35" s="197">
        <v>75960</v>
      </c>
      <c r="H35" s="196">
        <v>260</v>
      </c>
      <c r="I35" s="197">
        <v>30</v>
      </c>
      <c r="J35" s="268">
        <f t="shared" si="1"/>
        <v>7800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45286</v>
      </c>
      <c r="D36" s="196" t="s">
        <v>23</v>
      </c>
      <c r="E36" s="196" t="s">
        <v>24</v>
      </c>
      <c r="F36" s="197">
        <v>63160</v>
      </c>
      <c r="G36" s="197">
        <v>62960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45286</v>
      </c>
      <c r="D37" s="196" t="s">
        <v>23</v>
      </c>
      <c r="E37" s="196" t="s">
        <v>22</v>
      </c>
      <c r="F37" s="197">
        <v>75600</v>
      </c>
      <c r="G37" s="197">
        <v>75000</v>
      </c>
      <c r="H37" s="196">
        <v>600</v>
      </c>
      <c r="I37" s="197">
        <v>30</v>
      </c>
      <c r="J37" s="268">
        <f t="shared" si="1"/>
        <v>18000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45287</v>
      </c>
      <c r="D38" s="196" t="s">
        <v>23</v>
      </c>
      <c r="E38" s="196" t="s">
        <v>24</v>
      </c>
      <c r="F38" s="197">
        <v>63280</v>
      </c>
      <c r="G38" s="197">
        <v>63220</v>
      </c>
      <c r="H38" s="196">
        <f>63280-63220</f>
        <v>60</v>
      </c>
      <c r="I38" s="197">
        <v>100</v>
      </c>
      <c r="J38" s="268">
        <f t="shared" si="1"/>
        <v>6000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45287</v>
      </c>
      <c r="D39" s="196" t="s">
        <v>23</v>
      </c>
      <c r="E39" s="196" t="s">
        <v>22</v>
      </c>
      <c r="F39" s="197">
        <v>75200</v>
      </c>
      <c r="G39" s="197">
        <v>74700</v>
      </c>
      <c r="H39" s="196">
        <f>75200-74700</f>
        <v>500</v>
      </c>
      <c r="I39" s="197">
        <v>30</v>
      </c>
      <c r="J39" s="268">
        <f t="shared" si="1"/>
        <v>15000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45288</v>
      </c>
      <c r="D40" s="196" t="s">
        <v>23</v>
      </c>
      <c r="E40" s="196" t="s">
        <v>24</v>
      </c>
      <c r="F40" s="197">
        <v>63450</v>
      </c>
      <c r="G40" s="197">
        <v>63350</v>
      </c>
      <c r="H40" s="196">
        <v>100</v>
      </c>
      <c r="I40" s="197">
        <v>100</v>
      </c>
      <c r="J40" s="268">
        <f t="shared" si="1"/>
        <v>10000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45288</v>
      </c>
      <c r="D41" s="196" t="s">
        <v>23</v>
      </c>
      <c r="E41" s="196" t="s">
        <v>22</v>
      </c>
      <c r="F41" s="197">
        <v>75400</v>
      </c>
      <c r="G41" s="197">
        <v>74900</v>
      </c>
      <c r="H41" s="196">
        <f>75400-74900</f>
        <v>500</v>
      </c>
      <c r="I41" s="197">
        <v>30</v>
      </c>
      <c r="J41" s="268">
        <f t="shared" si="1"/>
        <v>15000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45289</v>
      </c>
      <c r="D42" s="196" t="s">
        <v>23</v>
      </c>
      <c r="E42" s="196" t="s">
        <v>24</v>
      </c>
      <c r="F42" s="197">
        <v>63300</v>
      </c>
      <c r="G42" s="197">
        <v>63100</v>
      </c>
      <c r="H42" s="196">
        <v>200</v>
      </c>
      <c r="I42" s="197">
        <v>100</v>
      </c>
      <c r="J42" s="268">
        <f t="shared" si="1"/>
        <v>20000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45289</v>
      </c>
      <c r="D43" s="196" t="s">
        <v>23</v>
      </c>
      <c r="E43" s="196" t="s">
        <v>22</v>
      </c>
      <c r="F43" s="197">
        <v>74200</v>
      </c>
      <c r="G43" s="197">
        <v>73750</v>
      </c>
      <c r="H43" s="196">
        <f>74200-73750</f>
        <v>450</v>
      </c>
      <c r="I43" s="197">
        <v>30</v>
      </c>
      <c r="J43" s="268">
        <f t="shared" si="1"/>
        <v>13500</v>
      </c>
      <c r="K43" s="185"/>
      <c r="V43" s="183">
        <f t="shared" si="2"/>
        <v>1</v>
      </c>
      <c r="W43" s="183">
        <f t="shared" si="3"/>
        <v>0</v>
      </c>
    </row>
    <row r="44" spans="1:23" hidden="1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hidden="1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hidden="1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hidden="1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hidden="1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idden="1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idden="1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352640</v>
      </c>
      <c r="K52" s="185"/>
      <c r="V52" s="183">
        <f>SUM(V6:V51)</f>
        <v>33</v>
      </c>
      <c r="W52" s="183">
        <f>SUM(W6:W51)</f>
        <v>5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45261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45261</v>
      </c>
      <c r="D60" s="192" t="s">
        <v>23</v>
      </c>
      <c r="E60" s="192" t="s">
        <v>25</v>
      </c>
      <c r="F60" s="193">
        <v>6330</v>
      </c>
      <c r="G60" s="193">
        <v>6310</v>
      </c>
      <c r="H60" s="192">
        <v>20</v>
      </c>
      <c r="I60" s="193">
        <v>100</v>
      </c>
      <c r="J60" s="267">
        <f t="shared" ref="J60:J102" si="5">I60*H60</f>
        <v>2000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45264</v>
      </c>
      <c r="D61" s="196" t="s">
        <v>23</v>
      </c>
      <c r="E61" s="196" t="s">
        <v>25</v>
      </c>
      <c r="F61" s="197">
        <v>6110</v>
      </c>
      <c r="G61" s="197">
        <v>6095</v>
      </c>
      <c r="H61" s="196">
        <f>6110-6095</f>
        <v>15</v>
      </c>
      <c r="I61" s="197">
        <v>100</v>
      </c>
      <c r="J61" s="268">
        <f t="shared" si="5"/>
        <v>1500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45264</v>
      </c>
      <c r="D62" s="196" t="s">
        <v>16</v>
      </c>
      <c r="E62" s="196" t="s">
        <v>939</v>
      </c>
      <c r="F62" s="197">
        <v>227</v>
      </c>
      <c r="G62" s="197">
        <v>230</v>
      </c>
      <c r="H62" s="196">
        <f>230-227</f>
        <v>3</v>
      </c>
      <c r="I62" s="197">
        <v>2000</v>
      </c>
      <c r="J62" s="268">
        <f t="shared" si="5"/>
        <v>6000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45265</v>
      </c>
      <c r="D63" s="196" t="s">
        <v>23</v>
      </c>
      <c r="E63" s="196" t="s">
        <v>25</v>
      </c>
      <c r="F63" s="197">
        <v>6175</v>
      </c>
      <c r="G63" s="197">
        <v>6105</v>
      </c>
      <c r="H63" s="196">
        <f>6175-6105</f>
        <v>70</v>
      </c>
      <c r="I63" s="197">
        <v>100</v>
      </c>
      <c r="J63" s="268">
        <f t="shared" si="5"/>
        <v>7000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45265</v>
      </c>
      <c r="D64" s="196" t="s">
        <v>23</v>
      </c>
      <c r="E64" s="196" t="s">
        <v>939</v>
      </c>
      <c r="F64" s="197">
        <v>227</v>
      </c>
      <c r="G64" s="197">
        <v>225</v>
      </c>
      <c r="H64" s="196">
        <v>2</v>
      </c>
      <c r="I64" s="197">
        <v>2000</v>
      </c>
      <c r="J64" s="268">
        <f t="shared" si="5"/>
        <v>4000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45266</v>
      </c>
      <c r="D65" s="196" t="s">
        <v>23</v>
      </c>
      <c r="E65" s="196" t="s">
        <v>25</v>
      </c>
      <c r="F65" s="197">
        <v>6010</v>
      </c>
      <c r="G65" s="197">
        <v>5940</v>
      </c>
      <c r="H65" s="196">
        <f>6010-5940</f>
        <v>70</v>
      </c>
      <c r="I65" s="197">
        <v>100</v>
      </c>
      <c r="J65" s="268">
        <f t="shared" si="5"/>
        <v>7000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45266</v>
      </c>
      <c r="D66" s="196" t="s">
        <v>16</v>
      </c>
      <c r="E66" s="196" t="s">
        <v>939</v>
      </c>
      <c r="F66" s="222">
        <v>227</v>
      </c>
      <c r="G66" s="222">
        <v>235</v>
      </c>
      <c r="H66" s="196">
        <f>235-227</f>
        <v>8</v>
      </c>
      <c r="I66" s="197">
        <v>2000</v>
      </c>
      <c r="J66" s="268">
        <f t="shared" si="5"/>
        <v>16000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45267</v>
      </c>
      <c r="D67" s="196" t="s">
        <v>23</v>
      </c>
      <c r="E67" s="196" t="s">
        <v>25</v>
      </c>
      <c r="F67" s="197">
        <v>5850</v>
      </c>
      <c r="G67" s="197">
        <v>5835</v>
      </c>
      <c r="H67" s="196">
        <f>5850-5835</f>
        <v>15</v>
      </c>
      <c r="I67" s="197">
        <v>100</v>
      </c>
      <c r="J67" s="268">
        <f t="shared" si="5"/>
        <v>1500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45267</v>
      </c>
      <c r="D68" s="196" t="s">
        <v>23</v>
      </c>
      <c r="E68" s="196" t="s">
        <v>939</v>
      </c>
      <c r="F68" s="197">
        <v>211</v>
      </c>
      <c r="G68" s="197">
        <v>208</v>
      </c>
      <c r="H68" s="196">
        <v>3</v>
      </c>
      <c r="I68" s="197">
        <v>2000</v>
      </c>
      <c r="J68" s="268">
        <f t="shared" si="5"/>
        <v>6000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45268</v>
      </c>
      <c r="D69" s="196" t="s">
        <v>23</v>
      </c>
      <c r="E69" s="196" t="s">
        <v>25</v>
      </c>
      <c r="F69" s="197">
        <v>5925</v>
      </c>
      <c r="G69" s="197">
        <v>5885</v>
      </c>
      <c r="H69" s="196">
        <v>40</v>
      </c>
      <c r="I69" s="197">
        <v>100</v>
      </c>
      <c r="J69" s="268">
        <f t="shared" si="5"/>
        <v>4000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45268</v>
      </c>
      <c r="D70" s="196" t="s">
        <v>16</v>
      </c>
      <c r="E70" s="196" t="s">
        <v>939</v>
      </c>
      <c r="F70" s="197">
        <v>217</v>
      </c>
      <c r="G70" s="197">
        <v>218</v>
      </c>
      <c r="H70" s="196">
        <v>1</v>
      </c>
      <c r="I70" s="197">
        <v>2000</v>
      </c>
      <c r="J70" s="268">
        <f t="shared" si="5"/>
        <v>2000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45271</v>
      </c>
      <c r="D71" s="196" t="s">
        <v>23</v>
      </c>
      <c r="E71" s="196" t="s">
        <v>25</v>
      </c>
      <c r="F71" s="197">
        <v>5925</v>
      </c>
      <c r="G71" s="197">
        <v>5880</v>
      </c>
      <c r="H71" s="196">
        <v>45</v>
      </c>
      <c r="I71" s="197">
        <v>100</v>
      </c>
      <c r="J71" s="268">
        <f t="shared" si="5"/>
        <v>4500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45271</v>
      </c>
      <c r="D72" s="196" t="s">
        <v>16</v>
      </c>
      <c r="E72" s="196" t="s">
        <v>939</v>
      </c>
      <c r="F72" s="197">
        <v>201</v>
      </c>
      <c r="G72" s="197">
        <v>198</v>
      </c>
      <c r="H72" s="196">
        <v>-3</v>
      </c>
      <c r="I72" s="197">
        <v>2000</v>
      </c>
      <c r="J72" s="268">
        <f t="shared" si="5"/>
        <v>-6000</v>
      </c>
      <c r="K72" s="185"/>
      <c r="V72" s="183">
        <f t="shared" si="6"/>
        <v>0</v>
      </c>
      <c r="W72" s="183">
        <f t="shared" si="7"/>
        <v>1</v>
      </c>
    </row>
    <row r="73" spans="1:23" x14ac:dyDescent="0.3">
      <c r="A73" s="184"/>
      <c r="B73" s="194">
        <v>14</v>
      </c>
      <c r="C73" s="195">
        <v>45272</v>
      </c>
      <c r="D73" s="196" t="s">
        <v>23</v>
      </c>
      <c r="E73" s="196" t="s">
        <v>25</v>
      </c>
      <c r="F73" s="197">
        <v>5990</v>
      </c>
      <c r="G73" s="197">
        <v>5920</v>
      </c>
      <c r="H73" s="196">
        <f>5990-5920</f>
        <v>70</v>
      </c>
      <c r="I73" s="197">
        <v>100</v>
      </c>
      <c r="J73" s="268">
        <f t="shared" si="5"/>
        <v>7000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45272</v>
      </c>
      <c r="D74" s="196" t="s">
        <v>16</v>
      </c>
      <c r="E74" s="196" t="s">
        <v>939</v>
      </c>
      <c r="F74" s="197">
        <v>205</v>
      </c>
      <c r="G74" s="197">
        <v>202</v>
      </c>
      <c r="H74" s="196">
        <v>-3</v>
      </c>
      <c r="I74" s="197">
        <v>2000</v>
      </c>
      <c r="J74" s="268">
        <f t="shared" si="5"/>
        <v>-6000</v>
      </c>
      <c r="K74" s="185"/>
      <c r="V74" s="183">
        <f t="shared" si="6"/>
        <v>0</v>
      </c>
      <c r="W74" s="183">
        <f t="shared" si="7"/>
        <v>1</v>
      </c>
    </row>
    <row r="75" spans="1:23" x14ac:dyDescent="0.3">
      <c r="A75" s="184"/>
      <c r="B75" s="194">
        <v>16</v>
      </c>
      <c r="C75" s="195">
        <v>45273</v>
      </c>
      <c r="D75" s="196" t="s">
        <v>23</v>
      </c>
      <c r="E75" s="196" t="s">
        <v>25</v>
      </c>
      <c r="F75" s="197">
        <v>5695</v>
      </c>
      <c r="G75" s="197">
        <v>5665</v>
      </c>
      <c r="H75" s="196">
        <f>5695-5665</f>
        <v>30</v>
      </c>
      <c r="I75" s="197">
        <v>100</v>
      </c>
      <c r="J75" s="268">
        <f t="shared" si="5"/>
        <v>3000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45273</v>
      </c>
      <c r="D76" s="196" t="s">
        <v>16</v>
      </c>
      <c r="E76" s="196" t="s">
        <v>939</v>
      </c>
      <c r="F76" s="197">
        <v>191</v>
      </c>
      <c r="G76" s="197">
        <v>194</v>
      </c>
      <c r="H76" s="196">
        <v>3</v>
      </c>
      <c r="I76" s="197">
        <v>2000</v>
      </c>
      <c r="J76" s="268">
        <f t="shared" si="5"/>
        <v>6000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45274</v>
      </c>
      <c r="D77" s="196" t="s">
        <v>23</v>
      </c>
      <c r="E77" s="196" t="s">
        <v>25</v>
      </c>
      <c r="F77" s="197">
        <v>5910</v>
      </c>
      <c r="G77" s="197">
        <v>5880</v>
      </c>
      <c r="H77" s="196">
        <f>5910-5880</f>
        <v>30</v>
      </c>
      <c r="I77" s="197">
        <v>100</v>
      </c>
      <c r="J77" s="268">
        <f t="shared" si="5"/>
        <v>3000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45274</v>
      </c>
      <c r="D78" s="196" t="s">
        <v>16</v>
      </c>
      <c r="E78" s="196" t="s">
        <v>939</v>
      </c>
      <c r="F78" s="197">
        <v>197</v>
      </c>
      <c r="G78" s="197">
        <v>194</v>
      </c>
      <c r="H78" s="196">
        <v>3</v>
      </c>
      <c r="I78" s="197">
        <v>2000</v>
      </c>
      <c r="J78" s="268">
        <f t="shared" si="5"/>
        <v>6000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45275</v>
      </c>
      <c r="D79" s="196" t="s">
        <v>23</v>
      </c>
      <c r="E79" s="196" t="s">
        <v>25</v>
      </c>
      <c r="F79" s="197">
        <v>5960</v>
      </c>
      <c r="G79" s="197">
        <v>5946</v>
      </c>
      <c r="H79" s="196">
        <f>5960-5946</f>
        <v>14</v>
      </c>
      <c r="I79" s="197">
        <v>100</v>
      </c>
      <c r="J79" s="268">
        <f t="shared" si="5"/>
        <v>1400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45275</v>
      </c>
      <c r="D80" s="196" t="s">
        <v>16</v>
      </c>
      <c r="E80" s="196" t="s">
        <v>939</v>
      </c>
      <c r="F80" s="197">
        <v>200</v>
      </c>
      <c r="G80" s="197">
        <v>204</v>
      </c>
      <c r="H80" s="196">
        <v>4</v>
      </c>
      <c r="I80" s="197">
        <v>2000</v>
      </c>
      <c r="J80" s="268">
        <f t="shared" si="5"/>
        <v>8000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45278</v>
      </c>
      <c r="D81" s="196" t="s">
        <v>23</v>
      </c>
      <c r="E81" s="196" t="s">
        <v>25</v>
      </c>
      <c r="F81" s="197">
        <v>5940</v>
      </c>
      <c r="G81" s="197">
        <v>5870</v>
      </c>
      <c r="H81" s="196">
        <v>30</v>
      </c>
      <c r="I81" s="197">
        <v>100</v>
      </c>
      <c r="J81" s="268">
        <f t="shared" si="5"/>
        <v>3000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45278</v>
      </c>
      <c r="D82" s="196" t="s">
        <v>16</v>
      </c>
      <c r="E82" s="196" t="s">
        <v>939</v>
      </c>
      <c r="F82" s="197">
        <v>210</v>
      </c>
      <c r="G82" s="197">
        <v>215</v>
      </c>
      <c r="H82" s="196">
        <v>5</v>
      </c>
      <c r="I82" s="197">
        <v>2000</v>
      </c>
      <c r="J82" s="268">
        <f t="shared" si="5"/>
        <v>10000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45279</v>
      </c>
      <c r="D83" s="196" t="s">
        <v>23</v>
      </c>
      <c r="E83" s="196" t="s">
        <v>25</v>
      </c>
      <c r="F83" s="197">
        <v>6060</v>
      </c>
      <c r="G83" s="197">
        <v>6045</v>
      </c>
      <c r="H83" s="196">
        <f>6060-6045</f>
        <v>15</v>
      </c>
      <c r="I83" s="197">
        <v>100</v>
      </c>
      <c r="J83" s="268">
        <f t="shared" si="5"/>
        <v>1500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184"/>
      <c r="B84" s="194">
        <v>25</v>
      </c>
      <c r="C84" s="195">
        <v>45279</v>
      </c>
      <c r="D84" s="196" t="s">
        <v>23</v>
      </c>
      <c r="E84" s="196" t="s">
        <v>939</v>
      </c>
      <c r="F84" s="197">
        <v>204</v>
      </c>
      <c r="G84" s="222">
        <v>202.4</v>
      </c>
      <c r="H84" s="222">
        <v>202.4</v>
      </c>
      <c r="I84" s="197">
        <v>2000</v>
      </c>
      <c r="J84" s="268">
        <f t="shared" si="5"/>
        <v>404800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45280</v>
      </c>
      <c r="D85" s="196" t="s">
        <v>23</v>
      </c>
      <c r="E85" s="196" t="s">
        <v>25</v>
      </c>
      <c r="F85" s="197">
        <v>6260</v>
      </c>
      <c r="G85" s="197">
        <v>6190</v>
      </c>
      <c r="H85" s="196">
        <f>6260-6190</f>
        <v>70</v>
      </c>
      <c r="I85" s="197">
        <v>100</v>
      </c>
      <c r="J85" s="268">
        <f t="shared" si="5"/>
        <v>7000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45280</v>
      </c>
      <c r="D86" s="196" t="s">
        <v>23</v>
      </c>
      <c r="E86" s="196" t="s">
        <v>939</v>
      </c>
      <c r="F86" s="197">
        <v>211</v>
      </c>
      <c r="G86" s="197">
        <v>205</v>
      </c>
      <c r="H86" s="196">
        <f>211-205</f>
        <v>6</v>
      </c>
      <c r="I86" s="197">
        <v>2000</v>
      </c>
      <c r="J86" s="268">
        <f t="shared" si="5"/>
        <v>12000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45281</v>
      </c>
      <c r="D87" s="196" t="s">
        <v>23</v>
      </c>
      <c r="E87" s="196" t="s">
        <v>25</v>
      </c>
      <c r="F87" s="197">
        <v>6190</v>
      </c>
      <c r="G87" s="197">
        <v>6120</v>
      </c>
      <c r="H87" s="196">
        <f>6190-6120</f>
        <v>70</v>
      </c>
      <c r="I87" s="197">
        <v>100</v>
      </c>
      <c r="J87" s="268">
        <f t="shared" si="5"/>
        <v>7000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45281</v>
      </c>
      <c r="D88" s="196" t="s">
        <v>16</v>
      </c>
      <c r="E88" s="196" t="s">
        <v>939</v>
      </c>
      <c r="F88" s="197">
        <v>203</v>
      </c>
      <c r="G88" s="197">
        <v>207</v>
      </c>
      <c r="H88" s="196">
        <v>4</v>
      </c>
      <c r="I88" s="197">
        <v>2000</v>
      </c>
      <c r="J88" s="268">
        <f t="shared" si="5"/>
        <v>8000</v>
      </c>
      <c r="K88" s="185"/>
      <c r="V88" s="183">
        <f t="shared" si="6"/>
        <v>1</v>
      </c>
      <c r="W88" s="183">
        <f t="shared" si="7"/>
        <v>0</v>
      </c>
    </row>
    <row r="89" spans="1:23" x14ac:dyDescent="0.3">
      <c r="A89" s="184"/>
      <c r="B89" s="194">
        <v>30</v>
      </c>
      <c r="C89" s="195">
        <v>45282</v>
      </c>
      <c r="D89" s="196" t="s">
        <v>16</v>
      </c>
      <c r="E89" s="196" t="s">
        <v>25</v>
      </c>
      <c r="F89" s="197">
        <v>6210</v>
      </c>
      <c r="G89" s="197">
        <v>6240</v>
      </c>
      <c r="H89" s="196">
        <f>6240-6210</f>
        <v>30</v>
      </c>
      <c r="I89" s="197">
        <v>100</v>
      </c>
      <c r="J89" s="268">
        <f t="shared" si="5"/>
        <v>3000</v>
      </c>
      <c r="K89" s="185"/>
      <c r="V89" s="183">
        <f t="shared" si="6"/>
        <v>1</v>
      </c>
      <c r="W89" s="183">
        <f t="shared" si="7"/>
        <v>0</v>
      </c>
    </row>
    <row r="90" spans="1:23" x14ac:dyDescent="0.3">
      <c r="A90" s="184"/>
      <c r="B90" s="194">
        <v>31</v>
      </c>
      <c r="C90" s="195">
        <v>45282</v>
      </c>
      <c r="D90" s="196" t="s">
        <v>23</v>
      </c>
      <c r="E90" s="196" t="s">
        <v>939</v>
      </c>
      <c r="F90" s="197">
        <v>215</v>
      </c>
      <c r="G90" s="197">
        <v>218</v>
      </c>
      <c r="H90" s="196">
        <v>-3</v>
      </c>
      <c r="I90" s="197">
        <v>2000</v>
      </c>
      <c r="J90" s="268">
        <f t="shared" si="5"/>
        <v>-6000</v>
      </c>
      <c r="K90" s="185"/>
      <c r="V90" s="183">
        <f t="shared" si="6"/>
        <v>0</v>
      </c>
      <c r="W90" s="183">
        <f t="shared" si="7"/>
        <v>1</v>
      </c>
    </row>
    <row r="91" spans="1:23" x14ac:dyDescent="0.3">
      <c r="A91" s="184"/>
      <c r="B91" s="194">
        <v>32</v>
      </c>
      <c r="C91" s="195">
        <v>45286</v>
      </c>
      <c r="D91" s="196" t="s">
        <v>23</v>
      </c>
      <c r="E91" s="196" t="s">
        <v>25</v>
      </c>
      <c r="F91" s="197">
        <v>6150</v>
      </c>
      <c r="G91" s="197">
        <v>6111</v>
      </c>
      <c r="H91" s="196">
        <f>6150-6111</f>
        <v>39</v>
      </c>
      <c r="I91" s="197">
        <v>100</v>
      </c>
      <c r="J91" s="268">
        <f t="shared" si="5"/>
        <v>3900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45286</v>
      </c>
      <c r="D92" s="196" t="s">
        <v>23</v>
      </c>
      <c r="E92" s="196" t="s">
        <v>939</v>
      </c>
      <c r="F92" s="197">
        <v>209</v>
      </c>
      <c r="G92" s="197">
        <v>207</v>
      </c>
      <c r="H92" s="196">
        <v>2</v>
      </c>
      <c r="I92" s="197">
        <v>2000</v>
      </c>
      <c r="J92" s="268">
        <f t="shared" si="5"/>
        <v>4000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45287</v>
      </c>
      <c r="D93" s="196" t="s">
        <v>23</v>
      </c>
      <c r="E93" s="196" t="s">
        <v>25</v>
      </c>
      <c r="F93" s="197">
        <v>6305</v>
      </c>
      <c r="G93" s="197">
        <v>6175</v>
      </c>
      <c r="H93" s="196">
        <f>6305-6175</f>
        <v>130</v>
      </c>
      <c r="I93" s="197">
        <v>100</v>
      </c>
      <c r="J93" s="268">
        <f t="shared" si="5"/>
        <v>13000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45287</v>
      </c>
      <c r="D94" s="196" t="s">
        <v>23</v>
      </c>
      <c r="E94" s="196" t="s">
        <v>939</v>
      </c>
      <c r="F94" s="197">
        <v>209</v>
      </c>
      <c r="G94" s="197">
        <v>212</v>
      </c>
      <c r="H94" s="196">
        <v>-3</v>
      </c>
      <c r="I94" s="197">
        <v>2000</v>
      </c>
      <c r="J94" s="268">
        <f t="shared" si="5"/>
        <v>-6000</v>
      </c>
      <c r="K94" s="185"/>
      <c r="V94" s="183">
        <f t="shared" si="6"/>
        <v>0</v>
      </c>
      <c r="W94" s="183">
        <f t="shared" si="7"/>
        <v>1</v>
      </c>
    </row>
    <row r="95" spans="1:23" x14ac:dyDescent="0.3">
      <c r="A95" s="184"/>
      <c r="B95" s="194">
        <v>36</v>
      </c>
      <c r="C95" s="195">
        <v>45288</v>
      </c>
      <c r="D95" s="196" t="s">
        <v>23</v>
      </c>
      <c r="E95" s="196" t="s">
        <v>25</v>
      </c>
      <c r="F95" s="197">
        <v>6150</v>
      </c>
      <c r="G95" s="197">
        <v>6080</v>
      </c>
      <c r="H95" s="196">
        <f>6150-6080</f>
        <v>70</v>
      </c>
      <c r="I95" s="197">
        <v>100</v>
      </c>
      <c r="J95" s="268">
        <f t="shared" si="5"/>
        <v>7000</v>
      </c>
      <c r="K95" s="185"/>
      <c r="V95" s="183">
        <f t="shared" si="6"/>
        <v>1</v>
      </c>
      <c r="W95" s="183">
        <f t="shared" si="7"/>
        <v>0</v>
      </c>
    </row>
    <row r="96" spans="1:23" x14ac:dyDescent="0.3">
      <c r="A96" s="184"/>
      <c r="B96" s="194">
        <v>37</v>
      </c>
      <c r="C96" s="195">
        <v>45288</v>
      </c>
      <c r="D96" s="196" t="s">
        <v>23</v>
      </c>
      <c r="E96" s="196" t="s">
        <v>939</v>
      </c>
      <c r="F96" s="197">
        <v>203</v>
      </c>
      <c r="G96" s="197">
        <v>206</v>
      </c>
      <c r="H96" s="196">
        <v>-3</v>
      </c>
      <c r="I96" s="197">
        <v>2000</v>
      </c>
      <c r="J96" s="268">
        <f t="shared" si="5"/>
        <v>-6000</v>
      </c>
      <c r="K96" s="185"/>
      <c r="V96" s="183">
        <f t="shared" si="6"/>
        <v>0</v>
      </c>
      <c r="W96" s="183">
        <f t="shared" si="7"/>
        <v>1</v>
      </c>
    </row>
    <row r="97" spans="1:23" x14ac:dyDescent="0.3">
      <c r="A97" s="255"/>
      <c r="B97" s="194">
        <v>38</v>
      </c>
      <c r="C97" s="195">
        <v>45289</v>
      </c>
      <c r="D97" s="196" t="s">
        <v>23</v>
      </c>
      <c r="E97" s="196" t="s">
        <v>25</v>
      </c>
      <c r="F97" s="197">
        <v>6045</v>
      </c>
      <c r="G97" s="197">
        <v>5998</v>
      </c>
      <c r="H97" s="196">
        <f>6045-5998</f>
        <v>47</v>
      </c>
      <c r="I97" s="197">
        <v>100</v>
      </c>
      <c r="J97" s="268">
        <f t="shared" si="5"/>
        <v>4700</v>
      </c>
      <c r="K97" s="185"/>
      <c r="V97" s="183">
        <f t="shared" si="6"/>
        <v>1</v>
      </c>
      <c r="W97" s="183">
        <f t="shared" si="7"/>
        <v>0</v>
      </c>
    </row>
    <row r="98" spans="1:23" x14ac:dyDescent="0.3">
      <c r="A98" s="184"/>
      <c r="B98" s="194">
        <v>39</v>
      </c>
      <c r="C98" s="195">
        <v>45289</v>
      </c>
      <c r="D98" s="196" t="s">
        <v>23</v>
      </c>
      <c r="E98" s="196" t="s">
        <v>939</v>
      </c>
      <c r="F98" s="197">
        <v>212</v>
      </c>
      <c r="G98" s="222">
        <v>210.5</v>
      </c>
      <c r="H98" s="196">
        <f>212-210.5</f>
        <v>1.5</v>
      </c>
      <c r="I98" s="197">
        <v>2000</v>
      </c>
      <c r="J98" s="268">
        <f t="shared" si="5"/>
        <v>3000</v>
      </c>
      <c r="K98" s="185"/>
      <c r="V98" s="183">
        <f t="shared" si="6"/>
        <v>1</v>
      </c>
      <c r="W98" s="183">
        <f t="shared" si="7"/>
        <v>0</v>
      </c>
    </row>
    <row r="99" spans="1:23" hidden="1" x14ac:dyDescent="0.3">
      <c r="A99" s="184"/>
      <c r="B99" s="194">
        <v>40</v>
      </c>
      <c r="C99" s="195"/>
      <c r="D99" s="196"/>
      <c r="E99" s="196"/>
      <c r="F99" s="197"/>
      <c r="G99" s="197"/>
      <c r="H99" s="196"/>
      <c r="I99" s="197"/>
      <c r="J99" s="268">
        <f t="shared" si="5"/>
        <v>0</v>
      </c>
      <c r="K99" s="185"/>
      <c r="V99" s="183">
        <f t="shared" si="6"/>
        <v>0</v>
      </c>
      <c r="W99" s="183">
        <f t="shared" si="7"/>
        <v>0</v>
      </c>
    </row>
    <row r="100" spans="1:23" hidden="1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5"/>
        <v>0</v>
      </c>
      <c r="K100" s="185"/>
      <c r="V100" s="183">
        <f t="shared" si="6"/>
        <v>0</v>
      </c>
      <c r="W100" s="183">
        <f t="shared" si="7"/>
        <v>0</v>
      </c>
    </row>
    <row r="101" spans="1:23" hidden="1" x14ac:dyDescent="0.3">
      <c r="A101" s="184"/>
      <c r="B101" s="194">
        <v>42</v>
      </c>
      <c r="C101" s="195"/>
      <c r="D101" s="196"/>
      <c r="E101" s="196"/>
      <c r="F101" s="197"/>
      <c r="G101" s="197"/>
      <c r="H101" s="196"/>
      <c r="I101" s="197"/>
      <c r="J101" s="268">
        <f t="shared" si="5"/>
        <v>0</v>
      </c>
      <c r="K101" s="185"/>
      <c r="V101" s="183">
        <f t="shared" si="6"/>
        <v>0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8" t="s">
        <v>879</v>
      </c>
      <c r="C103" s="305"/>
      <c r="D103" s="305"/>
      <c r="E103" s="305"/>
      <c r="F103" s="305"/>
      <c r="G103" s="305"/>
      <c r="H103" s="306"/>
      <c r="I103" s="203" t="s">
        <v>880</v>
      </c>
      <c r="J103" s="204">
        <f>SUM(J60:J102)</f>
        <v>557800</v>
      </c>
      <c r="K103" s="185"/>
      <c r="V103" s="183">
        <f>SUM(V60:V102)</f>
        <v>34</v>
      </c>
      <c r="W103" s="183">
        <f>SUM(W60:W102)</f>
        <v>5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07" t="s">
        <v>873</v>
      </c>
      <c r="C107" s="308"/>
      <c r="D107" s="308"/>
      <c r="E107" s="308"/>
      <c r="F107" s="308"/>
      <c r="G107" s="308"/>
      <c r="H107" s="308"/>
      <c r="I107" s="308"/>
      <c r="J107" s="309"/>
      <c r="K107" s="185"/>
    </row>
    <row r="108" spans="1:23" ht="16.2" thickBot="1" x14ac:dyDescent="0.35">
      <c r="A108" s="184"/>
      <c r="B108" s="310">
        <v>45261</v>
      </c>
      <c r="C108" s="311"/>
      <c r="D108" s="311"/>
      <c r="E108" s="311"/>
      <c r="F108" s="311"/>
      <c r="G108" s="311"/>
      <c r="H108" s="311"/>
      <c r="I108" s="311"/>
      <c r="J108" s="312"/>
      <c r="K108" s="185"/>
    </row>
    <row r="109" spans="1:23" ht="16.2" thickBot="1" x14ac:dyDescent="0.35">
      <c r="A109" s="184"/>
      <c r="B109" s="313" t="s">
        <v>882</v>
      </c>
      <c r="C109" s="314"/>
      <c r="D109" s="314"/>
      <c r="E109" s="314"/>
      <c r="F109" s="314"/>
      <c r="G109" s="314"/>
      <c r="H109" s="314"/>
      <c r="I109" s="314"/>
      <c r="J109" s="315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45261</v>
      </c>
      <c r="D111" s="216" t="s">
        <v>16</v>
      </c>
      <c r="E111" s="256" t="s">
        <v>28</v>
      </c>
      <c r="F111" s="256">
        <v>223</v>
      </c>
      <c r="G111" s="256">
        <v>224</v>
      </c>
      <c r="H111" s="256">
        <v>1</v>
      </c>
      <c r="I111" s="218">
        <v>5000</v>
      </c>
      <c r="J111" s="273">
        <f>I111*H111</f>
        <v>5000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</v>
      </c>
      <c r="C112" s="195">
        <v>45264</v>
      </c>
      <c r="D112" s="196" t="s">
        <v>23</v>
      </c>
      <c r="E112" s="222" t="s">
        <v>28</v>
      </c>
      <c r="F112" s="222">
        <v>222.5</v>
      </c>
      <c r="G112" s="222">
        <v>222</v>
      </c>
      <c r="H112" s="222">
        <v>0.5</v>
      </c>
      <c r="I112" s="197">
        <v>5000</v>
      </c>
      <c r="J112" s="268">
        <f t="shared" ref="J112:J132" si="8">I112*H112</f>
        <v>2500</v>
      </c>
      <c r="K112" s="185"/>
      <c r="V112" s="183">
        <f t="shared" ref="V112:V131" si="9">IF($J112&gt;0,1,0)</f>
        <v>1</v>
      </c>
      <c r="W112" s="183">
        <f t="shared" ref="W112:W131" si="10">IF($J112&lt;0,1,0)</f>
        <v>0</v>
      </c>
    </row>
    <row r="113" spans="1:23" x14ac:dyDescent="0.3">
      <c r="A113" s="184"/>
      <c r="B113" s="194">
        <v>3</v>
      </c>
      <c r="C113" s="195">
        <v>45265</v>
      </c>
      <c r="D113" s="196" t="s">
        <v>23</v>
      </c>
      <c r="E113" s="222" t="s">
        <v>28</v>
      </c>
      <c r="F113" s="222">
        <v>218.6</v>
      </c>
      <c r="G113" s="222">
        <v>218.2</v>
      </c>
      <c r="H113" s="222">
        <v>0.4</v>
      </c>
      <c r="I113" s="197">
        <v>5000</v>
      </c>
      <c r="J113" s="268">
        <f t="shared" si="8"/>
        <v>2000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45266</v>
      </c>
      <c r="D114" s="196" t="s">
        <v>23</v>
      </c>
      <c r="E114" s="222" t="s">
        <v>28</v>
      </c>
      <c r="F114" s="222">
        <v>220.8</v>
      </c>
      <c r="G114" s="222">
        <v>218.8</v>
      </c>
      <c r="H114" s="222">
        <v>2</v>
      </c>
      <c r="I114" s="197">
        <v>5000</v>
      </c>
      <c r="J114" s="268">
        <f t="shared" si="8"/>
        <v>10000</v>
      </c>
      <c r="K114" s="185"/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5</v>
      </c>
      <c r="C115" s="195">
        <v>45267</v>
      </c>
      <c r="D115" s="196" t="s">
        <v>23</v>
      </c>
      <c r="E115" s="222" t="s">
        <v>28</v>
      </c>
      <c r="F115" s="222">
        <v>218.2</v>
      </c>
      <c r="G115" s="222">
        <v>217.7</v>
      </c>
      <c r="H115" s="222">
        <f>218.2-217.7</f>
        <v>0.5</v>
      </c>
      <c r="I115" s="197">
        <v>5000</v>
      </c>
      <c r="J115" s="268">
        <f t="shared" si="8"/>
        <v>2500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6</v>
      </c>
      <c r="C116" s="195">
        <v>45268</v>
      </c>
      <c r="D116" s="196" t="s">
        <v>23</v>
      </c>
      <c r="E116" s="222" t="s">
        <v>28</v>
      </c>
      <c r="F116" s="222">
        <v>218.8</v>
      </c>
      <c r="G116" s="222">
        <v>218.4</v>
      </c>
      <c r="H116" s="222">
        <v>0.4</v>
      </c>
      <c r="I116" s="197">
        <v>5000</v>
      </c>
      <c r="J116" s="268">
        <f t="shared" si="8"/>
        <v>2000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45271</v>
      </c>
      <c r="D117" s="196" t="s">
        <v>23</v>
      </c>
      <c r="E117" s="222" t="s">
        <v>28</v>
      </c>
      <c r="F117" s="222">
        <v>215.6</v>
      </c>
      <c r="G117" s="222">
        <v>214.6</v>
      </c>
      <c r="H117" s="274">
        <v>1</v>
      </c>
      <c r="I117" s="197">
        <v>5000</v>
      </c>
      <c r="J117" s="268">
        <f t="shared" si="8"/>
        <v>5000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8</v>
      </c>
      <c r="C118" s="195">
        <v>45272</v>
      </c>
      <c r="D118" s="196" t="s">
        <v>23</v>
      </c>
      <c r="E118" s="222" t="s">
        <v>28</v>
      </c>
      <c r="F118" s="222">
        <v>219</v>
      </c>
      <c r="G118" s="222">
        <v>218.6</v>
      </c>
      <c r="H118" s="222">
        <f>219-218.6</f>
        <v>0.40000000000000568</v>
      </c>
      <c r="I118" s="197">
        <v>5000</v>
      </c>
      <c r="J118" s="268">
        <f t="shared" si="8"/>
        <v>2000.0000000000284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45273</v>
      </c>
      <c r="D119" s="196" t="s">
        <v>23</v>
      </c>
      <c r="E119" s="222" t="s">
        <v>28</v>
      </c>
      <c r="F119" s="222">
        <v>217.5</v>
      </c>
      <c r="G119" s="222">
        <v>216.75</v>
      </c>
      <c r="H119" s="222">
        <v>0.75</v>
      </c>
      <c r="I119" s="197">
        <v>5000</v>
      </c>
      <c r="J119" s="268">
        <f t="shared" si="8"/>
        <v>3750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45274</v>
      </c>
      <c r="D120" s="196" t="s">
        <v>23</v>
      </c>
      <c r="E120" s="222" t="s">
        <v>28</v>
      </c>
      <c r="F120" s="222">
        <v>221.5</v>
      </c>
      <c r="G120" s="222">
        <v>220.5</v>
      </c>
      <c r="H120" s="222">
        <v>1</v>
      </c>
      <c r="I120" s="197">
        <v>5000</v>
      </c>
      <c r="J120" s="268">
        <f t="shared" si="8"/>
        <v>5000</v>
      </c>
      <c r="K120" s="185"/>
      <c r="V120" s="183">
        <f t="shared" si="9"/>
        <v>1</v>
      </c>
      <c r="W120" s="183">
        <f t="shared" si="10"/>
        <v>0</v>
      </c>
    </row>
    <row r="121" spans="1:23" x14ac:dyDescent="0.3">
      <c r="A121" s="184"/>
      <c r="B121" s="194">
        <v>11</v>
      </c>
      <c r="C121" s="195">
        <v>45275</v>
      </c>
      <c r="D121" s="196" t="s">
        <v>23</v>
      </c>
      <c r="E121" s="222" t="s">
        <v>28</v>
      </c>
      <c r="F121" s="222">
        <v>222.8</v>
      </c>
      <c r="G121" s="222">
        <v>222</v>
      </c>
      <c r="H121" s="274">
        <v>0.8</v>
      </c>
      <c r="I121" s="197">
        <v>5000</v>
      </c>
      <c r="J121" s="268">
        <f t="shared" si="8"/>
        <v>4000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45278</v>
      </c>
      <c r="D122" s="196" t="s">
        <v>23</v>
      </c>
      <c r="E122" s="222" t="s">
        <v>28</v>
      </c>
      <c r="F122" s="222">
        <v>223.2</v>
      </c>
      <c r="G122" s="222">
        <v>224.2</v>
      </c>
      <c r="H122" s="274">
        <v>-1</v>
      </c>
      <c r="I122" s="197">
        <v>5000</v>
      </c>
      <c r="J122" s="268">
        <f t="shared" si="8"/>
        <v>-5000</v>
      </c>
      <c r="K122" s="185"/>
      <c r="V122" s="183">
        <f t="shared" si="9"/>
        <v>0</v>
      </c>
      <c r="W122" s="183">
        <f t="shared" si="10"/>
        <v>1</v>
      </c>
    </row>
    <row r="123" spans="1:23" x14ac:dyDescent="0.3">
      <c r="A123" s="184"/>
      <c r="B123" s="194">
        <v>13</v>
      </c>
      <c r="C123" s="195">
        <v>45279</v>
      </c>
      <c r="D123" s="196" t="s">
        <v>23</v>
      </c>
      <c r="E123" s="222" t="s">
        <v>28</v>
      </c>
      <c r="F123" s="222">
        <v>226</v>
      </c>
      <c r="G123" s="222">
        <v>225.25</v>
      </c>
      <c r="H123" s="274">
        <f>226-225.25</f>
        <v>0.75</v>
      </c>
      <c r="I123" s="197">
        <v>5000</v>
      </c>
      <c r="J123" s="268">
        <f t="shared" si="8"/>
        <v>3750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45280</v>
      </c>
      <c r="D124" s="196" t="s">
        <v>23</v>
      </c>
      <c r="E124" s="222" t="s">
        <v>28</v>
      </c>
      <c r="F124" s="222">
        <v>227</v>
      </c>
      <c r="G124" s="222">
        <v>225</v>
      </c>
      <c r="H124" s="274">
        <v>2</v>
      </c>
      <c r="I124" s="197">
        <v>5000</v>
      </c>
      <c r="J124" s="268">
        <f t="shared" si="8"/>
        <v>10000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45281</v>
      </c>
      <c r="D125" s="196" t="s">
        <v>23</v>
      </c>
      <c r="E125" s="196" t="s">
        <v>28</v>
      </c>
      <c r="F125" s="222">
        <v>224</v>
      </c>
      <c r="G125" s="222">
        <v>223.4</v>
      </c>
      <c r="H125" s="222">
        <f>224-223.4</f>
        <v>0.59999999999999432</v>
      </c>
      <c r="I125" s="197">
        <v>5000</v>
      </c>
      <c r="J125" s="268">
        <f t="shared" si="8"/>
        <v>2999.9999999999718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45282</v>
      </c>
      <c r="D126" s="196" t="s">
        <v>16</v>
      </c>
      <c r="E126" s="196" t="s">
        <v>28</v>
      </c>
      <c r="F126" s="222">
        <v>224.3</v>
      </c>
      <c r="G126" s="222">
        <v>225.8</v>
      </c>
      <c r="H126" s="222">
        <f>225.8-224.3</f>
        <v>1.5</v>
      </c>
      <c r="I126" s="197">
        <v>5000</v>
      </c>
      <c r="J126" s="268">
        <f t="shared" si="8"/>
        <v>7500</v>
      </c>
      <c r="K126" s="185"/>
      <c r="V126" s="183">
        <f t="shared" si="9"/>
        <v>1</v>
      </c>
      <c r="W126" s="183">
        <f t="shared" si="10"/>
        <v>0</v>
      </c>
    </row>
    <row r="127" spans="1:23" x14ac:dyDescent="0.3">
      <c r="A127" s="184"/>
      <c r="B127" s="194">
        <v>17</v>
      </c>
      <c r="C127" s="195">
        <v>45286</v>
      </c>
      <c r="D127" s="196" t="s">
        <v>23</v>
      </c>
      <c r="E127" s="196" t="s">
        <v>28</v>
      </c>
      <c r="F127" s="222">
        <v>229.8</v>
      </c>
      <c r="G127" s="274">
        <v>228.8</v>
      </c>
      <c r="H127" s="274">
        <f>229.8-228.8</f>
        <v>1</v>
      </c>
      <c r="I127" s="197">
        <v>5000</v>
      </c>
      <c r="J127" s="268">
        <f t="shared" si="8"/>
        <v>5000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45287</v>
      </c>
      <c r="D128" s="196" t="s">
        <v>23</v>
      </c>
      <c r="E128" s="196" t="s">
        <v>28</v>
      </c>
      <c r="F128" s="222">
        <v>232</v>
      </c>
      <c r="G128" s="222">
        <v>231</v>
      </c>
      <c r="H128" s="274">
        <v>1</v>
      </c>
      <c r="I128" s="197">
        <v>5000</v>
      </c>
      <c r="J128" s="268">
        <f t="shared" si="8"/>
        <v>5000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>
        <v>45288</v>
      </c>
      <c r="D129" s="196" t="s">
        <v>23</v>
      </c>
      <c r="E129" s="196" t="s">
        <v>28</v>
      </c>
      <c r="F129" s="222">
        <v>232</v>
      </c>
      <c r="G129" s="222">
        <v>231</v>
      </c>
      <c r="H129" s="274">
        <v>1</v>
      </c>
      <c r="I129" s="197">
        <v>5000</v>
      </c>
      <c r="J129" s="268">
        <f t="shared" si="8"/>
        <v>5000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20</v>
      </c>
      <c r="C130" s="195">
        <v>45289</v>
      </c>
      <c r="D130" s="196" t="s">
        <v>23</v>
      </c>
      <c r="E130" s="196" t="s">
        <v>28</v>
      </c>
      <c r="F130" s="222">
        <v>232.4</v>
      </c>
      <c r="G130" s="222">
        <v>231.75</v>
      </c>
      <c r="H130" s="274">
        <f>232.4-231.75</f>
        <v>0.65000000000000568</v>
      </c>
      <c r="I130" s="197">
        <v>5000</v>
      </c>
      <c r="J130" s="268">
        <f t="shared" si="8"/>
        <v>3250.0000000000282</v>
      </c>
      <c r="K130" s="185"/>
      <c r="V130" s="183">
        <f t="shared" si="9"/>
        <v>1</v>
      </c>
      <c r="W130" s="183">
        <f t="shared" si="10"/>
        <v>0</v>
      </c>
    </row>
    <row r="131" spans="1:23" hidden="1" x14ac:dyDescent="0.3">
      <c r="A131" s="184"/>
      <c r="B131" s="194">
        <v>21</v>
      </c>
      <c r="C131" s="195"/>
      <c r="D131" s="196"/>
      <c r="E131" s="222"/>
      <c r="F131" s="222"/>
      <c r="G131" s="222"/>
      <c r="H131" s="274"/>
      <c r="I131" s="197"/>
      <c r="J131" s="268">
        <f t="shared" si="8"/>
        <v>0</v>
      </c>
      <c r="K131" s="185"/>
      <c r="V131" s="183">
        <f t="shared" si="9"/>
        <v>0</v>
      </c>
      <c r="W131" s="183">
        <f t="shared" si="10"/>
        <v>0</v>
      </c>
    </row>
    <row r="132" spans="1:23" hidden="1" x14ac:dyDescent="0.3">
      <c r="A132" s="184"/>
      <c r="B132" s="194">
        <v>22</v>
      </c>
      <c r="C132" s="195"/>
      <c r="D132" s="196"/>
      <c r="E132" s="222"/>
      <c r="F132" s="222"/>
      <c r="G132" s="222"/>
      <c r="H132" s="274"/>
      <c r="I132" s="197"/>
      <c r="J132" s="268">
        <f t="shared" si="8"/>
        <v>0</v>
      </c>
      <c r="K132" s="185"/>
      <c r="V132" s="183">
        <f>IF($J132&gt;0,1,0)</f>
        <v>0</v>
      </c>
      <c r="W132" s="183">
        <f>IF($J132&lt;0,1,0)</f>
        <v>0</v>
      </c>
    </row>
    <row r="133" spans="1:23" hidden="1" x14ac:dyDescent="0.3">
      <c r="A133" s="184"/>
      <c r="B133" s="194">
        <v>23</v>
      </c>
      <c r="C133" s="195"/>
      <c r="D133" s="196"/>
      <c r="E133" s="222"/>
      <c r="F133" s="222"/>
      <c r="G133" s="222"/>
      <c r="H133" s="222"/>
      <c r="I133" s="197"/>
      <c r="J133" s="268">
        <f>I133*H133</f>
        <v>0</v>
      </c>
      <c r="K133" s="185"/>
      <c r="V133" s="183">
        <f>IF($J133&gt;0,1,0)</f>
        <v>0</v>
      </c>
      <c r="W133" s="183">
        <f>IF($J133&lt;0,1,0)</f>
        <v>0</v>
      </c>
    </row>
    <row r="134" spans="1:23" ht="15" thickBot="1" x14ac:dyDescent="0.35">
      <c r="A134" s="184"/>
      <c r="B134" s="194">
        <v>24</v>
      </c>
      <c r="C134" s="220"/>
      <c r="D134" s="221"/>
      <c r="E134" s="221"/>
      <c r="F134" s="222"/>
      <c r="G134" s="222"/>
      <c r="H134" s="222"/>
      <c r="I134" s="211"/>
      <c r="J134" s="272">
        <f>I134*H134</f>
        <v>0</v>
      </c>
      <c r="K134" s="185"/>
      <c r="V134" s="183">
        <f>IF($J134&gt;0,1,0)</f>
        <v>0</v>
      </c>
      <c r="W134" s="183">
        <f>IF($J134&lt;0,1,0)</f>
        <v>0</v>
      </c>
    </row>
    <row r="135" spans="1:23" ht="24" thickBot="1" x14ac:dyDescent="0.5">
      <c r="A135" s="184"/>
      <c r="B135" s="316" t="s">
        <v>879</v>
      </c>
      <c r="C135" s="317"/>
      <c r="D135" s="317"/>
      <c r="E135" s="317"/>
      <c r="F135" s="317"/>
      <c r="G135" s="317"/>
      <c r="H135" s="318"/>
      <c r="I135" s="212" t="s">
        <v>880</v>
      </c>
      <c r="J135" s="213">
        <f>SUM(J111:J134)</f>
        <v>81250.000000000029</v>
      </c>
      <c r="K135" s="185"/>
      <c r="V135" s="183">
        <f>SUM(V111:V134)</f>
        <v>19</v>
      </c>
      <c r="W135" s="183">
        <f>SUM(W111:W134)</f>
        <v>1</v>
      </c>
    </row>
    <row r="136" spans="1:23" ht="30" customHeight="1" thickBot="1" x14ac:dyDescent="0.35">
      <c r="A136" s="205"/>
      <c r="B136" s="206"/>
      <c r="C136" s="206"/>
      <c r="D136" s="206"/>
      <c r="E136" s="206"/>
      <c r="F136" s="206"/>
      <c r="G136" s="206"/>
      <c r="H136" s="261"/>
      <c r="I136" s="206"/>
      <c r="J136" s="261"/>
      <c r="K136" s="207"/>
      <c r="L136" s="183" t="s">
        <v>926</v>
      </c>
    </row>
    <row r="137" spans="1:23" ht="15" thickBot="1" x14ac:dyDescent="0.35"/>
    <row r="138" spans="1:23" ht="30" customHeight="1" thickBot="1" x14ac:dyDescent="0.35">
      <c r="A138" s="180"/>
      <c r="B138" s="181"/>
      <c r="C138" s="181"/>
      <c r="D138" s="181"/>
      <c r="E138" s="181"/>
      <c r="F138" s="181"/>
      <c r="G138" s="181"/>
      <c r="H138" s="259"/>
      <c r="I138" s="181"/>
      <c r="J138" s="259"/>
      <c r="K138" s="182"/>
    </row>
    <row r="139" spans="1:23" ht="25.2" thickBot="1" x14ac:dyDescent="0.35">
      <c r="A139" s="184" t="s">
        <v>0</v>
      </c>
      <c r="B139" s="307" t="s">
        <v>873</v>
      </c>
      <c r="C139" s="308"/>
      <c r="D139" s="308"/>
      <c r="E139" s="308"/>
      <c r="F139" s="308"/>
      <c r="G139" s="308"/>
      <c r="H139" s="308"/>
      <c r="I139" s="308"/>
      <c r="J139" s="309"/>
      <c r="K139" s="185"/>
    </row>
    <row r="140" spans="1:23" ht="16.2" thickBot="1" x14ac:dyDescent="0.35">
      <c r="A140" s="184"/>
      <c r="B140" s="310">
        <v>45261</v>
      </c>
      <c r="C140" s="311"/>
      <c r="D140" s="311"/>
      <c r="E140" s="311"/>
      <c r="F140" s="311"/>
      <c r="G140" s="311"/>
      <c r="H140" s="311"/>
      <c r="I140" s="311"/>
      <c r="J140" s="312"/>
      <c r="K140" s="185"/>
    </row>
    <row r="141" spans="1:23" ht="16.2" thickBot="1" x14ac:dyDescent="0.35">
      <c r="A141" s="184"/>
      <c r="B141" s="313" t="s">
        <v>905</v>
      </c>
      <c r="C141" s="314"/>
      <c r="D141" s="314"/>
      <c r="E141" s="314"/>
      <c r="F141" s="314"/>
      <c r="G141" s="314"/>
      <c r="H141" s="314"/>
      <c r="I141" s="314"/>
      <c r="J141" s="315"/>
      <c r="K141" s="185"/>
    </row>
    <row r="142" spans="1:23" ht="15" thickBot="1" x14ac:dyDescent="0.35">
      <c r="A142" s="208"/>
      <c r="B142" s="186" t="s">
        <v>876</v>
      </c>
      <c r="C142" s="187" t="s">
        <v>1</v>
      </c>
      <c r="D142" s="188" t="s">
        <v>2</v>
      </c>
      <c r="E142" s="188" t="s">
        <v>3</v>
      </c>
      <c r="F142" s="189" t="s">
        <v>4</v>
      </c>
      <c r="G142" s="189" t="s">
        <v>5</v>
      </c>
      <c r="H142" s="260" t="s">
        <v>720</v>
      </c>
      <c r="I142" s="189" t="s">
        <v>6</v>
      </c>
      <c r="J142" s="266" t="s">
        <v>7</v>
      </c>
      <c r="K142" s="209"/>
      <c r="L142" s="198"/>
      <c r="V142" s="183" t="s">
        <v>254</v>
      </c>
      <c r="W142" s="183" t="s">
        <v>255</v>
      </c>
    </row>
    <row r="143" spans="1:23" x14ac:dyDescent="0.3">
      <c r="A143" s="184"/>
      <c r="B143" s="214">
        <v>1</v>
      </c>
      <c r="C143" s="215">
        <v>45261</v>
      </c>
      <c r="D143" s="216" t="s">
        <v>16</v>
      </c>
      <c r="E143" s="256" t="s">
        <v>910</v>
      </c>
      <c r="F143" s="256">
        <v>240</v>
      </c>
      <c r="G143" s="256">
        <v>248</v>
      </c>
      <c r="H143" s="256">
        <v>8</v>
      </c>
      <c r="I143" s="218">
        <v>100</v>
      </c>
      <c r="J143" s="273">
        <f>I143*H143</f>
        <v>800</v>
      </c>
      <c r="K143" s="185"/>
      <c r="V143" s="183">
        <f>IF($J143&gt;0,1,0)</f>
        <v>1</v>
      </c>
      <c r="W143" s="183">
        <f>IF($J143&lt;0,1,0)</f>
        <v>0</v>
      </c>
    </row>
    <row r="144" spans="1:23" x14ac:dyDescent="0.3">
      <c r="A144" s="184"/>
      <c r="B144" s="194">
        <v>2</v>
      </c>
      <c r="C144" s="195">
        <v>45264</v>
      </c>
      <c r="D144" s="196" t="s">
        <v>16</v>
      </c>
      <c r="E144" s="222" t="s">
        <v>908</v>
      </c>
      <c r="F144" s="222">
        <v>235</v>
      </c>
      <c r="G144" s="222">
        <v>243</v>
      </c>
      <c r="H144" s="222">
        <f>243-235</f>
        <v>8</v>
      </c>
      <c r="I144" s="218">
        <v>100</v>
      </c>
      <c r="J144" s="268">
        <f t="shared" ref="J144:J163" si="11">I144*H144</f>
        <v>800</v>
      </c>
      <c r="K144" s="185"/>
      <c r="V144" s="183">
        <f t="shared" ref="V144:V165" si="12">IF($J144&gt;0,1,0)</f>
        <v>1</v>
      </c>
      <c r="W144" s="183">
        <f t="shared" ref="W144:W165" si="13">IF($J144&lt;0,1,0)</f>
        <v>0</v>
      </c>
    </row>
    <row r="145" spans="1:23" x14ac:dyDescent="0.3">
      <c r="A145" s="184"/>
      <c r="B145" s="194">
        <v>3</v>
      </c>
      <c r="C145" s="195">
        <v>45265</v>
      </c>
      <c r="D145" s="196" t="s">
        <v>16</v>
      </c>
      <c r="E145" s="222" t="s">
        <v>907</v>
      </c>
      <c r="F145" s="222">
        <v>235</v>
      </c>
      <c r="G145" s="222">
        <v>275</v>
      </c>
      <c r="H145" s="222">
        <f>275-235</f>
        <v>40</v>
      </c>
      <c r="I145" s="218">
        <v>100</v>
      </c>
      <c r="J145" s="268">
        <f t="shared" si="11"/>
        <v>4000</v>
      </c>
      <c r="K145" s="185"/>
      <c r="M145" s="183" t="s">
        <v>870</v>
      </c>
      <c r="V145" s="183">
        <f t="shared" si="12"/>
        <v>1</v>
      </c>
      <c r="W145" s="183">
        <f t="shared" si="13"/>
        <v>0</v>
      </c>
    </row>
    <row r="146" spans="1:23" x14ac:dyDescent="0.3">
      <c r="A146" s="184"/>
      <c r="B146" s="194">
        <v>4</v>
      </c>
      <c r="C146" s="195">
        <v>45266</v>
      </c>
      <c r="D146" s="196" t="s">
        <v>16</v>
      </c>
      <c r="E146" s="222" t="s">
        <v>915</v>
      </c>
      <c r="F146" s="222">
        <v>217</v>
      </c>
      <c r="G146" s="222">
        <v>255</v>
      </c>
      <c r="H146" s="222">
        <f>255-217</f>
        <v>38</v>
      </c>
      <c r="I146" s="218">
        <v>100</v>
      </c>
      <c r="J146" s="268">
        <f t="shared" si="11"/>
        <v>3800</v>
      </c>
      <c r="K146" s="185"/>
      <c r="V146" s="183">
        <f t="shared" si="12"/>
        <v>1</v>
      </c>
      <c r="W146" s="183">
        <f t="shared" si="13"/>
        <v>0</v>
      </c>
    </row>
    <row r="147" spans="1:23" x14ac:dyDescent="0.3">
      <c r="A147" s="184"/>
      <c r="B147" s="194">
        <v>5</v>
      </c>
      <c r="C147" s="195">
        <v>45267</v>
      </c>
      <c r="D147" s="196" t="s">
        <v>16</v>
      </c>
      <c r="E147" s="222" t="s">
        <v>916</v>
      </c>
      <c r="F147" s="222">
        <v>235</v>
      </c>
      <c r="G147" s="222">
        <v>245</v>
      </c>
      <c r="H147" s="222">
        <v>10</v>
      </c>
      <c r="I147" s="218">
        <v>100</v>
      </c>
      <c r="J147" s="268">
        <f t="shared" si="11"/>
        <v>1000</v>
      </c>
      <c r="K147" s="185"/>
      <c r="V147" s="183">
        <f t="shared" si="12"/>
        <v>1</v>
      </c>
      <c r="W147" s="183">
        <f t="shared" si="13"/>
        <v>0</v>
      </c>
    </row>
    <row r="148" spans="1:23" x14ac:dyDescent="0.3">
      <c r="A148" s="184"/>
      <c r="B148" s="194">
        <v>6</v>
      </c>
      <c r="C148" s="195">
        <v>45268</v>
      </c>
      <c r="D148" s="196" t="s">
        <v>16</v>
      </c>
      <c r="E148" s="222" t="s">
        <v>915</v>
      </c>
      <c r="F148" s="222">
        <v>225</v>
      </c>
      <c r="G148" s="222">
        <v>253</v>
      </c>
      <c r="H148" s="222">
        <f>253-225</f>
        <v>28</v>
      </c>
      <c r="I148" s="218">
        <v>100</v>
      </c>
      <c r="J148" s="268">
        <f t="shared" si="11"/>
        <v>2800</v>
      </c>
      <c r="K148" s="185"/>
      <c r="V148" s="183">
        <f t="shared" si="12"/>
        <v>1</v>
      </c>
      <c r="W148" s="183">
        <f t="shared" si="13"/>
        <v>0</v>
      </c>
    </row>
    <row r="149" spans="1:23" x14ac:dyDescent="0.3">
      <c r="A149" s="184"/>
      <c r="B149" s="194">
        <v>7</v>
      </c>
      <c r="C149" s="195">
        <v>45271</v>
      </c>
      <c r="D149" s="196" t="s">
        <v>16</v>
      </c>
      <c r="E149" s="222" t="s">
        <v>915</v>
      </c>
      <c r="F149" s="222">
        <v>220</v>
      </c>
      <c r="G149" s="222">
        <v>250</v>
      </c>
      <c r="H149" s="274">
        <v>30</v>
      </c>
      <c r="I149" s="218">
        <v>100</v>
      </c>
      <c r="J149" s="268">
        <f t="shared" si="11"/>
        <v>3000</v>
      </c>
      <c r="K149" s="185"/>
      <c r="V149" s="183">
        <f t="shared" si="12"/>
        <v>1</v>
      </c>
      <c r="W149" s="183">
        <f t="shared" si="13"/>
        <v>0</v>
      </c>
    </row>
    <row r="150" spans="1:23" x14ac:dyDescent="0.3">
      <c r="A150" s="184"/>
      <c r="B150" s="194">
        <v>8</v>
      </c>
      <c r="C150" s="195">
        <v>45272</v>
      </c>
      <c r="D150" s="196" t="s">
        <v>16</v>
      </c>
      <c r="E150" s="222" t="s">
        <v>908</v>
      </c>
      <c r="F150" s="222">
        <v>235</v>
      </c>
      <c r="G150" s="222">
        <v>275</v>
      </c>
      <c r="H150" s="222">
        <f>275-235</f>
        <v>40</v>
      </c>
      <c r="I150" s="218">
        <v>100</v>
      </c>
      <c r="J150" s="268">
        <f t="shared" si="11"/>
        <v>4000</v>
      </c>
      <c r="K150" s="185"/>
      <c r="V150" s="183">
        <f t="shared" si="12"/>
        <v>1</v>
      </c>
      <c r="W150" s="183">
        <f t="shared" si="13"/>
        <v>0</v>
      </c>
    </row>
    <row r="151" spans="1:23" x14ac:dyDescent="0.3">
      <c r="A151" s="184"/>
      <c r="B151" s="194">
        <v>9</v>
      </c>
      <c r="C151" s="195">
        <v>45273</v>
      </c>
      <c r="D151" s="196" t="s">
        <v>16</v>
      </c>
      <c r="E151" s="222" t="s">
        <v>923</v>
      </c>
      <c r="F151" s="222">
        <v>140</v>
      </c>
      <c r="G151" s="222">
        <v>160</v>
      </c>
      <c r="H151" s="222">
        <v>20</v>
      </c>
      <c r="I151" s="218">
        <v>100</v>
      </c>
      <c r="J151" s="268">
        <f t="shared" si="11"/>
        <v>2000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10</v>
      </c>
      <c r="C152" s="195">
        <v>45274</v>
      </c>
      <c r="D152" s="196" t="s">
        <v>16</v>
      </c>
      <c r="E152" s="222" t="s">
        <v>923</v>
      </c>
      <c r="F152" s="222">
        <v>200</v>
      </c>
      <c r="G152" s="222">
        <v>208</v>
      </c>
      <c r="H152" s="222">
        <v>8</v>
      </c>
      <c r="I152" s="218">
        <v>100</v>
      </c>
      <c r="J152" s="268">
        <f t="shared" si="11"/>
        <v>800</v>
      </c>
      <c r="K152" s="185"/>
      <c r="V152" s="183">
        <f t="shared" si="12"/>
        <v>1</v>
      </c>
      <c r="W152" s="183">
        <f t="shared" si="13"/>
        <v>0</v>
      </c>
    </row>
    <row r="153" spans="1:23" x14ac:dyDescent="0.3">
      <c r="A153" s="184"/>
      <c r="B153" s="194">
        <v>11</v>
      </c>
      <c r="C153" s="195">
        <v>45275</v>
      </c>
      <c r="D153" s="196" t="s">
        <v>16</v>
      </c>
      <c r="E153" s="222" t="s">
        <v>924</v>
      </c>
      <c r="F153" s="222">
        <v>200</v>
      </c>
      <c r="G153" s="222">
        <v>209</v>
      </c>
      <c r="H153" s="274">
        <v>9</v>
      </c>
      <c r="I153" s="218">
        <v>100</v>
      </c>
      <c r="J153" s="268">
        <f t="shared" si="11"/>
        <v>900</v>
      </c>
      <c r="K153" s="185"/>
      <c r="V153" s="183">
        <f t="shared" si="12"/>
        <v>1</v>
      </c>
      <c r="W153" s="183">
        <f t="shared" si="13"/>
        <v>0</v>
      </c>
    </row>
    <row r="154" spans="1:23" x14ac:dyDescent="0.3">
      <c r="A154" s="184"/>
      <c r="B154" s="194">
        <v>12</v>
      </c>
      <c r="C154" s="195">
        <v>45278</v>
      </c>
      <c r="D154" s="196" t="s">
        <v>16</v>
      </c>
      <c r="E154" s="222" t="s">
        <v>924</v>
      </c>
      <c r="F154" s="222">
        <v>210</v>
      </c>
      <c r="G154" s="222">
        <v>245</v>
      </c>
      <c r="H154" s="274">
        <f>245-210</f>
        <v>35</v>
      </c>
      <c r="I154" s="218">
        <v>100</v>
      </c>
      <c r="J154" s="268">
        <f t="shared" si="11"/>
        <v>3500</v>
      </c>
      <c r="K154" s="185"/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13</v>
      </c>
      <c r="C155" s="195">
        <v>45279</v>
      </c>
      <c r="D155" s="196" t="s">
        <v>16</v>
      </c>
      <c r="E155" s="222" t="s">
        <v>916</v>
      </c>
      <c r="F155" s="222">
        <v>230</v>
      </c>
      <c r="G155" s="222">
        <v>238</v>
      </c>
      <c r="H155" s="274">
        <v>8</v>
      </c>
      <c r="I155" s="218">
        <v>100</v>
      </c>
      <c r="J155" s="268">
        <f t="shared" si="11"/>
        <v>800</v>
      </c>
      <c r="K155" s="185"/>
      <c r="V155" s="183">
        <f t="shared" si="12"/>
        <v>1</v>
      </c>
      <c r="W155" s="183">
        <f t="shared" si="13"/>
        <v>0</v>
      </c>
    </row>
    <row r="156" spans="1:23" x14ac:dyDescent="0.3">
      <c r="A156" s="184"/>
      <c r="B156" s="194">
        <v>14</v>
      </c>
      <c r="C156" s="195">
        <v>45280</v>
      </c>
      <c r="D156" s="196" t="s">
        <v>16</v>
      </c>
      <c r="E156" s="222" t="s">
        <v>908</v>
      </c>
      <c r="F156" s="222">
        <v>220</v>
      </c>
      <c r="G156" s="222">
        <v>260</v>
      </c>
      <c r="H156" s="274">
        <v>40</v>
      </c>
      <c r="I156" s="218">
        <v>100</v>
      </c>
      <c r="J156" s="268">
        <f t="shared" si="11"/>
        <v>4000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15</v>
      </c>
      <c r="C157" s="195">
        <v>45281</v>
      </c>
      <c r="D157" s="196" t="s">
        <v>16</v>
      </c>
      <c r="E157" s="196" t="s">
        <v>908</v>
      </c>
      <c r="F157" s="222">
        <v>230</v>
      </c>
      <c r="G157" s="222">
        <v>270</v>
      </c>
      <c r="H157" s="222">
        <v>40</v>
      </c>
      <c r="I157" s="218">
        <v>100</v>
      </c>
      <c r="J157" s="268">
        <f t="shared" si="11"/>
        <v>4000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16</v>
      </c>
      <c r="C158" s="195">
        <v>45282</v>
      </c>
      <c r="D158" s="196" t="s">
        <v>16</v>
      </c>
      <c r="E158" s="196" t="s">
        <v>941</v>
      </c>
      <c r="F158" s="222">
        <v>235</v>
      </c>
      <c r="G158" s="274">
        <v>215</v>
      </c>
      <c r="H158" s="274">
        <v>-20</v>
      </c>
      <c r="I158" s="218">
        <v>100</v>
      </c>
      <c r="J158" s="268">
        <f t="shared" si="11"/>
        <v>-2000</v>
      </c>
      <c r="K158" s="185"/>
      <c r="V158" s="183">
        <f t="shared" si="12"/>
        <v>0</v>
      </c>
      <c r="W158" s="183">
        <f t="shared" si="13"/>
        <v>1</v>
      </c>
    </row>
    <row r="159" spans="1:23" x14ac:dyDescent="0.3">
      <c r="A159" s="184"/>
      <c r="B159" s="194">
        <v>17</v>
      </c>
      <c r="C159" s="195">
        <v>45286</v>
      </c>
      <c r="D159" s="196" t="s">
        <v>16</v>
      </c>
      <c r="E159" s="196" t="s">
        <v>908</v>
      </c>
      <c r="F159" s="222">
        <v>245</v>
      </c>
      <c r="G159" s="222">
        <v>265</v>
      </c>
      <c r="H159" s="274">
        <v>20</v>
      </c>
      <c r="I159" s="218">
        <v>100</v>
      </c>
      <c r="J159" s="268">
        <f t="shared" si="11"/>
        <v>2000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18</v>
      </c>
      <c r="C160" s="195">
        <v>45287</v>
      </c>
      <c r="D160" s="196" t="s">
        <v>16</v>
      </c>
      <c r="E160" s="196" t="s">
        <v>907</v>
      </c>
      <c r="F160" s="222">
        <v>215</v>
      </c>
      <c r="G160" s="222">
        <v>235</v>
      </c>
      <c r="H160" s="274">
        <v>20</v>
      </c>
      <c r="I160" s="218">
        <v>100</v>
      </c>
      <c r="J160" s="268">
        <f t="shared" si="11"/>
        <v>2000</v>
      </c>
      <c r="K160" s="185"/>
      <c r="V160" s="183">
        <f t="shared" si="12"/>
        <v>1</v>
      </c>
      <c r="W160" s="183">
        <f t="shared" si="13"/>
        <v>0</v>
      </c>
    </row>
    <row r="161" spans="1:23" x14ac:dyDescent="0.3">
      <c r="A161" s="184"/>
      <c r="B161" s="194">
        <v>19</v>
      </c>
      <c r="C161" s="195">
        <v>45288</v>
      </c>
      <c r="D161" s="196" t="s">
        <v>16</v>
      </c>
      <c r="E161" s="196" t="s">
        <v>908</v>
      </c>
      <c r="F161" s="222">
        <v>230</v>
      </c>
      <c r="G161" s="222">
        <v>270</v>
      </c>
      <c r="H161" s="274">
        <v>40</v>
      </c>
      <c r="I161" s="218">
        <v>100</v>
      </c>
      <c r="J161" s="268">
        <f t="shared" si="11"/>
        <v>4000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20</v>
      </c>
      <c r="C162" s="195">
        <v>45289</v>
      </c>
      <c r="D162" s="196" t="s">
        <v>16</v>
      </c>
      <c r="E162" s="222" t="s">
        <v>915</v>
      </c>
      <c r="F162" s="222">
        <v>230</v>
      </c>
      <c r="G162" s="222">
        <v>263</v>
      </c>
      <c r="H162" s="274">
        <f>263-230</f>
        <v>33</v>
      </c>
      <c r="I162" s="218">
        <v>100</v>
      </c>
      <c r="J162" s="268">
        <f t="shared" si="11"/>
        <v>3300</v>
      </c>
      <c r="K162" s="185"/>
      <c r="V162" s="183">
        <f t="shared" si="12"/>
        <v>1</v>
      </c>
      <c r="W162" s="183">
        <f t="shared" si="13"/>
        <v>0</v>
      </c>
    </row>
    <row r="163" spans="1:23" hidden="1" x14ac:dyDescent="0.3">
      <c r="A163" s="184"/>
      <c r="B163" s="194">
        <v>21</v>
      </c>
      <c r="C163" s="195"/>
      <c r="D163" s="196"/>
      <c r="E163" s="222"/>
      <c r="F163" s="222"/>
      <c r="G163" s="222"/>
      <c r="H163" s="274"/>
      <c r="I163" s="218"/>
      <c r="J163" s="268">
        <f t="shared" si="11"/>
        <v>0</v>
      </c>
      <c r="K163" s="185"/>
      <c r="V163" s="183">
        <f t="shared" si="12"/>
        <v>0</v>
      </c>
      <c r="W163" s="183">
        <f t="shared" si="13"/>
        <v>0</v>
      </c>
    </row>
    <row r="164" spans="1:23" hidden="1" x14ac:dyDescent="0.3">
      <c r="A164" s="184"/>
      <c r="B164" s="194">
        <v>22</v>
      </c>
      <c r="C164" s="195"/>
      <c r="D164" s="196"/>
      <c r="E164" s="222"/>
      <c r="F164" s="222"/>
      <c r="G164" s="222"/>
      <c r="H164" s="222"/>
      <c r="I164" s="218"/>
      <c r="J164" s="268">
        <f>I164*H164</f>
        <v>0</v>
      </c>
      <c r="K164" s="185"/>
      <c r="V164" s="183">
        <f t="shared" si="12"/>
        <v>0</v>
      </c>
      <c r="W164" s="183">
        <f t="shared" si="13"/>
        <v>0</v>
      </c>
    </row>
    <row r="165" spans="1:23" ht="15" thickBot="1" x14ac:dyDescent="0.35">
      <c r="A165" s="184"/>
      <c r="B165" s="199">
        <v>23</v>
      </c>
      <c r="C165" s="200"/>
      <c r="D165" s="201"/>
      <c r="E165" s="201"/>
      <c r="F165" s="284"/>
      <c r="G165" s="284"/>
      <c r="H165" s="284"/>
      <c r="I165" s="285"/>
      <c r="J165" s="269">
        <f>I165*H165</f>
        <v>0</v>
      </c>
      <c r="K165" s="185"/>
      <c r="V165" s="183">
        <f t="shared" si="12"/>
        <v>0</v>
      </c>
      <c r="W165" s="183">
        <f t="shared" si="13"/>
        <v>0</v>
      </c>
    </row>
    <row r="166" spans="1:23" ht="24" thickBot="1" x14ac:dyDescent="0.5">
      <c r="A166" s="184"/>
      <c r="B166" s="304" t="s">
        <v>879</v>
      </c>
      <c r="C166" s="305"/>
      <c r="D166" s="305"/>
      <c r="E166" s="305"/>
      <c r="F166" s="305"/>
      <c r="G166" s="305"/>
      <c r="H166" s="306"/>
      <c r="I166" s="203" t="s">
        <v>880</v>
      </c>
      <c r="J166" s="204">
        <f>SUM(J143:J165)</f>
        <v>45500</v>
      </c>
      <c r="K166" s="185"/>
      <c r="V166" s="183">
        <f>SUM(V143:V165)</f>
        <v>19</v>
      </c>
      <c r="W166" s="183">
        <f>SUM(W143:W165)</f>
        <v>1</v>
      </c>
    </row>
    <row r="167" spans="1:23" ht="30" customHeight="1" thickBot="1" x14ac:dyDescent="0.35">
      <c r="A167" s="205"/>
      <c r="B167" s="286"/>
      <c r="C167" s="286"/>
      <c r="D167" s="286"/>
      <c r="E167" s="286"/>
      <c r="F167" s="286"/>
      <c r="G167" s="286"/>
      <c r="H167" s="287"/>
      <c r="I167" s="286"/>
      <c r="J167" s="287"/>
      <c r="K167" s="207"/>
    </row>
  </sheetData>
  <mergeCells count="54">
    <mergeCell ref="M10:M11"/>
    <mergeCell ref="B140:J140"/>
    <mergeCell ref="B141:J141"/>
    <mergeCell ref="B166:H166"/>
    <mergeCell ref="B103:H103"/>
    <mergeCell ref="B107:J107"/>
    <mergeCell ref="B108:J108"/>
    <mergeCell ref="B109:J109"/>
    <mergeCell ref="B135:H135"/>
    <mergeCell ref="B139:J13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8400-000000000000}"/>
    <hyperlink ref="B103" r:id="rId2" xr:uid="{00000000-0004-0000-8400-000001000000}"/>
    <hyperlink ref="M4:M5" location="'DEC 2023'!A1" display="BULLION" xr:uid="{00000000-0004-0000-8400-000002000000}"/>
    <hyperlink ref="B135" r:id="rId3" xr:uid="{00000000-0004-0000-8400-000003000000}"/>
    <hyperlink ref="M8:M9" location="'DEC 2023'!A86" display="BASE METAL" xr:uid="{00000000-0004-0000-8400-000004000000}"/>
    <hyperlink ref="M1" location="MASTER!A1" display="Back" xr:uid="{00000000-0004-0000-8400-000005000000}"/>
    <hyperlink ref="M6:M7" location="'DEC 2023'!A55" display="ENERGY" xr:uid="{00000000-0004-0000-8400-000006000000}"/>
    <hyperlink ref="B166" r:id="rId4" xr:uid="{00000000-0004-0000-8400-000007000000}"/>
    <hyperlink ref="M10:M11" location="'DEC 2023'!A117" display="CRUDEOIL OPTION" xr:uid="{00000000-0004-0000-8400-000008000000}"/>
  </hyperlinks>
  <pageMargins left="0" right="0" top="0" bottom="0" header="0" footer="0"/>
  <pageSetup paperSize="9" orientation="portrait" r:id="rId5"/>
  <drawing r:id="rId6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X167"/>
  <sheetViews>
    <sheetView zoomScaleNormal="100" workbookViewId="0">
      <selection activeCell="P8" sqref="P8:P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45292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38</v>
      </c>
      <c r="O4" s="369">
        <f>V52</f>
        <v>34</v>
      </c>
      <c r="P4" s="369">
        <f>W52</f>
        <v>4</v>
      </c>
      <c r="Q4" s="349">
        <f>N4-O4-P4</f>
        <v>0</v>
      </c>
      <c r="R4" s="343">
        <f>O4/N4</f>
        <v>0.89473684210526316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45293</v>
      </c>
      <c r="D6" s="192" t="s">
        <v>23</v>
      </c>
      <c r="E6" s="192" t="s">
        <v>24</v>
      </c>
      <c r="F6" s="193">
        <v>63580</v>
      </c>
      <c r="G6" s="193">
        <v>63380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COUNT(C60:C102)</f>
        <v>38</v>
      </c>
      <c r="O6" s="348">
        <v>32</v>
      </c>
      <c r="P6" s="348">
        <f>W103</f>
        <v>6</v>
      </c>
      <c r="Q6" s="349">
        <v>0</v>
      </c>
      <c r="R6" s="345">
        <f t="shared" ref="R6" si="0">O6/N6</f>
        <v>0.84210526315789469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45293</v>
      </c>
      <c r="D7" s="196" t="s">
        <v>23</v>
      </c>
      <c r="E7" s="196" t="s">
        <v>22</v>
      </c>
      <c r="F7" s="197">
        <v>74950</v>
      </c>
      <c r="G7" s="197">
        <v>74550</v>
      </c>
      <c r="H7" s="196">
        <f>74950-74550</f>
        <v>400</v>
      </c>
      <c r="I7" s="197">
        <v>30</v>
      </c>
      <c r="J7" s="268">
        <f t="shared" ref="J7:J51" si="1">H7*I7</f>
        <v>12000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45294</v>
      </c>
      <c r="D8" s="196" t="s">
        <v>23</v>
      </c>
      <c r="E8" s="196" t="s">
        <v>24</v>
      </c>
      <c r="F8" s="197">
        <v>63150</v>
      </c>
      <c r="G8" s="197">
        <v>63950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COUNT(C111:C134)</f>
        <v>19</v>
      </c>
      <c r="O8" s="348">
        <f>V135</f>
        <v>17</v>
      </c>
      <c r="P8" s="348">
        <f>W135</f>
        <v>2</v>
      </c>
      <c r="Q8" s="349">
        <f>N8-O8-P8</f>
        <v>0</v>
      </c>
      <c r="R8" s="345">
        <f t="shared" ref="R8" si="4">O8/N8</f>
        <v>0.89473684210526316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45294</v>
      </c>
      <c r="D9" s="196" t="s">
        <v>23</v>
      </c>
      <c r="E9" s="196" t="s">
        <v>22</v>
      </c>
      <c r="F9" s="197">
        <v>73600</v>
      </c>
      <c r="G9" s="197">
        <v>73150</v>
      </c>
      <c r="H9" s="196">
        <f>73600-73160</f>
        <v>440</v>
      </c>
      <c r="I9" s="197">
        <v>30</v>
      </c>
      <c r="J9" s="268">
        <f t="shared" si="1"/>
        <v>13200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45295</v>
      </c>
      <c r="D10" s="196" t="s">
        <v>23</v>
      </c>
      <c r="E10" s="196" t="s">
        <v>24</v>
      </c>
      <c r="F10" s="197">
        <v>62700</v>
      </c>
      <c r="G10" s="197">
        <v>62800</v>
      </c>
      <c r="H10" s="196">
        <v>-100</v>
      </c>
      <c r="I10" s="197">
        <v>100</v>
      </c>
      <c r="J10" s="268">
        <f t="shared" si="1"/>
        <v>-10000</v>
      </c>
      <c r="K10" s="185"/>
      <c r="M10" s="364" t="s">
        <v>906</v>
      </c>
      <c r="N10" s="347">
        <f>COUNT(C143:C165)</f>
        <v>19</v>
      </c>
      <c r="O10" s="348">
        <f>V166</f>
        <v>18</v>
      </c>
      <c r="P10" s="348">
        <f>W166</f>
        <v>1</v>
      </c>
      <c r="Q10" s="349">
        <f>N10-O10-P10</f>
        <v>0</v>
      </c>
      <c r="R10" s="345">
        <f>O10/N10</f>
        <v>0.94736842105263153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45295</v>
      </c>
      <c r="D11" s="196" t="s">
        <v>23</v>
      </c>
      <c r="E11" s="196" t="s">
        <v>22</v>
      </c>
      <c r="F11" s="197">
        <v>72450</v>
      </c>
      <c r="G11" s="197">
        <v>72150</v>
      </c>
      <c r="H11" s="196">
        <v>300</v>
      </c>
      <c r="I11" s="197">
        <v>30</v>
      </c>
      <c r="J11" s="268">
        <f t="shared" si="1"/>
        <v>9000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45296</v>
      </c>
      <c r="D12" s="196" t="s">
        <v>23</v>
      </c>
      <c r="E12" s="196" t="s">
        <v>24</v>
      </c>
      <c r="F12" s="197">
        <v>62600</v>
      </c>
      <c r="G12" s="197">
        <v>62460</v>
      </c>
      <c r="H12" s="196">
        <f>62600-62460</f>
        <v>140</v>
      </c>
      <c r="I12" s="197">
        <v>100</v>
      </c>
      <c r="J12" s="268">
        <f t="shared" si="1"/>
        <v>14000</v>
      </c>
      <c r="K12" s="185"/>
      <c r="M12" s="319" t="s">
        <v>300</v>
      </c>
      <c r="N12" s="371">
        <f>SUM(N4:N11)</f>
        <v>114</v>
      </c>
      <c r="O12" s="371">
        <f>SUM(O4:O11)</f>
        <v>101</v>
      </c>
      <c r="P12" s="371">
        <f>SUM(P4:P11)</f>
        <v>13</v>
      </c>
      <c r="Q12" s="371">
        <f>SUM(Q4:Q11)</f>
        <v>0</v>
      </c>
      <c r="R12" s="343">
        <f>O12/N12</f>
        <v>0.88596491228070173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45296</v>
      </c>
      <c r="D13" s="196" t="s">
        <v>23</v>
      </c>
      <c r="E13" s="196" t="s">
        <v>22</v>
      </c>
      <c r="F13" s="197">
        <v>72400</v>
      </c>
      <c r="G13" s="197">
        <v>72190</v>
      </c>
      <c r="H13" s="196">
        <f>72400-72190</f>
        <v>210</v>
      </c>
      <c r="I13" s="197">
        <v>30</v>
      </c>
      <c r="J13" s="268">
        <f t="shared" si="1"/>
        <v>6300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45299</v>
      </c>
      <c r="D14" s="196" t="s">
        <v>23</v>
      </c>
      <c r="E14" s="196" t="s">
        <v>24</v>
      </c>
      <c r="F14" s="197">
        <v>62150</v>
      </c>
      <c r="G14" s="197">
        <v>61950</v>
      </c>
      <c r="H14" s="196">
        <v>200</v>
      </c>
      <c r="I14" s="197">
        <v>100</v>
      </c>
      <c r="J14" s="268">
        <f t="shared" si="1"/>
        <v>20000</v>
      </c>
      <c r="K14" s="185"/>
      <c r="M14" s="323" t="s">
        <v>878</v>
      </c>
      <c r="N14" s="324"/>
      <c r="O14" s="325"/>
      <c r="P14" s="332">
        <f>R12</f>
        <v>0.88596491228070173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45299</v>
      </c>
      <c r="D15" s="196" t="s">
        <v>23</v>
      </c>
      <c r="E15" s="196" t="s">
        <v>22</v>
      </c>
      <c r="F15" s="197">
        <v>72100</v>
      </c>
      <c r="G15" s="197">
        <v>71800</v>
      </c>
      <c r="H15" s="196">
        <f>72100-71800</f>
        <v>300</v>
      </c>
      <c r="I15" s="197">
        <v>30</v>
      </c>
      <c r="J15" s="268">
        <f t="shared" si="1"/>
        <v>9000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45300</v>
      </c>
      <c r="D16" s="196" t="s">
        <v>23</v>
      </c>
      <c r="E16" s="196" t="s">
        <v>24</v>
      </c>
      <c r="F16" s="197">
        <v>62380</v>
      </c>
      <c r="G16" s="197">
        <v>62280</v>
      </c>
      <c r="H16" s="196">
        <v>100</v>
      </c>
      <c r="I16" s="197">
        <v>100</v>
      </c>
      <c r="J16" s="268">
        <f t="shared" si="1"/>
        <v>10000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45300</v>
      </c>
      <c r="D17" s="196" t="s">
        <v>23</v>
      </c>
      <c r="E17" s="196" t="s">
        <v>22</v>
      </c>
      <c r="F17" s="197">
        <v>72700</v>
      </c>
      <c r="G17" s="197">
        <v>72100</v>
      </c>
      <c r="H17" s="196">
        <v>600</v>
      </c>
      <c r="I17" s="197">
        <v>30</v>
      </c>
      <c r="J17" s="268">
        <f t="shared" si="1"/>
        <v>18000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45301</v>
      </c>
      <c r="D18" s="196" t="s">
        <v>23</v>
      </c>
      <c r="E18" s="196" t="s">
        <v>24</v>
      </c>
      <c r="F18" s="197">
        <v>62300</v>
      </c>
      <c r="G18" s="197">
        <v>62160</v>
      </c>
      <c r="H18" s="196">
        <f>62300-62160</f>
        <v>140</v>
      </c>
      <c r="I18" s="197">
        <v>100</v>
      </c>
      <c r="J18" s="268">
        <f t="shared" si="1"/>
        <v>14000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45301</v>
      </c>
      <c r="D19" s="196" t="s">
        <v>23</v>
      </c>
      <c r="E19" s="196" t="s">
        <v>22</v>
      </c>
      <c r="F19" s="197">
        <v>72300</v>
      </c>
      <c r="G19" s="197">
        <v>72000</v>
      </c>
      <c r="H19" s="196">
        <v>300</v>
      </c>
      <c r="I19" s="197">
        <v>30</v>
      </c>
      <c r="J19" s="268">
        <f t="shared" si="1"/>
        <v>9000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45302</v>
      </c>
      <c r="D20" s="196" t="s">
        <v>23</v>
      </c>
      <c r="E20" s="196" t="s">
        <v>24</v>
      </c>
      <c r="F20" s="197">
        <v>62160</v>
      </c>
      <c r="G20" s="197">
        <v>62110</v>
      </c>
      <c r="H20" s="196">
        <f>62160-62110</f>
        <v>50</v>
      </c>
      <c r="I20" s="197">
        <v>100</v>
      </c>
      <c r="J20" s="268">
        <f t="shared" si="1"/>
        <v>5000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45302</v>
      </c>
      <c r="D21" s="196" t="s">
        <v>23</v>
      </c>
      <c r="E21" s="196" t="s">
        <v>22</v>
      </c>
      <c r="F21" s="197">
        <v>72200</v>
      </c>
      <c r="G21" s="197">
        <v>71900</v>
      </c>
      <c r="H21" s="196">
        <f>72200-71900</f>
        <v>300</v>
      </c>
      <c r="I21" s="197">
        <v>30</v>
      </c>
      <c r="J21" s="268">
        <f t="shared" si="1"/>
        <v>9000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45303</v>
      </c>
      <c r="D22" s="196" t="s">
        <v>23</v>
      </c>
      <c r="E22" s="196" t="s">
        <v>24</v>
      </c>
      <c r="F22" s="197">
        <v>62240</v>
      </c>
      <c r="G22" s="197">
        <v>62180</v>
      </c>
      <c r="H22" s="196">
        <f>62240-62180</f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45303</v>
      </c>
      <c r="D23" s="196" t="s">
        <v>23</v>
      </c>
      <c r="E23" s="196" t="s">
        <v>22</v>
      </c>
      <c r="F23" s="197">
        <v>72000</v>
      </c>
      <c r="G23" s="197">
        <v>72300</v>
      </c>
      <c r="H23" s="196">
        <v>-300</v>
      </c>
      <c r="I23" s="197">
        <v>30</v>
      </c>
      <c r="J23" s="268">
        <f t="shared" si="1"/>
        <v>-9000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45307</v>
      </c>
      <c r="D24" s="196" t="s">
        <v>23</v>
      </c>
      <c r="E24" s="196" t="s">
        <v>24</v>
      </c>
      <c r="F24" s="197">
        <v>62350</v>
      </c>
      <c r="G24" s="197">
        <v>62290</v>
      </c>
      <c r="H24" s="196">
        <f>62350-62290</f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45307</v>
      </c>
      <c r="D25" s="196" t="s">
        <v>23</v>
      </c>
      <c r="E25" s="196" t="s">
        <v>22</v>
      </c>
      <c r="F25" s="197">
        <v>72350</v>
      </c>
      <c r="G25" s="197">
        <v>72650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45308</v>
      </c>
      <c r="D26" s="196" t="s">
        <v>23</v>
      </c>
      <c r="E26" s="196" t="s">
        <v>24</v>
      </c>
      <c r="F26" s="197">
        <v>61950</v>
      </c>
      <c r="G26" s="197">
        <v>61850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45308</v>
      </c>
      <c r="D27" s="196" t="s">
        <v>23</v>
      </c>
      <c r="E27" s="196" t="s">
        <v>22</v>
      </c>
      <c r="F27" s="197">
        <v>71750</v>
      </c>
      <c r="G27" s="197">
        <v>71550</v>
      </c>
      <c r="H27" s="196"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45309</v>
      </c>
      <c r="D28" s="196" t="s">
        <v>23</v>
      </c>
      <c r="E28" s="196" t="s">
        <v>24</v>
      </c>
      <c r="F28" s="197">
        <v>61700</v>
      </c>
      <c r="G28" s="197">
        <v>61600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45309</v>
      </c>
      <c r="D29" s="196" t="s">
        <v>23</v>
      </c>
      <c r="E29" s="196" t="s">
        <v>22</v>
      </c>
      <c r="F29" s="197">
        <v>71500</v>
      </c>
      <c r="G29" s="197">
        <v>71380</v>
      </c>
      <c r="H29" s="196">
        <f>71500-71380</f>
        <v>120</v>
      </c>
      <c r="I29" s="197">
        <v>30</v>
      </c>
      <c r="J29" s="268">
        <f t="shared" si="1"/>
        <v>3600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45310</v>
      </c>
      <c r="D30" s="196" t="s">
        <v>23</v>
      </c>
      <c r="E30" s="196" t="s">
        <v>24</v>
      </c>
      <c r="F30" s="197">
        <v>62100</v>
      </c>
      <c r="G30" s="197">
        <v>62000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45310</v>
      </c>
      <c r="D31" s="196" t="s">
        <v>23</v>
      </c>
      <c r="E31" s="196" t="s">
        <v>22</v>
      </c>
      <c r="F31" s="197">
        <v>71850</v>
      </c>
      <c r="G31" s="197">
        <v>71670</v>
      </c>
      <c r="H31" s="196">
        <f>71850-71670</f>
        <v>180</v>
      </c>
      <c r="I31" s="197">
        <v>30</v>
      </c>
      <c r="J31" s="268">
        <f t="shared" si="1"/>
        <v>5400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45314</v>
      </c>
      <c r="D32" s="196" t="s">
        <v>23</v>
      </c>
      <c r="E32" s="196" t="s">
        <v>24</v>
      </c>
      <c r="F32" s="197">
        <v>62100</v>
      </c>
      <c r="G32" s="197">
        <v>61900</v>
      </c>
      <c r="H32" s="196">
        <f>62100-61900</f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45314</v>
      </c>
      <c r="D33" s="196" t="s">
        <v>23</v>
      </c>
      <c r="E33" s="196" t="s">
        <v>22</v>
      </c>
      <c r="F33" s="197">
        <v>71000</v>
      </c>
      <c r="G33" s="197">
        <v>70800</v>
      </c>
      <c r="H33" s="196">
        <f>71000-70800</f>
        <v>200</v>
      </c>
      <c r="I33" s="197">
        <v>30</v>
      </c>
      <c r="J33" s="268">
        <f t="shared" si="1"/>
        <v>6000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45315</v>
      </c>
      <c r="D34" s="196" t="s">
        <v>23</v>
      </c>
      <c r="E34" s="196" t="s">
        <v>24</v>
      </c>
      <c r="F34" s="197">
        <v>62140</v>
      </c>
      <c r="G34" s="197">
        <v>62080</v>
      </c>
      <c r="H34" s="196">
        <f>62140-62080</f>
        <v>60</v>
      </c>
      <c r="I34" s="197">
        <v>100</v>
      </c>
      <c r="J34" s="268">
        <f t="shared" si="1"/>
        <v>6000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45315</v>
      </c>
      <c r="D35" s="196" t="s">
        <v>23</v>
      </c>
      <c r="E35" s="196" t="s">
        <v>22</v>
      </c>
      <c r="F35" s="197">
        <v>71500</v>
      </c>
      <c r="G35" s="197">
        <v>71800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>
        <v>45316</v>
      </c>
      <c r="D36" s="196" t="s">
        <v>23</v>
      </c>
      <c r="E36" s="196" t="s">
        <v>24</v>
      </c>
      <c r="F36" s="197">
        <v>61970</v>
      </c>
      <c r="G36" s="197">
        <v>61910</v>
      </c>
      <c r="H36" s="196">
        <v>60</v>
      </c>
      <c r="I36" s="197">
        <v>100</v>
      </c>
      <c r="J36" s="268">
        <f t="shared" si="1"/>
        <v>6000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45316</v>
      </c>
      <c r="D37" s="196" t="s">
        <v>23</v>
      </c>
      <c r="E37" s="196" t="s">
        <v>22</v>
      </c>
      <c r="F37" s="197">
        <v>71950</v>
      </c>
      <c r="G37" s="197">
        <v>71800</v>
      </c>
      <c r="H37" s="196">
        <v>50</v>
      </c>
      <c r="I37" s="197">
        <v>30</v>
      </c>
      <c r="J37" s="268">
        <f t="shared" si="1"/>
        <v>1500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45320</v>
      </c>
      <c r="D38" s="196" t="s">
        <v>23</v>
      </c>
      <c r="E38" s="196" t="s">
        <v>24</v>
      </c>
      <c r="F38" s="197">
        <v>62200</v>
      </c>
      <c r="G38" s="197">
        <v>62100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45320</v>
      </c>
      <c r="D39" s="196" t="s">
        <v>23</v>
      </c>
      <c r="E39" s="196" t="s">
        <v>22</v>
      </c>
      <c r="F39" s="197">
        <v>72200</v>
      </c>
      <c r="G39" s="197">
        <v>72000</v>
      </c>
      <c r="H39" s="196">
        <v>200</v>
      </c>
      <c r="I39" s="197">
        <v>30</v>
      </c>
      <c r="J39" s="268">
        <f t="shared" si="1"/>
        <v>6000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45321</v>
      </c>
      <c r="D40" s="196" t="s">
        <v>23</v>
      </c>
      <c r="E40" s="196" t="s">
        <v>24</v>
      </c>
      <c r="F40" s="197">
        <v>62450</v>
      </c>
      <c r="G40" s="197">
        <v>62350</v>
      </c>
      <c r="H40" s="196">
        <v>100</v>
      </c>
      <c r="I40" s="197">
        <v>100</v>
      </c>
      <c r="J40" s="268">
        <f t="shared" si="1"/>
        <v>10000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45321</v>
      </c>
      <c r="D41" s="196" t="s">
        <v>23</v>
      </c>
      <c r="E41" s="196" t="s">
        <v>22</v>
      </c>
      <c r="F41" s="197">
        <v>72350</v>
      </c>
      <c r="G41" s="197">
        <v>72050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45322</v>
      </c>
      <c r="D42" s="196" t="s">
        <v>23</v>
      </c>
      <c r="E42" s="196" t="s">
        <v>24</v>
      </c>
      <c r="F42" s="197">
        <v>62520</v>
      </c>
      <c r="G42" s="197">
        <v>62475</v>
      </c>
      <c r="H42" s="196">
        <f>62520-62475</f>
        <v>45</v>
      </c>
      <c r="I42" s="197">
        <v>100</v>
      </c>
      <c r="J42" s="268">
        <f t="shared" si="1"/>
        <v>4500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45322</v>
      </c>
      <c r="D43" s="196" t="s">
        <v>23</v>
      </c>
      <c r="E43" s="196" t="s">
        <v>22</v>
      </c>
      <c r="F43" s="197">
        <v>72300</v>
      </c>
      <c r="G43" s="197">
        <v>72165</v>
      </c>
      <c r="H43" s="196">
        <f>72300-72165</f>
        <v>135</v>
      </c>
      <c r="I43" s="197">
        <v>30</v>
      </c>
      <c r="J43" s="268">
        <f t="shared" si="1"/>
        <v>4050</v>
      </c>
      <c r="K43" s="185"/>
      <c r="V43" s="183">
        <f t="shared" si="2"/>
        <v>1</v>
      </c>
      <c r="W43" s="183">
        <f t="shared" si="3"/>
        <v>0</v>
      </c>
    </row>
    <row r="44" spans="1:23" hidden="1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hidden="1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hidden="1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hidden="1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hidden="1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idden="1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idden="1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291550</v>
      </c>
      <c r="K52" s="185"/>
      <c r="V52" s="183">
        <f>SUM(V6:V51)</f>
        <v>34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45292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45293</v>
      </c>
      <c r="D60" s="192" t="s">
        <v>23</v>
      </c>
      <c r="E60" s="192" t="s">
        <v>25</v>
      </c>
      <c r="F60" s="193">
        <v>6090</v>
      </c>
      <c r="G60" s="193">
        <v>6050</v>
      </c>
      <c r="H60" s="192">
        <v>40</v>
      </c>
      <c r="I60" s="193">
        <v>100</v>
      </c>
      <c r="J60" s="267">
        <f t="shared" ref="J60:J102" si="5">I60*H60</f>
        <v>4000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45293</v>
      </c>
      <c r="D61" s="196" t="s">
        <v>23</v>
      </c>
      <c r="E61" s="196" t="s">
        <v>152</v>
      </c>
      <c r="F61" s="197">
        <v>219</v>
      </c>
      <c r="G61" s="197">
        <v>216</v>
      </c>
      <c r="H61" s="196">
        <v>3</v>
      </c>
      <c r="I61" s="197">
        <v>2000</v>
      </c>
      <c r="J61" s="268">
        <f t="shared" si="5"/>
        <v>6000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45294</v>
      </c>
      <c r="D62" s="196" t="s">
        <v>23</v>
      </c>
      <c r="E62" s="196" t="s">
        <v>25</v>
      </c>
      <c r="F62" s="197">
        <v>5845</v>
      </c>
      <c r="G62" s="197">
        <v>5806</v>
      </c>
      <c r="H62" s="196">
        <f>5845-5806</f>
        <v>39</v>
      </c>
      <c r="I62" s="197">
        <v>100</v>
      </c>
      <c r="J62" s="268">
        <f t="shared" si="5"/>
        <v>3900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45385</v>
      </c>
      <c r="D63" s="196" t="s">
        <v>16</v>
      </c>
      <c r="E63" s="196" t="s">
        <v>152</v>
      </c>
      <c r="F63" s="197">
        <v>215</v>
      </c>
      <c r="G63" s="197">
        <v>221</v>
      </c>
      <c r="H63" s="196">
        <f>221-215</f>
        <v>6</v>
      </c>
      <c r="I63" s="197">
        <v>2000</v>
      </c>
      <c r="J63" s="268">
        <f t="shared" si="5"/>
        <v>12000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45295</v>
      </c>
      <c r="D64" s="196" t="s">
        <v>23</v>
      </c>
      <c r="E64" s="196" t="s">
        <v>25</v>
      </c>
      <c r="F64" s="197">
        <v>6155</v>
      </c>
      <c r="G64" s="197">
        <v>6115</v>
      </c>
      <c r="H64" s="196">
        <f>6155-6115</f>
        <v>40</v>
      </c>
      <c r="I64" s="197">
        <v>100</v>
      </c>
      <c r="J64" s="268">
        <f t="shared" si="5"/>
        <v>4000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45295</v>
      </c>
      <c r="D65" s="196" t="s">
        <v>23</v>
      </c>
      <c r="E65" s="196" t="s">
        <v>152</v>
      </c>
      <c r="F65" s="197">
        <v>231</v>
      </c>
      <c r="G65" s="222">
        <v>228.8</v>
      </c>
      <c r="H65" s="196">
        <f>231-228.8</f>
        <v>2.1999999999999886</v>
      </c>
      <c r="I65" s="197">
        <v>2000</v>
      </c>
      <c r="J65" s="268">
        <f t="shared" si="5"/>
        <v>4399.9999999999773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45296</v>
      </c>
      <c r="D66" s="196" t="s">
        <v>23</v>
      </c>
      <c r="E66" s="196" t="s">
        <v>25</v>
      </c>
      <c r="F66" s="222">
        <v>6055</v>
      </c>
      <c r="G66" s="222">
        <v>6040</v>
      </c>
      <c r="H66" s="196">
        <v>15</v>
      </c>
      <c r="I66" s="197">
        <v>100</v>
      </c>
      <c r="J66" s="268">
        <f t="shared" si="5"/>
        <v>1500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45296</v>
      </c>
      <c r="D67" s="196" t="s">
        <v>23</v>
      </c>
      <c r="E67" s="196" t="s">
        <v>152</v>
      </c>
      <c r="F67" s="197">
        <v>234</v>
      </c>
      <c r="G67" s="197">
        <v>230</v>
      </c>
      <c r="H67" s="196">
        <v>4</v>
      </c>
      <c r="I67" s="197">
        <v>2000</v>
      </c>
      <c r="J67" s="268">
        <f t="shared" si="5"/>
        <v>8000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45299</v>
      </c>
      <c r="D68" s="196" t="s">
        <v>23</v>
      </c>
      <c r="E68" s="196" t="s">
        <v>25</v>
      </c>
      <c r="F68" s="197">
        <v>6080</v>
      </c>
      <c r="G68" s="197">
        <v>6010</v>
      </c>
      <c r="H68" s="196">
        <v>70</v>
      </c>
      <c r="I68" s="197">
        <v>100</v>
      </c>
      <c r="J68" s="268">
        <f t="shared" si="5"/>
        <v>7000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45299</v>
      </c>
      <c r="D69" s="196" t="s">
        <v>16</v>
      </c>
      <c r="E69" s="196" t="s">
        <v>152</v>
      </c>
      <c r="F69" s="197">
        <v>237</v>
      </c>
      <c r="G69" s="197">
        <v>234</v>
      </c>
      <c r="H69" s="196">
        <v>-3</v>
      </c>
      <c r="I69" s="197">
        <v>2000</v>
      </c>
      <c r="J69" s="268">
        <f t="shared" si="5"/>
        <v>-6000</v>
      </c>
      <c r="K69" s="185"/>
      <c r="V69" s="183">
        <f t="shared" si="6"/>
        <v>0</v>
      </c>
      <c r="W69" s="183">
        <f t="shared" si="7"/>
        <v>1</v>
      </c>
    </row>
    <row r="70" spans="1:23" x14ac:dyDescent="0.3">
      <c r="A70" s="184"/>
      <c r="B70" s="194">
        <v>11</v>
      </c>
      <c r="C70" s="195">
        <v>45300</v>
      </c>
      <c r="D70" s="196" t="s">
        <v>23</v>
      </c>
      <c r="E70" s="196" t="s">
        <v>25</v>
      </c>
      <c r="F70" s="197">
        <v>5990</v>
      </c>
      <c r="G70" s="197">
        <v>6030</v>
      </c>
      <c r="H70" s="196">
        <v>-40</v>
      </c>
      <c r="I70" s="197">
        <v>100</v>
      </c>
      <c r="J70" s="268">
        <f t="shared" si="5"/>
        <v>-4000</v>
      </c>
      <c r="K70" s="185"/>
      <c r="V70" s="183">
        <f t="shared" si="6"/>
        <v>0</v>
      </c>
      <c r="W70" s="183">
        <f t="shared" si="7"/>
        <v>1</v>
      </c>
    </row>
    <row r="71" spans="1:23" x14ac:dyDescent="0.3">
      <c r="A71" s="184"/>
      <c r="B71" s="194">
        <v>12</v>
      </c>
      <c r="C71" s="195">
        <v>45300</v>
      </c>
      <c r="D71" s="196" t="s">
        <v>23</v>
      </c>
      <c r="E71" s="196" t="s">
        <v>152</v>
      </c>
      <c r="F71" s="197">
        <v>249</v>
      </c>
      <c r="G71" s="197">
        <v>252</v>
      </c>
      <c r="H71" s="196">
        <v>-3</v>
      </c>
      <c r="I71" s="197">
        <v>2000</v>
      </c>
      <c r="J71" s="268">
        <f t="shared" si="5"/>
        <v>-6000</v>
      </c>
      <c r="K71" s="185"/>
      <c r="V71" s="183">
        <f t="shared" si="6"/>
        <v>0</v>
      </c>
      <c r="W71" s="183">
        <f t="shared" si="7"/>
        <v>1</v>
      </c>
    </row>
    <row r="72" spans="1:23" x14ac:dyDescent="0.3">
      <c r="A72" s="184"/>
      <c r="B72" s="194">
        <v>13</v>
      </c>
      <c r="C72" s="195">
        <v>45301</v>
      </c>
      <c r="D72" s="196" t="s">
        <v>23</v>
      </c>
      <c r="E72" s="196" t="s">
        <v>25</v>
      </c>
      <c r="F72" s="197">
        <v>5980</v>
      </c>
      <c r="G72" s="197">
        <v>5960</v>
      </c>
      <c r="H72" s="196">
        <v>20</v>
      </c>
      <c r="I72" s="197">
        <v>100</v>
      </c>
      <c r="J72" s="268">
        <f t="shared" si="5"/>
        <v>2000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45301</v>
      </c>
      <c r="D73" s="196" t="s">
        <v>16</v>
      </c>
      <c r="E73" s="196" t="s">
        <v>152</v>
      </c>
      <c r="F73" s="197">
        <v>257</v>
      </c>
      <c r="G73" s="197">
        <v>254</v>
      </c>
      <c r="H73" s="196">
        <v>-3</v>
      </c>
      <c r="I73" s="197">
        <v>2000</v>
      </c>
      <c r="J73" s="268">
        <f t="shared" si="5"/>
        <v>-6000</v>
      </c>
      <c r="K73" s="185"/>
      <c r="V73" s="183">
        <f t="shared" si="6"/>
        <v>0</v>
      </c>
      <c r="W73" s="183">
        <f t="shared" si="7"/>
        <v>1</v>
      </c>
    </row>
    <row r="74" spans="1:23" x14ac:dyDescent="0.3">
      <c r="A74" s="184"/>
      <c r="B74" s="194">
        <v>15</v>
      </c>
      <c r="C74" s="195">
        <v>45302</v>
      </c>
      <c r="D74" s="196" t="s">
        <v>23</v>
      </c>
      <c r="E74" s="196" t="s">
        <v>25</v>
      </c>
      <c r="F74" s="197">
        <v>6035</v>
      </c>
      <c r="G74" s="197">
        <v>6005</v>
      </c>
      <c r="H74" s="196">
        <v>30</v>
      </c>
      <c r="I74" s="197">
        <v>100</v>
      </c>
      <c r="J74" s="268">
        <f t="shared" si="5"/>
        <v>3000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45302</v>
      </c>
      <c r="D75" s="196" t="s">
        <v>16</v>
      </c>
      <c r="E75" s="196" t="s">
        <v>152</v>
      </c>
      <c r="F75" s="197">
        <v>250</v>
      </c>
      <c r="G75" s="197">
        <v>251</v>
      </c>
      <c r="H75" s="196">
        <v>1</v>
      </c>
      <c r="I75" s="197">
        <v>2000</v>
      </c>
      <c r="J75" s="268">
        <f t="shared" si="5"/>
        <v>2000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45303</v>
      </c>
      <c r="D76" s="196" t="s">
        <v>23</v>
      </c>
      <c r="E76" s="196" t="s">
        <v>25</v>
      </c>
      <c r="F76" s="197">
        <v>6125</v>
      </c>
      <c r="G76" s="197">
        <v>6100</v>
      </c>
      <c r="H76" s="196">
        <v>25</v>
      </c>
      <c r="I76" s="197">
        <v>100</v>
      </c>
      <c r="J76" s="268">
        <f t="shared" si="5"/>
        <v>2500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45303</v>
      </c>
      <c r="D77" s="196" t="s">
        <v>23</v>
      </c>
      <c r="E77" s="196" t="s">
        <v>152</v>
      </c>
      <c r="F77" s="197">
        <v>261</v>
      </c>
      <c r="G77" s="197">
        <v>258</v>
      </c>
      <c r="H77" s="196">
        <v>2</v>
      </c>
      <c r="I77" s="197">
        <v>2000</v>
      </c>
      <c r="J77" s="268">
        <f t="shared" si="5"/>
        <v>4000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45307</v>
      </c>
      <c r="D78" s="196" t="s">
        <v>23</v>
      </c>
      <c r="E78" s="196" t="s">
        <v>25</v>
      </c>
      <c r="F78" s="197">
        <v>6035</v>
      </c>
      <c r="G78" s="197">
        <v>6075</v>
      </c>
      <c r="H78" s="196">
        <v>-40</v>
      </c>
      <c r="I78" s="197">
        <v>100</v>
      </c>
      <c r="J78" s="268">
        <f t="shared" si="5"/>
        <v>-4000</v>
      </c>
      <c r="K78" s="185"/>
      <c r="V78" s="183">
        <f t="shared" si="6"/>
        <v>0</v>
      </c>
      <c r="W78" s="183">
        <f t="shared" si="7"/>
        <v>1</v>
      </c>
    </row>
    <row r="79" spans="1:23" x14ac:dyDescent="0.3">
      <c r="A79" s="184"/>
      <c r="B79" s="194">
        <v>20</v>
      </c>
      <c r="C79" s="195">
        <v>45307</v>
      </c>
      <c r="D79" s="196" t="s">
        <v>23</v>
      </c>
      <c r="E79" s="196" t="s">
        <v>152</v>
      </c>
      <c r="F79" s="197">
        <v>253</v>
      </c>
      <c r="G79" s="197">
        <v>250</v>
      </c>
      <c r="H79" s="196">
        <v>3</v>
      </c>
      <c r="I79" s="197">
        <v>2000</v>
      </c>
      <c r="J79" s="268">
        <f t="shared" si="5"/>
        <v>6000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45308</v>
      </c>
      <c r="D80" s="196" t="s">
        <v>23</v>
      </c>
      <c r="E80" s="196" t="s">
        <v>25</v>
      </c>
      <c r="F80" s="197">
        <v>5955</v>
      </c>
      <c r="G80" s="197">
        <v>5885</v>
      </c>
      <c r="H80" s="196">
        <f>5955-5885</f>
        <v>70</v>
      </c>
      <c r="I80" s="197">
        <v>100</v>
      </c>
      <c r="J80" s="268">
        <f t="shared" si="5"/>
        <v>7000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45308</v>
      </c>
      <c r="D81" s="196" t="s">
        <v>16</v>
      </c>
      <c r="E81" s="196" t="s">
        <v>152</v>
      </c>
      <c r="F81" s="197">
        <v>234</v>
      </c>
      <c r="G81" s="197">
        <v>236</v>
      </c>
      <c r="H81" s="196">
        <v>2</v>
      </c>
      <c r="I81" s="197">
        <v>2000</v>
      </c>
      <c r="J81" s="268">
        <f t="shared" si="5"/>
        <v>4000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45309</v>
      </c>
      <c r="D82" s="196" t="s">
        <v>23</v>
      </c>
      <c r="E82" s="196" t="s">
        <v>25</v>
      </c>
      <c r="F82" s="197">
        <v>6080</v>
      </c>
      <c r="G82" s="197">
        <v>6038</v>
      </c>
      <c r="H82" s="196">
        <f>6080-6038</f>
        <v>42</v>
      </c>
      <c r="I82" s="197">
        <v>100</v>
      </c>
      <c r="J82" s="268">
        <f t="shared" si="5"/>
        <v>4200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45309</v>
      </c>
      <c r="D83" s="196" t="s">
        <v>23</v>
      </c>
      <c r="E83" s="196" t="s">
        <v>152</v>
      </c>
      <c r="F83" s="197">
        <v>243</v>
      </c>
      <c r="G83" s="222">
        <v>240.8</v>
      </c>
      <c r="H83" s="222">
        <v>2.2000000000000002</v>
      </c>
      <c r="I83" s="197">
        <v>2000</v>
      </c>
      <c r="J83" s="268">
        <f t="shared" si="5"/>
        <v>4400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184"/>
      <c r="B84" s="194">
        <v>25</v>
      </c>
      <c r="C84" s="195">
        <v>45310</v>
      </c>
      <c r="D84" s="196" t="s">
        <v>23</v>
      </c>
      <c r="E84" s="196" t="s">
        <v>25</v>
      </c>
      <c r="F84" s="197">
        <v>6200</v>
      </c>
      <c r="G84" s="222">
        <v>6132</v>
      </c>
      <c r="H84" s="222">
        <f>6200-6132</f>
        <v>68</v>
      </c>
      <c r="I84" s="197">
        <v>100</v>
      </c>
      <c r="J84" s="268">
        <f t="shared" si="5"/>
        <v>6800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45310</v>
      </c>
      <c r="D85" s="196" t="s">
        <v>23</v>
      </c>
      <c r="E85" s="196" t="s">
        <v>152</v>
      </c>
      <c r="F85" s="197">
        <v>221</v>
      </c>
      <c r="G85" s="222">
        <v>218</v>
      </c>
      <c r="H85" s="196">
        <v>3</v>
      </c>
      <c r="I85" s="197">
        <v>2000</v>
      </c>
      <c r="J85" s="268">
        <f t="shared" si="5"/>
        <v>6000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45314</v>
      </c>
      <c r="D86" s="196" t="s">
        <v>23</v>
      </c>
      <c r="E86" s="196" t="s">
        <v>25</v>
      </c>
      <c r="F86" s="197">
        <v>6240</v>
      </c>
      <c r="G86" s="197">
        <v>6170</v>
      </c>
      <c r="H86" s="196">
        <f>6240-6170</f>
        <v>70</v>
      </c>
      <c r="I86" s="197">
        <v>100</v>
      </c>
      <c r="J86" s="268">
        <f t="shared" si="5"/>
        <v>7000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45314</v>
      </c>
      <c r="D87" s="196" t="s">
        <v>16</v>
      </c>
      <c r="E87" s="196" t="s">
        <v>152</v>
      </c>
      <c r="F87" s="197">
        <v>200</v>
      </c>
      <c r="G87" s="222">
        <v>201.2</v>
      </c>
      <c r="H87" s="222">
        <v>1.2</v>
      </c>
      <c r="I87" s="197">
        <v>2000</v>
      </c>
      <c r="J87" s="268">
        <f t="shared" si="5"/>
        <v>2400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45315</v>
      </c>
      <c r="D88" s="196" t="s">
        <v>23</v>
      </c>
      <c r="E88" s="196" t="s">
        <v>25</v>
      </c>
      <c r="F88" s="197">
        <v>6225</v>
      </c>
      <c r="G88" s="197">
        <v>6185</v>
      </c>
      <c r="H88" s="196">
        <f>6225-6185</f>
        <v>40</v>
      </c>
      <c r="I88" s="197">
        <v>100</v>
      </c>
      <c r="J88" s="268">
        <f t="shared" si="5"/>
        <v>4000</v>
      </c>
      <c r="K88" s="185"/>
      <c r="V88" s="183">
        <f t="shared" si="6"/>
        <v>1</v>
      </c>
      <c r="W88" s="183">
        <f t="shared" si="7"/>
        <v>0</v>
      </c>
    </row>
    <row r="89" spans="1:23" x14ac:dyDescent="0.3">
      <c r="A89" s="184"/>
      <c r="B89" s="194">
        <v>30</v>
      </c>
      <c r="C89" s="195">
        <v>45315</v>
      </c>
      <c r="D89" s="196" t="s">
        <v>23</v>
      </c>
      <c r="E89" s="196" t="s">
        <v>152</v>
      </c>
      <c r="F89" s="222">
        <v>209.5</v>
      </c>
      <c r="G89" s="222">
        <v>212.5</v>
      </c>
      <c r="H89" s="196">
        <v>-4</v>
      </c>
      <c r="I89" s="197">
        <v>2000</v>
      </c>
      <c r="J89" s="268">
        <f t="shared" si="5"/>
        <v>-8000</v>
      </c>
      <c r="K89" s="185"/>
      <c r="V89" s="183">
        <f t="shared" si="6"/>
        <v>0</v>
      </c>
      <c r="W89" s="183">
        <f t="shared" si="7"/>
        <v>1</v>
      </c>
    </row>
    <row r="90" spans="1:23" x14ac:dyDescent="0.3">
      <c r="A90" s="184"/>
      <c r="B90" s="194">
        <v>31</v>
      </c>
      <c r="C90" s="195">
        <v>45316</v>
      </c>
      <c r="D90" s="196" t="s">
        <v>23</v>
      </c>
      <c r="E90" s="196" t="s">
        <v>25</v>
      </c>
      <c r="F90" s="197">
        <v>6350</v>
      </c>
      <c r="G90" s="197">
        <v>6307</v>
      </c>
      <c r="H90" s="196">
        <f>6350-6307</f>
        <v>43</v>
      </c>
      <c r="I90" s="197">
        <v>100</v>
      </c>
      <c r="J90" s="268">
        <f t="shared" si="5"/>
        <v>4300</v>
      </c>
      <c r="K90" s="185"/>
      <c r="V90" s="183">
        <f t="shared" si="6"/>
        <v>1</v>
      </c>
      <c r="W90" s="183">
        <f t="shared" si="7"/>
        <v>0</v>
      </c>
    </row>
    <row r="91" spans="1:23" x14ac:dyDescent="0.3">
      <c r="A91" s="184"/>
      <c r="B91" s="194">
        <v>32</v>
      </c>
      <c r="C91" s="195">
        <v>45316</v>
      </c>
      <c r="D91" s="196" t="s">
        <v>23</v>
      </c>
      <c r="E91" s="196" t="s">
        <v>152</v>
      </c>
      <c r="F91" s="197">
        <v>236</v>
      </c>
      <c r="G91" s="222">
        <v>234.7</v>
      </c>
      <c r="H91" s="222">
        <f>236-234.7</f>
        <v>1.3000000000000114</v>
      </c>
      <c r="I91" s="197">
        <v>2000</v>
      </c>
      <c r="J91" s="268">
        <f t="shared" si="5"/>
        <v>2600.0000000000227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45320</v>
      </c>
      <c r="D92" s="196" t="s">
        <v>23</v>
      </c>
      <c r="E92" s="196" t="s">
        <v>25</v>
      </c>
      <c r="F92" s="197">
        <v>6530</v>
      </c>
      <c r="G92" s="197">
        <v>6460</v>
      </c>
      <c r="H92" s="196">
        <f>6530-6460</f>
        <v>70</v>
      </c>
      <c r="I92" s="197">
        <v>100</v>
      </c>
      <c r="J92" s="268">
        <f t="shared" si="5"/>
        <v>7000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45320</v>
      </c>
      <c r="D93" s="196" t="s">
        <v>23</v>
      </c>
      <c r="E93" s="196" t="s">
        <v>152</v>
      </c>
      <c r="F93" s="197">
        <v>179</v>
      </c>
      <c r="G93" s="197">
        <v>178</v>
      </c>
      <c r="H93" s="196">
        <v>1</v>
      </c>
      <c r="I93" s="197">
        <v>2000</v>
      </c>
      <c r="J93" s="268">
        <f t="shared" si="5"/>
        <v>2000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45321</v>
      </c>
      <c r="D94" s="196" t="s">
        <v>23</v>
      </c>
      <c r="E94" s="196" t="s">
        <v>25</v>
      </c>
      <c r="F94" s="197">
        <v>6410</v>
      </c>
      <c r="G94" s="197">
        <v>6340</v>
      </c>
      <c r="H94" s="196">
        <f>6410-6340</f>
        <v>70</v>
      </c>
      <c r="I94" s="197">
        <v>100</v>
      </c>
      <c r="J94" s="268">
        <f t="shared" si="5"/>
        <v>7000</v>
      </c>
      <c r="K94" s="185"/>
      <c r="V94" s="183">
        <f t="shared" si="6"/>
        <v>1</v>
      </c>
      <c r="W94" s="183">
        <f t="shared" si="7"/>
        <v>0</v>
      </c>
    </row>
    <row r="95" spans="1:23" x14ac:dyDescent="0.3">
      <c r="A95" s="184"/>
      <c r="B95" s="194">
        <v>36</v>
      </c>
      <c r="C95" s="195">
        <v>45321</v>
      </c>
      <c r="D95" s="196" t="s">
        <v>23</v>
      </c>
      <c r="E95" s="196" t="s">
        <v>152</v>
      </c>
      <c r="F95" s="197">
        <v>173</v>
      </c>
      <c r="G95" s="197">
        <v>173</v>
      </c>
      <c r="H95" s="196">
        <v>0</v>
      </c>
      <c r="I95" s="197">
        <v>2000</v>
      </c>
      <c r="J95" s="268">
        <f t="shared" si="5"/>
        <v>0</v>
      </c>
      <c r="K95" s="185"/>
      <c r="V95" s="183">
        <f t="shared" si="6"/>
        <v>0</v>
      </c>
      <c r="W95" s="183">
        <f t="shared" si="7"/>
        <v>0</v>
      </c>
    </row>
    <row r="96" spans="1:23" x14ac:dyDescent="0.3">
      <c r="A96" s="184"/>
      <c r="B96" s="194">
        <v>37</v>
      </c>
      <c r="C96" s="195">
        <v>45322</v>
      </c>
      <c r="D96" s="196" t="s">
        <v>23</v>
      </c>
      <c r="E96" s="196" t="s">
        <v>25</v>
      </c>
      <c r="F96" s="197">
        <v>6410</v>
      </c>
      <c r="G96" s="197">
        <v>6370</v>
      </c>
      <c r="H96" s="196">
        <f>6410-6370</f>
        <v>40</v>
      </c>
      <c r="I96" s="197">
        <v>100</v>
      </c>
      <c r="J96" s="268">
        <f t="shared" si="5"/>
        <v>4000</v>
      </c>
      <c r="K96" s="185"/>
      <c r="V96" s="183">
        <f t="shared" si="6"/>
        <v>1</v>
      </c>
      <c r="W96" s="183">
        <f t="shared" si="7"/>
        <v>0</v>
      </c>
    </row>
    <row r="97" spans="1:23" x14ac:dyDescent="0.3">
      <c r="A97" s="255"/>
      <c r="B97" s="194">
        <v>38</v>
      </c>
      <c r="C97" s="195">
        <v>45322</v>
      </c>
      <c r="D97" s="196" t="s">
        <v>16</v>
      </c>
      <c r="E97" s="196" t="s">
        <v>152</v>
      </c>
      <c r="F97" s="197">
        <v>172</v>
      </c>
      <c r="G97" s="197">
        <v>175</v>
      </c>
      <c r="H97" s="196">
        <v>3</v>
      </c>
      <c r="I97" s="197">
        <v>2000</v>
      </c>
      <c r="J97" s="268">
        <f t="shared" si="5"/>
        <v>6000</v>
      </c>
      <c r="K97" s="185"/>
      <c r="V97" s="183">
        <f t="shared" si="6"/>
        <v>1</v>
      </c>
      <c r="W97" s="183">
        <f t="shared" si="7"/>
        <v>0</v>
      </c>
    </row>
    <row r="98" spans="1:23" x14ac:dyDescent="0.3">
      <c r="A98" s="184"/>
      <c r="B98" s="194">
        <v>39</v>
      </c>
      <c r="C98" s="195"/>
      <c r="D98" s="196"/>
      <c r="E98" s="196"/>
      <c r="F98" s="197"/>
      <c r="G98" s="222"/>
      <c r="H98" s="196"/>
      <c r="I98" s="197"/>
      <c r="J98" s="268">
        <f t="shared" si="5"/>
        <v>0</v>
      </c>
      <c r="K98" s="185"/>
      <c r="V98" s="183">
        <f t="shared" si="6"/>
        <v>0</v>
      </c>
      <c r="W98" s="183">
        <f t="shared" si="7"/>
        <v>0</v>
      </c>
    </row>
    <row r="99" spans="1:23" hidden="1" x14ac:dyDescent="0.3">
      <c r="A99" s="184"/>
      <c r="B99" s="194">
        <v>40</v>
      </c>
      <c r="C99" s="195"/>
      <c r="D99" s="196"/>
      <c r="E99" s="196"/>
      <c r="F99" s="197"/>
      <c r="G99" s="197"/>
      <c r="H99" s="196"/>
      <c r="I99" s="197"/>
      <c r="J99" s="268">
        <f t="shared" si="5"/>
        <v>0</v>
      </c>
      <c r="K99" s="185"/>
      <c r="V99" s="183">
        <f t="shared" si="6"/>
        <v>0</v>
      </c>
      <c r="W99" s="183">
        <f t="shared" si="7"/>
        <v>0</v>
      </c>
    </row>
    <row r="100" spans="1:23" hidden="1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5"/>
        <v>0</v>
      </c>
      <c r="K100" s="185"/>
      <c r="V100" s="183">
        <f t="shared" si="6"/>
        <v>0</v>
      </c>
      <c r="W100" s="183">
        <f t="shared" si="7"/>
        <v>0</v>
      </c>
    </row>
    <row r="101" spans="1:23" hidden="1" x14ac:dyDescent="0.3">
      <c r="A101" s="184"/>
      <c r="B101" s="194">
        <v>42</v>
      </c>
      <c r="C101" s="195"/>
      <c r="D101" s="196"/>
      <c r="E101" s="196"/>
      <c r="F101" s="197"/>
      <c r="G101" s="197"/>
      <c r="H101" s="196"/>
      <c r="I101" s="197"/>
      <c r="J101" s="268">
        <f t="shared" si="5"/>
        <v>0</v>
      </c>
      <c r="K101" s="185"/>
      <c r="V101" s="183">
        <f t="shared" si="6"/>
        <v>0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8" t="s">
        <v>879</v>
      </c>
      <c r="C103" s="305"/>
      <c r="D103" s="305"/>
      <c r="E103" s="305"/>
      <c r="F103" s="305"/>
      <c r="G103" s="305"/>
      <c r="H103" s="306"/>
      <c r="I103" s="203" t="s">
        <v>880</v>
      </c>
      <c r="J103" s="204">
        <f>SUM(J60:J102)</f>
        <v>115000</v>
      </c>
      <c r="K103" s="185"/>
      <c r="V103" s="183">
        <f>SUM(V60:V102)</f>
        <v>31</v>
      </c>
      <c r="W103" s="183">
        <f>SUM(W60:W102)</f>
        <v>6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07" t="s">
        <v>873</v>
      </c>
      <c r="C107" s="308"/>
      <c r="D107" s="308"/>
      <c r="E107" s="308"/>
      <c r="F107" s="308"/>
      <c r="G107" s="308"/>
      <c r="H107" s="308"/>
      <c r="I107" s="308"/>
      <c r="J107" s="309"/>
      <c r="K107" s="185"/>
    </row>
    <row r="108" spans="1:23" ht="16.2" thickBot="1" x14ac:dyDescent="0.35">
      <c r="A108" s="184"/>
      <c r="B108" s="310">
        <v>45292</v>
      </c>
      <c r="C108" s="311"/>
      <c r="D108" s="311"/>
      <c r="E108" s="311"/>
      <c r="F108" s="311"/>
      <c r="G108" s="311"/>
      <c r="H108" s="311"/>
      <c r="I108" s="311"/>
      <c r="J108" s="312"/>
      <c r="K108" s="185"/>
    </row>
    <row r="109" spans="1:23" ht="16.2" thickBot="1" x14ac:dyDescent="0.35">
      <c r="A109" s="184"/>
      <c r="B109" s="313" t="s">
        <v>882</v>
      </c>
      <c r="C109" s="314"/>
      <c r="D109" s="314"/>
      <c r="E109" s="314"/>
      <c r="F109" s="314"/>
      <c r="G109" s="314"/>
      <c r="H109" s="314"/>
      <c r="I109" s="314"/>
      <c r="J109" s="315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45293</v>
      </c>
      <c r="D111" s="216" t="s">
        <v>23</v>
      </c>
      <c r="E111" s="256" t="s">
        <v>28</v>
      </c>
      <c r="F111" s="256">
        <v>232.5</v>
      </c>
      <c r="G111" s="256">
        <v>231.5</v>
      </c>
      <c r="H111" s="256">
        <v>1</v>
      </c>
      <c r="I111" s="218">
        <v>5000</v>
      </c>
      <c r="J111" s="273">
        <f>I111*H111</f>
        <v>5000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</v>
      </c>
      <c r="C112" s="195">
        <v>45294</v>
      </c>
      <c r="D112" s="196" t="s">
        <v>23</v>
      </c>
      <c r="E112" s="222" t="s">
        <v>28</v>
      </c>
      <c r="F112" s="222">
        <v>230</v>
      </c>
      <c r="G112" s="222">
        <v>228</v>
      </c>
      <c r="H112" s="222">
        <v>2</v>
      </c>
      <c r="I112" s="197">
        <v>5000</v>
      </c>
      <c r="J112" s="268">
        <f t="shared" ref="J112:J132" si="8">I112*H112</f>
        <v>10000</v>
      </c>
      <c r="K112" s="185"/>
      <c r="V112" s="183">
        <f t="shared" ref="V112:V131" si="9">IF($J112&gt;0,1,0)</f>
        <v>1</v>
      </c>
      <c r="W112" s="183">
        <f t="shared" ref="W112:W131" si="10">IF($J112&lt;0,1,0)</f>
        <v>0</v>
      </c>
    </row>
    <row r="113" spans="1:23" x14ac:dyDescent="0.3">
      <c r="A113" s="184"/>
      <c r="B113" s="194">
        <v>3</v>
      </c>
      <c r="C113" s="195">
        <v>45295</v>
      </c>
      <c r="D113" s="196" t="s">
        <v>23</v>
      </c>
      <c r="E113" s="222" t="s">
        <v>28</v>
      </c>
      <c r="F113" s="222">
        <v>227.3</v>
      </c>
      <c r="G113" s="222">
        <v>226.4</v>
      </c>
      <c r="H113" s="222">
        <f>227.3-226.4</f>
        <v>0.90000000000000568</v>
      </c>
      <c r="I113" s="197">
        <v>5000</v>
      </c>
      <c r="J113" s="268">
        <f t="shared" si="8"/>
        <v>4500.0000000000282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45296</v>
      </c>
      <c r="D114" s="196" t="s">
        <v>23</v>
      </c>
      <c r="E114" s="222" t="s">
        <v>28</v>
      </c>
      <c r="F114" s="222">
        <v>225.5</v>
      </c>
      <c r="G114" s="222">
        <v>226.5</v>
      </c>
      <c r="H114" s="222">
        <v>-1</v>
      </c>
      <c r="I114" s="197">
        <v>5000</v>
      </c>
      <c r="J114" s="268">
        <f t="shared" si="8"/>
        <v>-5000</v>
      </c>
      <c r="K114" s="185"/>
      <c r="V114" s="183">
        <f t="shared" si="9"/>
        <v>0</v>
      </c>
      <c r="W114" s="183">
        <f t="shared" si="10"/>
        <v>1</v>
      </c>
    </row>
    <row r="115" spans="1:23" x14ac:dyDescent="0.3">
      <c r="A115" s="184"/>
      <c r="B115" s="194">
        <v>5</v>
      </c>
      <c r="C115" s="195">
        <v>45299</v>
      </c>
      <c r="D115" s="196" t="s">
        <v>23</v>
      </c>
      <c r="E115" s="222" t="s">
        <v>28</v>
      </c>
      <c r="F115" s="222">
        <v>224.3</v>
      </c>
      <c r="G115" s="222">
        <v>223.3</v>
      </c>
      <c r="H115" s="222">
        <v>1</v>
      </c>
      <c r="I115" s="197">
        <v>5000</v>
      </c>
      <c r="J115" s="268">
        <f t="shared" si="8"/>
        <v>5000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6</v>
      </c>
      <c r="C116" s="195">
        <v>45300</v>
      </c>
      <c r="D116" s="196" t="s">
        <v>23</v>
      </c>
      <c r="E116" s="222" t="s">
        <v>28</v>
      </c>
      <c r="F116" s="222">
        <v>224.6</v>
      </c>
      <c r="G116" s="222">
        <v>222.6</v>
      </c>
      <c r="H116" s="222">
        <v>2</v>
      </c>
      <c r="I116" s="197">
        <v>5000</v>
      </c>
      <c r="J116" s="268">
        <f t="shared" si="8"/>
        <v>10000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45301</v>
      </c>
      <c r="D117" s="196" t="s">
        <v>23</v>
      </c>
      <c r="E117" s="222" t="s">
        <v>28</v>
      </c>
      <c r="F117" s="222">
        <v>224.5</v>
      </c>
      <c r="G117" s="222">
        <v>222.9</v>
      </c>
      <c r="H117" s="274">
        <f>224.5-222.9</f>
        <v>1.5999999999999943</v>
      </c>
      <c r="I117" s="197">
        <v>5000</v>
      </c>
      <c r="J117" s="268">
        <f t="shared" si="8"/>
        <v>7999.9999999999718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8</v>
      </c>
      <c r="C118" s="195">
        <v>45302</v>
      </c>
      <c r="D118" s="196" t="s">
        <v>23</v>
      </c>
      <c r="E118" s="222" t="s">
        <v>28</v>
      </c>
      <c r="F118" s="222">
        <v>223.8</v>
      </c>
      <c r="G118" s="222">
        <v>223.1</v>
      </c>
      <c r="H118" s="222">
        <f>223.8-223.1</f>
        <v>0.70000000000001705</v>
      </c>
      <c r="I118" s="197">
        <v>5000</v>
      </c>
      <c r="J118" s="268">
        <f t="shared" si="8"/>
        <v>3500.0000000000855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45303</v>
      </c>
      <c r="D119" s="196" t="s">
        <v>23</v>
      </c>
      <c r="E119" s="222" t="s">
        <v>28</v>
      </c>
      <c r="F119" s="222">
        <v>223.8</v>
      </c>
      <c r="G119" s="222">
        <v>222.15</v>
      </c>
      <c r="H119" s="222">
        <f>223.8-222.15</f>
        <v>1.6500000000000057</v>
      </c>
      <c r="I119" s="197">
        <v>5000</v>
      </c>
      <c r="J119" s="268">
        <f t="shared" si="8"/>
        <v>8250.0000000000291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45307</v>
      </c>
      <c r="D120" s="196" t="s">
        <v>23</v>
      </c>
      <c r="E120" s="222" t="s">
        <v>28</v>
      </c>
      <c r="F120" s="222">
        <v>225</v>
      </c>
      <c r="G120" s="222">
        <v>226</v>
      </c>
      <c r="H120" s="222">
        <v>-1</v>
      </c>
      <c r="I120" s="197">
        <v>5000</v>
      </c>
      <c r="J120" s="268">
        <f t="shared" si="8"/>
        <v>-5000</v>
      </c>
      <c r="K120" s="185"/>
      <c r="V120" s="183">
        <f t="shared" si="9"/>
        <v>0</v>
      </c>
      <c r="W120" s="183">
        <f t="shared" si="10"/>
        <v>1</v>
      </c>
    </row>
    <row r="121" spans="1:23" x14ac:dyDescent="0.3">
      <c r="A121" s="184"/>
      <c r="B121" s="194">
        <v>11</v>
      </c>
      <c r="C121" s="195">
        <v>45308</v>
      </c>
      <c r="D121" s="196" t="s">
        <v>23</v>
      </c>
      <c r="E121" s="222" t="s">
        <v>28</v>
      </c>
      <c r="F121" s="222">
        <v>222</v>
      </c>
      <c r="G121" s="222">
        <v>221.5</v>
      </c>
      <c r="H121" s="274">
        <f>222-221.5</f>
        <v>0.5</v>
      </c>
      <c r="I121" s="197">
        <v>5000</v>
      </c>
      <c r="J121" s="268">
        <f t="shared" si="8"/>
        <v>2500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45309</v>
      </c>
      <c r="D122" s="196" t="s">
        <v>23</v>
      </c>
      <c r="E122" s="222" t="s">
        <v>28</v>
      </c>
      <c r="F122" s="222">
        <v>219.4</v>
      </c>
      <c r="G122" s="222">
        <v>219</v>
      </c>
      <c r="H122" s="274">
        <v>0.4</v>
      </c>
      <c r="I122" s="197">
        <v>5000</v>
      </c>
      <c r="J122" s="268">
        <f t="shared" si="8"/>
        <v>2000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45310</v>
      </c>
      <c r="D123" s="196" t="s">
        <v>23</v>
      </c>
      <c r="E123" s="222" t="s">
        <v>28</v>
      </c>
      <c r="F123" s="222">
        <v>220.4</v>
      </c>
      <c r="G123" s="222">
        <v>220</v>
      </c>
      <c r="H123" s="274">
        <v>0.4</v>
      </c>
      <c r="I123" s="197">
        <v>5000</v>
      </c>
      <c r="J123" s="268">
        <f t="shared" si="8"/>
        <v>2000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45314</v>
      </c>
      <c r="D124" s="196" t="s">
        <v>23</v>
      </c>
      <c r="E124" s="222" t="s">
        <v>28</v>
      </c>
      <c r="F124" s="222">
        <v>221.5</v>
      </c>
      <c r="G124" s="222">
        <v>221</v>
      </c>
      <c r="H124" s="274">
        <v>0.5</v>
      </c>
      <c r="I124" s="197">
        <v>5000</v>
      </c>
      <c r="J124" s="268">
        <f t="shared" si="8"/>
        <v>2500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45315</v>
      </c>
      <c r="D125" s="196" t="s">
        <v>23</v>
      </c>
      <c r="E125" s="196" t="s">
        <v>28</v>
      </c>
      <c r="F125" s="222">
        <v>225</v>
      </c>
      <c r="G125" s="222">
        <v>224.4</v>
      </c>
      <c r="H125" s="222">
        <f>225-224.4</f>
        <v>0.59999999999999432</v>
      </c>
      <c r="I125" s="197">
        <v>5000</v>
      </c>
      <c r="J125" s="268">
        <f t="shared" si="8"/>
        <v>2999.9999999999718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45316</v>
      </c>
      <c r="D126" s="196" t="s">
        <v>23</v>
      </c>
      <c r="E126" s="196" t="s">
        <v>28</v>
      </c>
      <c r="F126" s="222">
        <v>229.8</v>
      </c>
      <c r="G126" s="222">
        <v>228.8</v>
      </c>
      <c r="H126" s="222">
        <f>229.8-228.8</f>
        <v>1</v>
      </c>
      <c r="I126" s="197">
        <v>5000</v>
      </c>
      <c r="J126" s="268">
        <f t="shared" si="8"/>
        <v>5000</v>
      </c>
      <c r="K126" s="185"/>
      <c r="V126" s="183">
        <f t="shared" si="9"/>
        <v>1</v>
      </c>
      <c r="W126" s="183">
        <f t="shared" si="10"/>
        <v>0</v>
      </c>
    </row>
    <row r="127" spans="1:23" x14ac:dyDescent="0.3">
      <c r="A127" s="184"/>
      <c r="B127" s="194">
        <v>17</v>
      </c>
      <c r="C127" s="195">
        <v>45320</v>
      </c>
      <c r="D127" s="196" t="s">
        <v>23</v>
      </c>
      <c r="E127" s="196" t="s">
        <v>28</v>
      </c>
      <c r="F127" s="222">
        <v>227.4</v>
      </c>
      <c r="G127" s="274">
        <v>226.4</v>
      </c>
      <c r="H127" s="274">
        <v>1</v>
      </c>
      <c r="I127" s="197">
        <v>5000</v>
      </c>
      <c r="J127" s="268">
        <f t="shared" si="8"/>
        <v>5000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45321</v>
      </c>
      <c r="D128" s="196" t="s">
        <v>23</v>
      </c>
      <c r="E128" s="196" t="s">
        <v>28</v>
      </c>
      <c r="F128" s="222">
        <v>227.5</v>
      </c>
      <c r="G128" s="222">
        <v>226.9</v>
      </c>
      <c r="H128" s="274">
        <f>227.5-226.9</f>
        <v>0.59999999999999432</v>
      </c>
      <c r="I128" s="197">
        <v>5000</v>
      </c>
      <c r="J128" s="268">
        <f t="shared" si="8"/>
        <v>2999.9999999999718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>
        <v>45322</v>
      </c>
      <c r="D129" s="196" t="s">
        <v>23</v>
      </c>
      <c r="E129" s="196" t="s">
        <v>28</v>
      </c>
      <c r="F129" s="222">
        <v>226.6</v>
      </c>
      <c r="G129" s="222">
        <v>225.6</v>
      </c>
      <c r="H129" s="274">
        <v>1</v>
      </c>
      <c r="I129" s="197">
        <v>5000</v>
      </c>
      <c r="J129" s="268">
        <f t="shared" si="8"/>
        <v>5000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20</v>
      </c>
      <c r="C130" s="195"/>
      <c r="D130" s="196"/>
      <c r="E130" s="196"/>
      <c r="F130" s="222"/>
      <c r="G130" s="222"/>
      <c r="H130" s="274"/>
      <c r="I130" s="197"/>
      <c r="J130" s="268">
        <f t="shared" si="8"/>
        <v>0</v>
      </c>
      <c r="K130" s="185"/>
      <c r="V130" s="183">
        <f t="shared" si="9"/>
        <v>0</v>
      </c>
      <c r="W130" s="183">
        <f t="shared" si="10"/>
        <v>0</v>
      </c>
    </row>
    <row r="131" spans="1:23" hidden="1" x14ac:dyDescent="0.3">
      <c r="A131" s="184"/>
      <c r="B131" s="194">
        <v>21</v>
      </c>
      <c r="C131" s="195"/>
      <c r="D131" s="196"/>
      <c r="E131" s="222"/>
      <c r="F131" s="222"/>
      <c r="G131" s="222"/>
      <c r="H131" s="274"/>
      <c r="I131" s="197"/>
      <c r="J131" s="268">
        <f t="shared" si="8"/>
        <v>0</v>
      </c>
      <c r="K131" s="185"/>
      <c r="V131" s="183">
        <f t="shared" si="9"/>
        <v>0</v>
      </c>
      <c r="W131" s="183">
        <f t="shared" si="10"/>
        <v>0</v>
      </c>
    </row>
    <row r="132" spans="1:23" hidden="1" x14ac:dyDescent="0.3">
      <c r="A132" s="184"/>
      <c r="B132" s="194">
        <v>22</v>
      </c>
      <c r="C132" s="195"/>
      <c r="D132" s="196"/>
      <c r="E132" s="222"/>
      <c r="F132" s="222"/>
      <c r="G132" s="222"/>
      <c r="H132" s="274"/>
      <c r="I132" s="197"/>
      <c r="J132" s="268">
        <f t="shared" si="8"/>
        <v>0</v>
      </c>
      <c r="K132" s="185"/>
      <c r="V132" s="183">
        <f>IF($J132&gt;0,1,0)</f>
        <v>0</v>
      </c>
      <c r="W132" s="183">
        <f>IF($J132&lt;0,1,0)</f>
        <v>0</v>
      </c>
    </row>
    <row r="133" spans="1:23" hidden="1" x14ac:dyDescent="0.3">
      <c r="A133" s="184"/>
      <c r="B133" s="194">
        <v>23</v>
      </c>
      <c r="C133" s="195"/>
      <c r="D133" s="196"/>
      <c r="E133" s="222"/>
      <c r="F133" s="222"/>
      <c r="G133" s="222"/>
      <c r="H133" s="222"/>
      <c r="I133" s="197"/>
      <c r="J133" s="268">
        <f>I133*H133</f>
        <v>0</v>
      </c>
      <c r="K133" s="185"/>
      <c r="V133" s="183">
        <f>IF($J133&gt;0,1,0)</f>
        <v>0</v>
      </c>
      <c r="W133" s="183">
        <f>IF($J133&lt;0,1,0)</f>
        <v>0</v>
      </c>
    </row>
    <row r="134" spans="1:23" ht="15" thickBot="1" x14ac:dyDescent="0.35">
      <c r="A134" s="184"/>
      <c r="B134" s="194">
        <v>24</v>
      </c>
      <c r="C134" s="220"/>
      <c r="D134" s="221"/>
      <c r="E134" s="221"/>
      <c r="F134" s="222"/>
      <c r="G134" s="222"/>
      <c r="H134" s="222"/>
      <c r="I134" s="211"/>
      <c r="J134" s="272">
        <f>I134*H134</f>
        <v>0</v>
      </c>
      <c r="K134" s="185"/>
      <c r="V134" s="183">
        <f>IF($J134&gt;0,1,0)</f>
        <v>0</v>
      </c>
      <c r="W134" s="183">
        <f>IF($J134&lt;0,1,0)</f>
        <v>0</v>
      </c>
    </row>
    <row r="135" spans="1:23" ht="24" thickBot="1" x14ac:dyDescent="0.5">
      <c r="A135" s="184"/>
      <c r="B135" s="316" t="s">
        <v>879</v>
      </c>
      <c r="C135" s="317"/>
      <c r="D135" s="317"/>
      <c r="E135" s="317"/>
      <c r="F135" s="317"/>
      <c r="G135" s="317"/>
      <c r="H135" s="318"/>
      <c r="I135" s="212" t="s">
        <v>880</v>
      </c>
      <c r="J135" s="213">
        <f>SUM(J111:J134)</f>
        <v>74250.000000000058</v>
      </c>
      <c r="K135" s="185"/>
      <c r="V135" s="183">
        <f>SUM(V111:V134)</f>
        <v>17</v>
      </c>
      <c r="W135" s="183">
        <f>SUM(W111:W134)</f>
        <v>2</v>
      </c>
    </row>
    <row r="136" spans="1:23" ht="30" customHeight="1" thickBot="1" x14ac:dyDescent="0.35">
      <c r="A136" s="205"/>
      <c r="B136" s="206"/>
      <c r="C136" s="206"/>
      <c r="D136" s="206"/>
      <c r="E136" s="206"/>
      <c r="F136" s="206"/>
      <c r="G136" s="206"/>
      <c r="H136" s="261"/>
      <c r="I136" s="206"/>
      <c r="J136" s="261"/>
      <c r="K136" s="207"/>
      <c r="L136" s="183" t="s">
        <v>926</v>
      </c>
    </row>
    <row r="137" spans="1:23" ht="15" thickBot="1" x14ac:dyDescent="0.35"/>
    <row r="138" spans="1:23" ht="30" customHeight="1" thickBot="1" x14ac:dyDescent="0.35">
      <c r="A138" s="180"/>
      <c r="B138" s="181"/>
      <c r="C138" s="181"/>
      <c r="D138" s="181"/>
      <c r="E138" s="181"/>
      <c r="F138" s="181"/>
      <c r="G138" s="181"/>
      <c r="H138" s="259"/>
      <c r="I138" s="181"/>
      <c r="J138" s="259"/>
      <c r="K138" s="182"/>
    </row>
    <row r="139" spans="1:23" ht="25.2" thickBot="1" x14ac:dyDescent="0.35">
      <c r="A139" s="184" t="s">
        <v>0</v>
      </c>
      <c r="B139" s="307" t="s">
        <v>873</v>
      </c>
      <c r="C139" s="308"/>
      <c r="D139" s="308"/>
      <c r="E139" s="308"/>
      <c r="F139" s="308"/>
      <c r="G139" s="308"/>
      <c r="H139" s="308"/>
      <c r="I139" s="308"/>
      <c r="J139" s="309"/>
      <c r="K139" s="185"/>
    </row>
    <row r="140" spans="1:23" ht="16.2" thickBot="1" x14ac:dyDescent="0.35">
      <c r="A140" s="184"/>
      <c r="B140" s="310">
        <v>45292</v>
      </c>
      <c r="C140" s="311"/>
      <c r="D140" s="311"/>
      <c r="E140" s="311"/>
      <c r="F140" s="311"/>
      <c r="G140" s="311"/>
      <c r="H140" s="311"/>
      <c r="I140" s="311"/>
      <c r="J140" s="312"/>
      <c r="K140" s="185"/>
    </row>
    <row r="141" spans="1:23" ht="16.2" thickBot="1" x14ac:dyDescent="0.35">
      <c r="A141" s="184"/>
      <c r="B141" s="313" t="s">
        <v>905</v>
      </c>
      <c r="C141" s="314"/>
      <c r="D141" s="314"/>
      <c r="E141" s="314"/>
      <c r="F141" s="314"/>
      <c r="G141" s="314"/>
      <c r="H141" s="314"/>
      <c r="I141" s="314"/>
      <c r="J141" s="315"/>
      <c r="K141" s="185"/>
    </row>
    <row r="142" spans="1:23" ht="15" thickBot="1" x14ac:dyDescent="0.35">
      <c r="A142" s="208"/>
      <c r="B142" s="186" t="s">
        <v>876</v>
      </c>
      <c r="C142" s="187" t="s">
        <v>1</v>
      </c>
      <c r="D142" s="188" t="s">
        <v>2</v>
      </c>
      <c r="E142" s="188" t="s">
        <v>3</v>
      </c>
      <c r="F142" s="189" t="s">
        <v>4</v>
      </c>
      <c r="G142" s="189" t="s">
        <v>5</v>
      </c>
      <c r="H142" s="260" t="s">
        <v>720</v>
      </c>
      <c r="I142" s="189" t="s">
        <v>6</v>
      </c>
      <c r="J142" s="266" t="s">
        <v>7</v>
      </c>
      <c r="K142" s="209"/>
      <c r="L142" s="198"/>
      <c r="V142" s="183" t="s">
        <v>254</v>
      </c>
      <c r="W142" s="183" t="s">
        <v>255</v>
      </c>
    </row>
    <row r="143" spans="1:23" x14ac:dyDescent="0.3">
      <c r="A143" s="184"/>
      <c r="B143" s="214">
        <v>1</v>
      </c>
      <c r="C143" s="215">
        <v>45293</v>
      </c>
      <c r="D143" s="216" t="s">
        <v>16</v>
      </c>
      <c r="E143" s="256" t="s">
        <v>915</v>
      </c>
      <c r="F143" s="256">
        <v>200</v>
      </c>
      <c r="G143" s="256">
        <v>217</v>
      </c>
      <c r="H143" s="256">
        <v>17</v>
      </c>
      <c r="I143" s="218">
        <v>100</v>
      </c>
      <c r="J143" s="273">
        <f>I143*H143</f>
        <v>1700</v>
      </c>
      <c r="K143" s="185"/>
      <c r="V143" s="183">
        <f>IF($J143&gt;0,1,0)</f>
        <v>1</v>
      </c>
      <c r="W143" s="183">
        <f>IF($J143&lt;0,1,0)</f>
        <v>0</v>
      </c>
    </row>
    <row r="144" spans="1:23" x14ac:dyDescent="0.3">
      <c r="A144" s="184"/>
      <c r="B144" s="194">
        <v>2</v>
      </c>
      <c r="C144" s="195">
        <v>45294</v>
      </c>
      <c r="D144" s="196" t="s">
        <v>16</v>
      </c>
      <c r="E144" s="222" t="s">
        <v>924</v>
      </c>
      <c r="F144" s="222">
        <v>220</v>
      </c>
      <c r="G144" s="222">
        <v>240</v>
      </c>
      <c r="H144" s="222">
        <v>20</v>
      </c>
      <c r="I144" s="218">
        <v>100</v>
      </c>
      <c r="J144" s="268">
        <f t="shared" ref="J144:J163" si="11">I144*H144</f>
        <v>2000</v>
      </c>
      <c r="K144" s="185"/>
      <c r="V144" s="183">
        <f t="shared" ref="V144:V165" si="12">IF($J144&gt;0,1,0)</f>
        <v>1</v>
      </c>
      <c r="W144" s="183">
        <f t="shared" ref="W144:W165" si="13">IF($J144&lt;0,1,0)</f>
        <v>0</v>
      </c>
    </row>
    <row r="145" spans="1:23" x14ac:dyDescent="0.3">
      <c r="A145" s="184"/>
      <c r="B145" s="194">
        <v>3</v>
      </c>
      <c r="C145" s="195">
        <v>45295</v>
      </c>
      <c r="D145" s="196" t="s">
        <v>16</v>
      </c>
      <c r="E145" s="222" t="s">
        <v>908</v>
      </c>
      <c r="F145" s="222">
        <v>200</v>
      </c>
      <c r="G145" s="222">
        <v>220</v>
      </c>
      <c r="H145" s="222">
        <v>20</v>
      </c>
      <c r="I145" s="218">
        <v>100</v>
      </c>
      <c r="J145" s="268">
        <f t="shared" si="11"/>
        <v>2000</v>
      </c>
      <c r="K145" s="185"/>
      <c r="M145" s="183" t="s">
        <v>870</v>
      </c>
      <c r="V145" s="183">
        <f t="shared" si="12"/>
        <v>1</v>
      </c>
      <c r="W145" s="183">
        <f t="shared" si="13"/>
        <v>0</v>
      </c>
    </row>
    <row r="146" spans="1:23" x14ac:dyDescent="0.3">
      <c r="A146" s="184"/>
      <c r="B146" s="194">
        <v>4</v>
      </c>
      <c r="C146" s="195">
        <v>45296</v>
      </c>
      <c r="D146" s="196" t="s">
        <v>16</v>
      </c>
      <c r="E146" s="222" t="s">
        <v>908</v>
      </c>
      <c r="F146" s="222">
        <v>250</v>
      </c>
      <c r="G146" s="222">
        <v>264</v>
      </c>
      <c r="H146" s="222">
        <v>14</v>
      </c>
      <c r="I146" s="218">
        <v>100</v>
      </c>
      <c r="J146" s="268">
        <f t="shared" si="11"/>
        <v>1400</v>
      </c>
      <c r="K146" s="185"/>
      <c r="V146" s="183">
        <f t="shared" si="12"/>
        <v>1</v>
      </c>
      <c r="W146" s="183">
        <f t="shared" si="13"/>
        <v>0</v>
      </c>
    </row>
    <row r="147" spans="1:23" x14ac:dyDescent="0.3">
      <c r="A147" s="184"/>
      <c r="B147" s="194">
        <v>5</v>
      </c>
      <c r="C147" s="195">
        <v>45299</v>
      </c>
      <c r="D147" s="196" t="s">
        <v>16</v>
      </c>
      <c r="E147" s="222" t="s">
        <v>908</v>
      </c>
      <c r="F147" s="222">
        <v>220</v>
      </c>
      <c r="G147" s="222">
        <v>260</v>
      </c>
      <c r="H147" s="222">
        <v>40</v>
      </c>
      <c r="I147" s="218">
        <v>100</v>
      </c>
      <c r="J147" s="268">
        <f t="shared" si="11"/>
        <v>4000</v>
      </c>
      <c r="K147" s="185"/>
      <c r="V147" s="183">
        <f t="shared" si="12"/>
        <v>1</v>
      </c>
      <c r="W147" s="183">
        <f t="shared" si="13"/>
        <v>0</v>
      </c>
    </row>
    <row r="148" spans="1:23" x14ac:dyDescent="0.3">
      <c r="A148" s="184"/>
      <c r="B148" s="194">
        <v>6</v>
      </c>
      <c r="C148" s="195">
        <v>45300</v>
      </c>
      <c r="D148" s="196" t="s">
        <v>16</v>
      </c>
      <c r="E148" s="222" t="s">
        <v>915</v>
      </c>
      <c r="F148" s="222">
        <v>195</v>
      </c>
      <c r="G148" s="222">
        <v>175</v>
      </c>
      <c r="H148" s="222">
        <v>-20</v>
      </c>
      <c r="I148" s="218">
        <v>100</v>
      </c>
      <c r="J148" s="268">
        <f t="shared" si="11"/>
        <v>-2000</v>
      </c>
      <c r="K148" s="185"/>
      <c r="V148" s="183">
        <f t="shared" si="12"/>
        <v>0</v>
      </c>
      <c r="W148" s="183">
        <f t="shared" si="13"/>
        <v>1</v>
      </c>
    </row>
    <row r="149" spans="1:23" x14ac:dyDescent="0.3">
      <c r="A149" s="184"/>
      <c r="B149" s="194">
        <v>7</v>
      </c>
      <c r="C149" s="195">
        <v>45301</v>
      </c>
      <c r="D149" s="196" t="s">
        <v>16</v>
      </c>
      <c r="E149" s="222" t="s">
        <v>915</v>
      </c>
      <c r="F149" s="222">
        <v>200</v>
      </c>
      <c r="G149" s="222">
        <v>212</v>
      </c>
      <c r="H149" s="274">
        <v>12</v>
      </c>
      <c r="I149" s="218">
        <v>100</v>
      </c>
      <c r="J149" s="268">
        <f t="shared" si="11"/>
        <v>1200</v>
      </c>
      <c r="K149" s="185"/>
      <c r="M149" s="183" t="s">
        <v>942</v>
      </c>
      <c r="V149" s="183">
        <f t="shared" si="12"/>
        <v>1</v>
      </c>
      <c r="W149" s="183">
        <f t="shared" si="13"/>
        <v>0</v>
      </c>
    </row>
    <row r="150" spans="1:23" x14ac:dyDescent="0.3">
      <c r="A150" s="184"/>
      <c r="B150" s="194">
        <v>8</v>
      </c>
      <c r="C150" s="195">
        <v>45302</v>
      </c>
      <c r="D150" s="196" t="s">
        <v>16</v>
      </c>
      <c r="E150" s="222" t="s">
        <v>908</v>
      </c>
      <c r="F150" s="222">
        <v>220</v>
      </c>
      <c r="G150" s="222">
        <v>240</v>
      </c>
      <c r="H150" s="222">
        <v>20</v>
      </c>
      <c r="I150" s="218">
        <v>100</v>
      </c>
      <c r="J150" s="268">
        <f t="shared" si="11"/>
        <v>2000</v>
      </c>
      <c r="K150" s="185"/>
      <c r="V150" s="183">
        <f t="shared" si="12"/>
        <v>1</v>
      </c>
      <c r="W150" s="183">
        <f t="shared" si="13"/>
        <v>0</v>
      </c>
    </row>
    <row r="151" spans="1:23" x14ac:dyDescent="0.3">
      <c r="A151" s="184"/>
      <c r="B151" s="194">
        <v>9</v>
      </c>
      <c r="C151" s="195">
        <v>45303</v>
      </c>
      <c r="D151" s="196" t="s">
        <v>16</v>
      </c>
      <c r="E151" s="222" t="s">
        <v>907</v>
      </c>
      <c r="F151" s="222">
        <v>230</v>
      </c>
      <c r="G151" s="222">
        <v>246</v>
      </c>
      <c r="H151" s="222">
        <f>246-230</f>
        <v>16</v>
      </c>
      <c r="I151" s="218">
        <v>100</v>
      </c>
      <c r="J151" s="268">
        <f t="shared" si="11"/>
        <v>1600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10</v>
      </c>
      <c r="C152" s="195">
        <v>45307</v>
      </c>
      <c r="D152" s="196" t="s">
        <v>16</v>
      </c>
      <c r="E152" s="222" t="s">
        <v>908</v>
      </c>
      <c r="F152" s="222">
        <v>200</v>
      </c>
      <c r="G152" s="222">
        <v>208</v>
      </c>
      <c r="H152" s="222">
        <v>8</v>
      </c>
      <c r="I152" s="218">
        <v>100</v>
      </c>
      <c r="J152" s="268">
        <f t="shared" si="11"/>
        <v>800</v>
      </c>
      <c r="K152" s="185"/>
      <c r="V152" s="183">
        <f t="shared" si="12"/>
        <v>1</v>
      </c>
      <c r="W152" s="183">
        <f t="shared" si="13"/>
        <v>0</v>
      </c>
    </row>
    <row r="153" spans="1:23" x14ac:dyDescent="0.3">
      <c r="A153" s="184"/>
      <c r="B153" s="194">
        <v>11</v>
      </c>
      <c r="C153" s="195">
        <v>45308</v>
      </c>
      <c r="D153" s="196" t="s">
        <v>16</v>
      </c>
      <c r="E153" s="222" t="s">
        <v>924</v>
      </c>
      <c r="F153" s="222">
        <v>225</v>
      </c>
      <c r="G153" s="222">
        <v>255</v>
      </c>
      <c r="H153" s="274">
        <f>255-225</f>
        <v>30</v>
      </c>
      <c r="I153" s="218">
        <v>100</v>
      </c>
      <c r="J153" s="268">
        <f t="shared" si="11"/>
        <v>3000</v>
      </c>
      <c r="K153" s="185"/>
      <c r="V153" s="183">
        <f t="shared" si="12"/>
        <v>1</v>
      </c>
      <c r="W153" s="183">
        <f t="shared" si="13"/>
        <v>0</v>
      </c>
    </row>
    <row r="154" spans="1:23" x14ac:dyDescent="0.3">
      <c r="A154" s="184"/>
      <c r="B154" s="194">
        <v>12</v>
      </c>
      <c r="C154" s="195">
        <v>45309</v>
      </c>
      <c r="D154" s="196" t="s">
        <v>16</v>
      </c>
      <c r="E154" s="222" t="s">
        <v>916</v>
      </c>
      <c r="F154" s="222">
        <v>210</v>
      </c>
      <c r="G154" s="222">
        <v>226</v>
      </c>
      <c r="H154" s="274">
        <f>226-210</f>
        <v>16</v>
      </c>
      <c r="I154" s="218">
        <v>100</v>
      </c>
      <c r="J154" s="268">
        <f t="shared" si="11"/>
        <v>1600</v>
      </c>
      <c r="K154" s="185"/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13</v>
      </c>
      <c r="C155" s="195">
        <v>45310</v>
      </c>
      <c r="D155" s="196" t="s">
        <v>16</v>
      </c>
      <c r="E155" s="222" t="s">
        <v>915</v>
      </c>
      <c r="F155" s="222">
        <v>200</v>
      </c>
      <c r="G155" s="222">
        <v>227</v>
      </c>
      <c r="H155" s="274">
        <v>27</v>
      </c>
      <c r="I155" s="218">
        <v>100</v>
      </c>
      <c r="J155" s="268">
        <f t="shared" si="11"/>
        <v>2700</v>
      </c>
      <c r="K155" s="185"/>
      <c r="V155" s="183">
        <f t="shared" si="12"/>
        <v>1</v>
      </c>
      <c r="W155" s="183">
        <f t="shared" si="13"/>
        <v>0</v>
      </c>
    </row>
    <row r="156" spans="1:23" x14ac:dyDescent="0.3">
      <c r="A156" s="184"/>
      <c r="B156" s="194">
        <v>14</v>
      </c>
      <c r="C156" s="195">
        <v>45314</v>
      </c>
      <c r="D156" s="196" t="s">
        <v>16</v>
      </c>
      <c r="E156" s="222" t="s">
        <v>908</v>
      </c>
      <c r="F156" s="222">
        <v>210</v>
      </c>
      <c r="G156" s="222">
        <v>240</v>
      </c>
      <c r="H156" s="274">
        <v>30</v>
      </c>
      <c r="I156" s="218">
        <v>100</v>
      </c>
      <c r="J156" s="268">
        <f t="shared" si="11"/>
        <v>3000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15</v>
      </c>
      <c r="C157" s="195">
        <v>45315</v>
      </c>
      <c r="D157" s="196" t="s">
        <v>16</v>
      </c>
      <c r="E157" s="196" t="s">
        <v>908</v>
      </c>
      <c r="F157" s="222">
        <v>215</v>
      </c>
      <c r="G157" s="222">
        <v>231</v>
      </c>
      <c r="H157" s="222">
        <f>231-215</f>
        <v>16</v>
      </c>
      <c r="I157" s="218">
        <v>100</v>
      </c>
      <c r="J157" s="268">
        <f t="shared" si="11"/>
        <v>1600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16</v>
      </c>
      <c r="C158" s="195">
        <v>45316</v>
      </c>
      <c r="D158" s="196" t="s">
        <v>16</v>
      </c>
      <c r="E158" s="196" t="s">
        <v>910</v>
      </c>
      <c r="F158" s="222">
        <v>240</v>
      </c>
      <c r="G158" s="274">
        <v>257</v>
      </c>
      <c r="H158" s="274">
        <v>17</v>
      </c>
      <c r="I158" s="218">
        <v>100</v>
      </c>
      <c r="J158" s="268">
        <f t="shared" si="11"/>
        <v>1700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17</v>
      </c>
      <c r="C159" s="195">
        <v>45320</v>
      </c>
      <c r="D159" s="196" t="s">
        <v>16</v>
      </c>
      <c r="E159" s="196" t="s">
        <v>913</v>
      </c>
      <c r="F159" s="222">
        <v>200</v>
      </c>
      <c r="G159" s="222">
        <v>229</v>
      </c>
      <c r="H159" s="274">
        <v>29</v>
      </c>
      <c r="I159" s="218">
        <v>100</v>
      </c>
      <c r="J159" s="268">
        <f t="shared" si="11"/>
        <v>2900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18</v>
      </c>
      <c r="C160" s="195">
        <v>45321</v>
      </c>
      <c r="D160" s="196" t="s">
        <v>16</v>
      </c>
      <c r="E160" s="196" t="s">
        <v>908</v>
      </c>
      <c r="F160" s="222">
        <v>245</v>
      </c>
      <c r="G160" s="222">
        <v>285</v>
      </c>
      <c r="H160" s="274">
        <v>40</v>
      </c>
      <c r="I160" s="218">
        <v>100</v>
      </c>
      <c r="J160" s="268">
        <f t="shared" si="11"/>
        <v>4000</v>
      </c>
      <c r="K160" s="185"/>
      <c r="V160" s="183">
        <f t="shared" si="12"/>
        <v>1</v>
      </c>
      <c r="W160" s="183">
        <f t="shared" si="13"/>
        <v>0</v>
      </c>
    </row>
    <row r="161" spans="1:23" x14ac:dyDescent="0.3">
      <c r="A161" s="184"/>
      <c r="B161" s="194">
        <v>19</v>
      </c>
      <c r="C161" s="195">
        <v>45322</v>
      </c>
      <c r="D161" s="196" t="s">
        <v>16</v>
      </c>
      <c r="E161" s="196" t="s">
        <v>913</v>
      </c>
      <c r="F161" s="222">
        <v>240</v>
      </c>
      <c r="G161" s="222">
        <v>260</v>
      </c>
      <c r="H161" s="274">
        <v>20</v>
      </c>
      <c r="I161" s="218">
        <v>100</v>
      </c>
      <c r="J161" s="268">
        <f t="shared" si="11"/>
        <v>2000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20</v>
      </c>
      <c r="C162" s="195"/>
      <c r="D162" s="196"/>
      <c r="E162" s="222"/>
      <c r="F162" s="222"/>
      <c r="G162" s="222"/>
      <c r="H162" s="274"/>
      <c r="I162" s="218"/>
      <c r="J162" s="268">
        <f t="shared" si="11"/>
        <v>0</v>
      </c>
      <c r="K162" s="185"/>
      <c r="V162" s="183">
        <f t="shared" si="12"/>
        <v>0</v>
      </c>
      <c r="W162" s="183">
        <f t="shared" si="13"/>
        <v>0</v>
      </c>
    </row>
    <row r="163" spans="1:23" hidden="1" x14ac:dyDescent="0.3">
      <c r="A163" s="184"/>
      <c r="B163" s="194">
        <v>21</v>
      </c>
      <c r="C163" s="195"/>
      <c r="D163" s="196"/>
      <c r="E163" s="222"/>
      <c r="F163" s="222"/>
      <c r="G163" s="222"/>
      <c r="H163" s="274"/>
      <c r="I163" s="218"/>
      <c r="J163" s="268">
        <f t="shared" si="11"/>
        <v>0</v>
      </c>
      <c r="K163" s="185"/>
      <c r="V163" s="183">
        <f t="shared" si="12"/>
        <v>0</v>
      </c>
      <c r="W163" s="183">
        <f t="shared" si="13"/>
        <v>0</v>
      </c>
    </row>
    <row r="164" spans="1:23" hidden="1" x14ac:dyDescent="0.3">
      <c r="A164" s="184"/>
      <c r="B164" s="194">
        <v>22</v>
      </c>
      <c r="C164" s="195"/>
      <c r="D164" s="196"/>
      <c r="E164" s="222"/>
      <c r="F164" s="222"/>
      <c r="G164" s="222"/>
      <c r="H164" s="222"/>
      <c r="I164" s="218"/>
      <c r="J164" s="268">
        <f>I164*H164</f>
        <v>0</v>
      </c>
      <c r="K164" s="185"/>
      <c r="V164" s="183">
        <f t="shared" si="12"/>
        <v>0</v>
      </c>
      <c r="W164" s="183">
        <f t="shared" si="13"/>
        <v>0</v>
      </c>
    </row>
    <row r="165" spans="1:23" ht="15" thickBot="1" x14ac:dyDescent="0.35">
      <c r="A165" s="184"/>
      <c r="B165" s="199">
        <v>23</v>
      </c>
      <c r="C165" s="200"/>
      <c r="D165" s="201"/>
      <c r="E165" s="201"/>
      <c r="F165" s="284"/>
      <c r="G165" s="284"/>
      <c r="H165" s="284"/>
      <c r="I165" s="285"/>
      <c r="J165" s="269">
        <f>I165*H165</f>
        <v>0</v>
      </c>
      <c r="K165" s="185"/>
      <c r="V165" s="183">
        <f t="shared" si="12"/>
        <v>0</v>
      </c>
      <c r="W165" s="183">
        <f t="shared" si="13"/>
        <v>0</v>
      </c>
    </row>
    <row r="166" spans="1:23" ht="24" thickBot="1" x14ac:dyDescent="0.5">
      <c r="A166" s="184"/>
      <c r="B166" s="304" t="s">
        <v>879</v>
      </c>
      <c r="C166" s="305"/>
      <c r="D166" s="305"/>
      <c r="E166" s="305"/>
      <c r="F166" s="305"/>
      <c r="G166" s="305"/>
      <c r="H166" s="306"/>
      <c r="I166" s="203" t="s">
        <v>880</v>
      </c>
      <c r="J166" s="204">
        <f>SUM(J143:J165)</f>
        <v>37200</v>
      </c>
      <c r="K166" s="185"/>
      <c r="V166" s="183">
        <f>SUM(V143:V165)</f>
        <v>18</v>
      </c>
      <c r="W166" s="183">
        <f>SUM(W143:W165)</f>
        <v>1</v>
      </c>
    </row>
    <row r="167" spans="1:23" ht="30" customHeight="1" thickBot="1" x14ac:dyDescent="0.35">
      <c r="A167" s="205"/>
      <c r="B167" s="286"/>
      <c r="C167" s="286"/>
      <c r="D167" s="286"/>
      <c r="E167" s="286"/>
      <c r="F167" s="286"/>
      <c r="G167" s="286"/>
      <c r="H167" s="287"/>
      <c r="I167" s="286"/>
      <c r="J167" s="287"/>
      <c r="K167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40:J140"/>
    <mergeCell ref="B141:J141"/>
    <mergeCell ref="B166:H166"/>
    <mergeCell ref="B103:H103"/>
    <mergeCell ref="B107:J107"/>
    <mergeCell ref="B108:J108"/>
    <mergeCell ref="B109:J109"/>
    <mergeCell ref="B135:H135"/>
    <mergeCell ref="B139:J139"/>
  </mergeCells>
  <hyperlinks>
    <hyperlink ref="B52" r:id="rId1" xr:uid="{00000000-0004-0000-8500-000000000000}"/>
    <hyperlink ref="B103" r:id="rId2" xr:uid="{00000000-0004-0000-8500-000001000000}"/>
    <hyperlink ref="M4:M5" location="'DEC 2023'!A1" display="BULLION" xr:uid="{00000000-0004-0000-8500-000002000000}"/>
    <hyperlink ref="B135" r:id="rId3" xr:uid="{00000000-0004-0000-8500-000003000000}"/>
    <hyperlink ref="M8:M9" location="'DEC 2023'!A86" display="BASE METAL" xr:uid="{00000000-0004-0000-8500-000004000000}"/>
    <hyperlink ref="M1" location="MASTER!A1" display="Back" xr:uid="{00000000-0004-0000-8500-000005000000}"/>
    <hyperlink ref="M6:M7" location="'DEC 2023'!A55" display="ENERGY" xr:uid="{00000000-0004-0000-8500-000006000000}"/>
    <hyperlink ref="B166" r:id="rId4" xr:uid="{00000000-0004-0000-8500-000007000000}"/>
    <hyperlink ref="M10:M11" location="'DEC 2023'!A117" display="CRUDEOIL OPTION" xr:uid="{00000000-0004-0000-8500-000008000000}"/>
  </hyperlinks>
  <pageMargins left="0" right="0" top="0" bottom="0" header="0" footer="0"/>
  <pageSetup paperSize="9" orientation="portrait" r:id="rId5"/>
  <drawing r:id="rId6"/>
  <legacyDrawing r:id="rId7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X167"/>
  <sheetViews>
    <sheetView topLeftCell="A70" zoomScaleNormal="100" workbookViewId="0">
      <selection activeCell="M21" sqref="M2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45323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34</v>
      </c>
      <c r="P4" s="369">
        <f>W52</f>
        <v>7</v>
      </c>
      <c r="Q4" s="349">
        <f>N4-O4-P4</f>
        <v>1</v>
      </c>
      <c r="R4" s="343">
        <f>O4/N4</f>
        <v>0.80952380952380953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45323</v>
      </c>
      <c r="D6" s="192" t="s">
        <v>23</v>
      </c>
      <c r="E6" s="192" t="s">
        <v>24</v>
      </c>
      <c r="F6" s="193">
        <v>62620</v>
      </c>
      <c r="G6" s="193">
        <v>62420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COUNT(C60:C102)</f>
        <v>38</v>
      </c>
      <c r="O6" s="348">
        <f>V103</f>
        <v>29</v>
      </c>
      <c r="P6" s="348">
        <f>W103</f>
        <v>9</v>
      </c>
      <c r="Q6" s="349">
        <v>0</v>
      </c>
      <c r="R6" s="345">
        <f t="shared" ref="R6" si="0">O6/N6</f>
        <v>0.76315789473684215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45323</v>
      </c>
      <c r="D7" s="196" t="s">
        <v>23</v>
      </c>
      <c r="E7" s="196" t="s">
        <v>22</v>
      </c>
      <c r="F7" s="197">
        <v>71600</v>
      </c>
      <c r="G7" s="197">
        <v>71000</v>
      </c>
      <c r="H7" s="196">
        <v>600</v>
      </c>
      <c r="I7" s="197">
        <v>30</v>
      </c>
      <c r="J7" s="268">
        <f t="shared" ref="J7:J51" si="1">H7*I7</f>
        <v>18000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45324</v>
      </c>
      <c r="D8" s="196" t="s">
        <v>23</v>
      </c>
      <c r="E8" s="196" t="s">
        <v>24</v>
      </c>
      <c r="F8" s="197">
        <v>62920</v>
      </c>
      <c r="G8" s="197">
        <v>62865</v>
      </c>
      <c r="H8" s="196">
        <f>62920-62865</f>
        <v>55</v>
      </c>
      <c r="I8" s="197">
        <v>100</v>
      </c>
      <c r="J8" s="268">
        <f t="shared" si="1"/>
        <v>5500</v>
      </c>
      <c r="K8" s="185"/>
      <c r="M8" s="362" t="s">
        <v>877</v>
      </c>
      <c r="N8" s="347">
        <f>COUNT(C111:C134)</f>
        <v>19</v>
      </c>
      <c r="O8" s="348">
        <f>V135</f>
        <v>14</v>
      </c>
      <c r="P8" s="348">
        <f>W135</f>
        <v>5</v>
      </c>
      <c r="Q8" s="349">
        <f>N8-O8-P8</f>
        <v>0</v>
      </c>
      <c r="R8" s="345">
        <f t="shared" ref="R8" si="4">O8/N8</f>
        <v>0.73684210526315785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45324</v>
      </c>
      <c r="D9" s="196" t="s">
        <v>23</v>
      </c>
      <c r="E9" s="196" t="s">
        <v>22</v>
      </c>
      <c r="F9" s="197">
        <v>72300</v>
      </c>
      <c r="G9" s="197">
        <v>72600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45327</v>
      </c>
      <c r="D10" s="196" t="s">
        <v>23</v>
      </c>
      <c r="E10" s="196" t="s">
        <v>24</v>
      </c>
      <c r="F10" s="197">
        <v>62280</v>
      </c>
      <c r="G10" s="197">
        <v>62210</v>
      </c>
      <c r="H10" s="196">
        <f>62280-62210</f>
        <v>70</v>
      </c>
      <c r="I10" s="197">
        <v>100</v>
      </c>
      <c r="J10" s="268">
        <f t="shared" si="1"/>
        <v>7000</v>
      </c>
      <c r="K10" s="185"/>
      <c r="M10" s="364" t="s">
        <v>906</v>
      </c>
      <c r="N10" s="347">
        <f>COUNT(C143:C165)</f>
        <v>19</v>
      </c>
      <c r="O10" s="348">
        <f>V166</f>
        <v>14</v>
      </c>
      <c r="P10" s="348">
        <f>W166</f>
        <v>5</v>
      </c>
      <c r="Q10" s="349">
        <f>N10-O10-P10</f>
        <v>0</v>
      </c>
      <c r="R10" s="345">
        <f>O10/N10</f>
        <v>0.73684210526315785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45327</v>
      </c>
      <c r="D11" s="196" t="s">
        <v>23</v>
      </c>
      <c r="E11" s="196" t="s">
        <v>22</v>
      </c>
      <c r="F11" s="197">
        <v>70800</v>
      </c>
      <c r="G11" s="197">
        <v>70583</v>
      </c>
      <c r="H11" s="196">
        <f>70800-70583</f>
        <v>217</v>
      </c>
      <c r="I11" s="197">
        <v>30</v>
      </c>
      <c r="J11" s="268">
        <f t="shared" si="1"/>
        <v>6510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45328</v>
      </c>
      <c r="D12" s="196" t="s">
        <v>23</v>
      </c>
      <c r="E12" s="196" t="s">
        <v>24</v>
      </c>
      <c r="F12" s="197">
        <v>62350</v>
      </c>
      <c r="G12" s="197">
        <v>62250</v>
      </c>
      <c r="H12" s="196">
        <v>100</v>
      </c>
      <c r="I12" s="197">
        <v>100</v>
      </c>
      <c r="J12" s="268">
        <f t="shared" si="1"/>
        <v>10000</v>
      </c>
      <c r="K12" s="185"/>
      <c r="M12" s="319" t="s">
        <v>300</v>
      </c>
      <c r="N12" s="371">
        <f>SUM(N4:N11)</f>
        <v>118</v>
      </c>
      <c r="O12" s="371">
        <f>SUM(O4:O11)</f>
        <v>91</v>
      </c>
      <c r="P12" s="371">
        <f>SUM(P4:P11)</f>
        <v>26</v>
      </c>
      <c r="Q12" s="371">
        <f>SUM(Q4:Q11)</f>
        <v>1</v>
      </c>
      <c r="R12" s="343">
        <f>O12/N12</f>
        <v>0.77118644067796616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45328</v>
      </c>
      <c r="D13" s="196" t="s">
        <v>23</v>
      </c>
      <c r="E13" s="196" t="s">
        <v>22</v>
      </c>
      <c r="F13" s="197">
        <v>70500</v>
      </c>
      <c r="G13" s="197">
        <v>70300</v>
      </c>
      <c r="H13" s="196">
        <v>200</v>
      </c>
      <c r="I13" s="197">
        <v>30</v>
      </c>
      <c r="J13" s="268">
        <f t="shared" si="1"/>
        <v>6000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45329</v>
      </c>
      <c r="D14" s="196" t="s">
        <v>23</v>
      </c>
      <c r="E14" s="196" t="s">
        <v>24</v>
      </c>
      <c r="F14" s="197">
        <v>62500</v>
      </c>
      <c r="G14" s="197">
        <v>62440</v>
      </c>
      <c r="H14" s="196">
        <f>62500-62440</f>
        <v>60</v>
      </c>
      <c r="I14" s="197">
        <v>100</v>
      </c>
      <c r="J14" s="268">
        <f t="shared" si="1"/>
        <v>6000</v>
      </c>
      <c r="K14" s="185"/>
      <c r="M14" s="323" t="s">
        <v>878</v>
      </c>
      <c r="N14" s="324"/>
      <c r="O14" s="325"/>
      <c r="P14" s="332">
        <f>R12</f>
        <v>0.77118644067796616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45329</v>
      </c>
      <c r="D15" s="196" t="s">
        <v>23</v>
      </c>
      <c r="E15" s="196" t="s">
        <v>22</v>
      </c>
      <c r="F15" s="197">
        <v>70200</v>
      </c>
      <c r="G15" s="197">
        <v>70500</v>
      </c>
      <c r="H15" s="196">
        <v>-300</v>
      </c>
      <c r="I15" s="197">
        <v>30</v>
      </c>
      <c r="J15" s="268">
        <f t="shared" si="1"/>
        <v>-9000</v>
      </c>
      <c r="K15" s="185"/>
      <c r="M15" s="326"/>
      <c r="N15" s="327"/>
      <c r="O15" s="328"/>
      <c r="P15" s="335"/>
      <c r="Q15" s="336"/>
      <c r="R15" s="337"/>
      <c r="V15" s="183">
        <f t="shared" si="2"/>
        <v>0</v>
      </c>
      <c r="W15" s="183">
        <f t="shared" si="3"/>
        <v>1</v>
      </c>
    </row>
    <row r="16" spans="1:23" ht="15" thickBot="1" x14ac:dyDescent="0.35">
      <c r="A16" s="184"/>
      <c r="B16" s="194">
        <v>11</v>
      </c>
      <c r="C16" s="195">
        <v>45330</v>
      </c>
      <c r="D16" s="196" t="s">
        <v>23</v>
      </c>
      <c r="E16" s="196" t="s">
        <v>24</v>
      </c>
      <c r="F16" s="197">
        <v>62450</v>
      </c>
      <c r="G16" s="197">
        <v>62250</v>
      </c>
      <c r="H16" s="196">
        <v>200</v>
      </c>
      <c r="I16" s="197">
        <v>100</v>
      </c>
      <c r="J16" s="268">
        <f t="shared" si="1"/>
        <v>20000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45330</v>
      </c>
      <c r="D17" s="196" t="s">
        <v>23</v>
      </c>
      <c r="E17" s="196" t="s">
        <v>22</v>
      </c>
      <c r="F17" s="197">
        <v>70250</v>
      </c>
      <c r="G17" s="197">
        <v>70150</v>
      </c>
      <c r="H17" s="196">
        <v>100</v>
      </c>
      <c r="I17" s="197">
        <v>30</v>
      </c>
      <c r="J17" s="268">
        <f t="shared" si="1"/>
        <v>3000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45331</v>
      </c>
      <c r="D18" s="196" t="s">
        <v>23</v>
      </c>
      <c r="E18" s="196" t="s">
        <v>24</v>
      </c>
      <c r="F18" s="197">
        <v>62450</v>
      </c>
      <c r="G18" s="197">
        <v>62350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45331</v>
      </c>
      <c r="D19" s="196" t="s">
        <v>23</v>
      </c>
      <c r="E19" s="196" t="s">
        <v>22</v>
      </c>
      <c r="F19" s="197">
        <v>71050</v>
      </c>
      <c r="G19" s="197">
        <v>70850</v>
      </c>
      <c r="H19" s="196">
        <f>71050-70850</f>
        <v>200</v>
      </c>
      <c r="I19" s="197">
        <v>30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45334</v>
      </c>
      <c r="D20" s="196" t="s">
        <v>23</v>
      </c>
      <c r="E20" s="196" t="s">
        <v>24</v>
      </c>
      <c r="F20" s="197">
        <v>62280</v>
      </c>
      <c r="G20" s="197">
        <v>62140</v>
      </c>
      <c r="H20" s="196">
        <f>62280-62140</f>
        <v>140</v>
      </c>
      <c r="I20" s="197">
        <v>100</v>
      </c>
      <c r="J20" s="268">
        <f t="shared" si="1"/>
        <v>14000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45334</v>
      </c>
      <c r="D21" s="196" t="s">
        <v>23</v>
      </c>
      <c r="E21" s="196" t="s">
        <v>22</v>
      </c>
      <c r="F21" s="197">
        <v>71500</v>
      </c>
      <c r="G21" s="197">
        <v>71380</v>
      </c>
      <c r="H21" s="196">
        <f>71500-71380</f>
        <v>120</v>
      </c>
      <c r="I21" s="197">
        <v>30</v>
      </c>
      <c r="J21" s="268">
        <f t="shared" si="1"/>
        <v>3600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45335</v>
      </c>
      <c r="D22" s="196" t="s">
        <v>23</v>
      </c>
      <c r="E22" s="196" t="s">
        <v>24</v>
      </c>
      <c r="F22" s="197">
        <v>62280</v>
      </c>
      <c r="G22" s="197">
        <v>62080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45335</v>
      </c>
      <c r="D23" s="196" t="s">
        <v>23</v>
      </c>
      <c r="E23" s="196" t="s">
        <v>22</v>
      </c>
      <c r="F23" s="197">
        <v>71600</v>
      </c>
      <c r="G23" s="197">
        <v>71000</v>
      </c>
      <c r="H23" s="196"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45336</v>
      </c>
      <c r="D24" s="196" t="s">
        <v>23</v>
      </c>
      <c r="E24" s="196" t="s">
        <v>24</v>
      </c>
      <c r="F24" s="197">
        <v>61380</v>
      </c>
      <c r="G24" s="197">
        <v>61320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45336</v>
      </c>
      <c r="D25" s="196" t="s">
        <v>23</v>
      </c>
      <c r="E25" s="196" t="s">
        <v>22</v>
      </c>
      <c r="F25" s="197">
        <v>69400</v>
      </c>
      <c r="G25" s="197">
        <v>69700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45337</v>
      </c>
      <c r="D26" s="196" t="s">
        <v>23</v>
      </c>
      <c r="E26" s="196" t="s">
        <v>24</v>
      </c>
      <c r="F26" s="197">
        <v>61400</v>
      </c>
      <c r="G26" s="197">
        <v>61400</v>
      </c>
      <c r="H26" s="196">
        <v>0</v>
      </c>
      <c r="I26" s="197">
        <v>100</v>
      </c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45337</v>
      </c>
      <c r="D27" s="196" t="s">
        <v>23</v>
      </c>
      <c r="E27" s="196" t="s">
        <v>22</v>
      </c>
      <c r="F27" s="197">
        <v>71400</v>
      </c>
      <c r="G27" s="197">
        <v>70700</v>
      </c>
      <c r="H27" s="196">
        <v>-300</v>
      </c>
      <c r="I27" s="197">
        <v>30</v>
      </c>
      <c r="J27" s="268">
        <f t="shared" si="1"/>
        <v>-9000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45338</v>
      </c>
      <c r="D28" s="196" t="s">
        <v>23</v>
      </c>
      <c r="E28" s="196" t="s">
        <v>24</v>
      </c>
      <c r="F28" s="197">
        <v>61700</v>
      </c>
      <c r="G28" s="197">
        <v>61500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45338</v>
      </c>
      <c r="D29" s="196" t="s">
        <v>23</v>
      </c>
      <c r="E29" s="196" t="s">
        <v>22</v>
      </c>
      <c r="F29" s="197">
        <v>71300</v>
      </c>
      <c r="G29" s="197">
        <v>70850</v>
      </c>
      <c r="H29" s="196">
        <f>71300-70850</f>
        <v>450</v>
      </c>
      <c r="I29" s="197">
        <v>30</v>
      </c>
      <c r="J29" s="268">
        <f t="shared" si="1"/>
        <v>13500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45341</v>
      </c>
      <c r="D30" s="196" t="s">
        <v>23</v>
      </c>
      <c r="E30" s="196" t="s">
        <v>24</v>
      </c>
      <c r="F30" s="197">
        <v>62060</v>
      </c>
      <c r="G30" s="197">
        <v>61960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45341</v>
      </c>
      <c r="D31" s="196" t="s">
        <v>23</v>
      </c>
      <c r="E31" s="196" t="s">
        <v>22</v>
      </c>
      <c r="F31" s="197">
        <v>71500</v>
      </c>
      <c r="G31" s="197">
        <v>71200</v>
      </c>
      <c r="H31" s="196">
        <v>300</v>
      </c>
      <c r="I31" s="197">
        <v>30</v>
      </c>
      <c r="J31" s="268">
        <f t="shared" si="1"/>
        <v>9000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45342</v>
      </c>
      <c r="D32" s="196" t="s">
        <v>23</v>
      </c>
      <c r="E32" s="196" t="s">
        <v>24</v>
      </c>
      <c r="F32" s="197">
        <v>62060</v>
      </c>
      <c r="G32" s="197">
        <v>62160</v>
      </c>
      <c r="H32" s="196">
        <v>-100</v>
      </c>
      <c r="I32" s="197">
        <v>100</v>
      </c>
      <c r="J32" s="268">
        <f t="shared" si="1"/>
        <v>-10000</v>
      </c>
      <c r="K32" s="185"/>
      <c r="V32" s="183">
        <f t="shared" si="2"/>
        <v>0</v>
      </c>
      <c r="W32" s="183">
        <f t="shared" si="3"/>
        <v>1</v>
      </c>
    </row>
    <row r="33" spans="1:23" x14ac:dyDescent="0.3">
      <c r="A33" s="184"/>
      <c r="B33" s="194">
        <v>28</v>
      </c>
      <c r="C33" s="195">
        <v>45342</v>
      </c>
      <c r="D33" s="196" t="s">
        <v>23</v>
      </c>
      <c r="E33" s="196" t="s">
        <v>22</v>
      </c>
      <c r="F33" s="197">
        <v>71250</v>
      </c>
      <c r="G33" s="197">
        <v>71550</v>
      </c>
      <c r="H33" s="196">
        <v>-300</v>
      </c>
      <c r="I33" s="197">
        <v>30</v>
      </c>
      <c r="J33" s="268">
        <f t="shared" si="1"/>
        <v>-9000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45343</v>
      </c>
      <c r="D34" s="196" t="s">
        <v>23</v>
      </c>
      <c r="E34" s="196" t="s">
        <v>24</v>
      </c>
      <c r="F34" s="197">
        <v>62180</v>
      </c>
      <c r="G34" s="197">
        <v>62280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45343</v>
      </c>
      <c r="D35" s="196" t="s">
        <v>23</v>
      </c>
      <c r="E35" s="196" t="s">
        <v>22</v>
      </c>
      <c r="F35" s="197">
        <v>71150</v>
      </c>
      <c r="G35" s="197">
        <v>71035</v>
      </c>
      <c r="H35" s="196">
        <f>71150-71035</f>
        <v>115</v>
      </c>
      <c r="I35" s="197">
        <v>30</v>
      </c>
      <c r="J35" s="268">
        <f t="shared" si="1"/>
        <v>3450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45344</v>
      </c>
      <c r="D36" s="196" t="s">
        <v>23</v>
      </c>
      <c r="E36" s="196" t="s">
        <v>24</v>
      </c>
      <c r="F36" s="197">
        <v>62200</v>
      </c>
      <c r="G36" s="197">
        <v>62100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45344</v>
      </c>
      <c r="D37" s="196" t="s">
        <v>23</v>
      </c>
      <c r="E37" s="196" t="s">
        <v>22</v>
      </c>
      <c r="F37" s="197">
        <v>71050</v>
      </c>
      <c r="G37" s="197">
        <v>70750</v>
      </c>
      <c r="H37" s="196">
        <f>71050-70750</f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45345</v>
      </c>
      <c r="D38" s="196" t="s">
        <v>23</v>
      </c>
      <c r="E38" s="196" t="s">
        <v>24</v>
      </c>
      <c r="F38" s="197">
        <v>61970</v>
      </c>
      <c r="G38" s="197">
        <v>61877</v>
      </c>
      <c r="H38" s="196">
        <v>93</v>
      </c>
      <c r="I38" s="197">
        <v>100</v>
      </c>
      <c r="J38" s="268">
        <f t="shared" si="1"/>
        <v>9300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45345</v>
      </c>
      <c r="D39" s="196" t="s">
        <v>23</v>
      </c>
      <c r="E39" s="196" t="s">
        <v>22</v>
      </c>
      <c r="F39" s="197">
        <v>70000</v>
      </c>
      <c r="G39" s="197">
        <v>69800</v>
      </c>
      <c r="H39" s="196">
        <f>70000-69800</f>
        <v>200</v>
      </c>
      <c r="I39" s="197">
        <v>30</v>
      </c>
      <c r="J39" s="268">
        <f t="shared" si="1"/>
        <v>6000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45348</v>
      </c>
      <c r="D40" s="196" t="s">
        <v>23</v>
      </c>
      <c r="E40" s="196" t="s">
        <v>24</v>
      </c>
      <c r="F40" s="197">
        <v>62270</v>
      </c>
      <c r="G40" s="197">
        <v>62180</v>
      </c>
      <c r="H40" s="196">
        <f>62270-62180</f>
        <v>90</v>
      </c>
      <c r="I40" s="197">
        <v>100</v>
      </c>
      <c r="J40" s="268">
        <f t="shared" si="1"/>
        <v>9000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45348</v>
      </c>
      <c r="D41" s="196" t="s">
        <v>23</v>
      </c>
      <c r="E41" s="196" t="s">
        <v>22</v>
      </c>
      <c r="F41" s="197">
        <v>70100</v>
      </c>
      <c r="G41" s="197">
        <v>69500</v>
      </c>
      <c r="H41" s="196">
        <f>70100-69500</f>
        <v>600</v>
      </c>
      <c r="I41" s="197">
        <v>30</v>
      </c>
      <c r="J41" s="268">
        <f t="shared" si="1"/>
        <v>18000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45349</v>
      </c>
      <c r="D42" s="196" t="s">
        <v>23</v>
      </c>
      <c r="E42" s="196" t="s">
        <v>24</v>
      </c>
      <c r="F42" s="197">
        <v>62300</v>
      </c>
      <c r="G42" s="197">
        <v>62200</v>
      </c>
      <c r="H42" s="196">
        <v>100</v>
      </c>
      <c r="I42" s="197">
        <v>100</v>
      </c>
      <c r="J42" s="268">
        <f t="shared" si="1"/>
        <v>10000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45349</v>
      </c>
      <c r="D43" s="196" t="s">
        <v>23</v>
      </c>
      <c r="E43" s="196" t="s">
        <v>22</v>
      </c>
      <c r="F43" s="197">
        <v>69500</v>
      </c>
      <c r="G43" s="197">
        <v>69250</v>
      </c>
      <c r="H43" s="196">
        <v>250</v>
      </c>
      <c r="I43" s="197">
        <v>30</v>
      </c>
      <c r="J43" s="268">
        <f t="shared" si="1"/>
        <v>7500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45350</v>
      </c>
      <c r="D44" s="196" t="s">
        <v>23</v>
      </c>
      <c r="E44" s="196" t="s">
        <v>24</v>
      </c>
      <c r="F44" s="197">
        <v>62120</v>
      </c>
      <c r="G44" s="197">
        <v>62020</v>
      </c>
      <c r="H44" s="196">
        <f>62120-62020</f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45350</v>
      </c>
      <c r="D45" s="196" t="s">
        <v>23</v>
      </c>
      <c r="E45" s="196" t="s">
        <v>22</v>
      </c>
      <c r="F45" s="197">
        <v>68750</v>
      </c>
      <c r="G45" s="197">
        <v>68580</v>
      </c>
      <c r="H45" s="196">
        <f>68750-68580</f>
        <v>170</v>
      </c>
      <c r="I45" s="197">
        <v>30</v>
      </c>
      <c r="J45" s="268">
        <f t="shared" si="1"/>
        <v>5100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45351</v>
      </c>
      <c r="D46" s="196" t="s">
        <v>23</v>
      </c>
      <c r="E46" s="196" t="s">
        <v>24</v>
      </c>
      <c r="F46" s="197">
        <v>62350</v>
      </c>
      <c r="G46" s="197">
        <v>62150</v>
      </c>
      <c r="H46" s="196">
        <v>200</v>
      </c>
      <c r="I46" s="197">
        <v>100</v>
      </c>
      <c r="J46" s="268">
        <f t="shared" si="1"/>
        <v>20000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45351</v>
      </c>
      <c r="D47" s="196" t="s">
        <v>23</v>
      </c>
      <c r="E47" s="196" t="s">
        <v>22</v>
      </c>
      <c r="F47" s="197">
        <v>70900</v>
      </c>
      <c r="G47" s="197">
        <v>70600</v>
      </c>
      <c r="H47" s="196">
        <v>300</v>
      </c>
      <c r="I47" s="197">
        <v>30</v>
      </c>
      <c r="J47" s="268">
        <f t="shared" si="1"/>
        <v>9000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293460</v>
      </c>
      <c r="K52" s="185"/>
      <c r="V52" s="183">
        <f>SUM(V6:V51)</f>
        <v>34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45323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45323</v>
      </c>
      <c r="D60" s="192" t="s">
        <v>23</v>
      </c>
      <c r="E60" s="192" t="s">
        <v>25</v>
      </c>
      <c r="F60" s="193">
        <v>6360</v>
      </c>
      <c r="G60" s="193">
        <v>6320</v>
      </c>
      <c r="H60" s="192">
        <v>40</v>
      </c>
      <c r="I60" s="193">
        <v>100</v>
      </c>
      <c r="J60" s="267">
        <f t="shared" ref="J60:J102" si="5">I60*H60</f>
        <v>4000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45323</v>
      </c>
      <c r="D61" s="196" t="s">
        <v>23</v>
      </c>
      <c r="E61" s="196" t="s">
        <v>939</v>
      </c>
      <c r="F61" s="197">
        <v>180</v>
      </c>
      <c r="G61" s="197">
        <v>177</v>
      </c>
      <c r="H61" s="196">
        <f>180-177</f>
        <v>3</v>
      </c>
      <c r="I61" s="197">
        <v>2000</v>
      </c>
      <c r="J61" s="268">
        <f t="shared" si="5"/>
        <v>6000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45324</v>
      </c>
      <c r="D62" s="196" t="s">
        <v>23</v>
      </c>
      <c r="E62" s="196" t="s">
        <v>25</v>
      </c>
      <c r="F62" s="197">
        <v>6140</v>
      </c>
      <c r="G62" s="197">
        <v>6122</v>
      </c>
      <c r="H62" s="196">
        <f>6140-6122</f>
        <v>18</v>
      </c>
      <c r="I62" s="197">
        <v>100</v>
      </c>
      <c r="J62" s="268">
        <f t="shared" si="5"/>
        <v>1800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45324</v>
      </c>
      <c r="D63" s="196" t="s">
        <v>23</v>
      </c>
      <c r="E63" s="196" t="s">
        <v>939</v>
      </c>
      <c r="F63" s="222">
        <v>172.5</v>
      </c>
      <c r="G63" s="197">
        <v>171</v>
      </c>
      <c r="H63" s="222">
        <v>0.5</v>
      </c>
      <c r="I63" s="197">
        <v>2000</v>
      </c>
      <c r="J63" s="268">
        <f t="shared" si="5"/>
        <v>1000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45327</v>
      </c>
      <c r="D64" s="196" t="s">
        <v>23</v>
      </c>
      <c r="E64" s="196" t="s">
        <v>25</v>
      </c>
      <c r="F64" s="197">
        <v>6005</v>
      </c>
      <c r="G64" s="197">
        <v>5965</v>
      </c>
      <c r="H64" s="196">
        <f>6005-5965</f>
        <v>40</v>
      </c>
      <c r="I64" s="197">
        <v>100</v>
      </c>
      <c r="J64" s="268">
        <f t="shared" si="5"/>
        <v>4000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45327</v>
      </c>
      <c r="D65" s="196" t="s">
        <v>23</v>
      </c>
      <c r="E65" s="196" t="s">
        <v>939</v>
      </c>
      <c r="F65" s="197">
        <v>175</v>
      </c>
      <c r="G65" s="222">
        <v>173</v>
      </c>
      <c r="H65" s="196">
        <v>2</v>
      </c>
      <c r="I65" s="197">
        <v>2000</v>
      </c>
      <c r="J65" s="268">
        <f t="shared" si="5"/>
        <v>4000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45328</v>
      </c>
      <c r="D66" s="196" t="s">
        <v>23</v>
      </c>
      <c r="E66" s="196" t="s">
        <v>25</v>
      </c>
      <c r="F66" s="222">
        <v>6075</v>
      </c>
      <c r="G66" s="222">
        <v>6025</v>
      </c>
      <c r="H66" s="196">
        <f>6075-6025</f>
        <v>50</v>
      </c>
      <c r="I66" s="197">
        <v>100</v>
      </c>
      <c r="J66" s="268">
        <f t="shared" si="5"/>
        <v>5000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45328</v>
      </c>
      <c r="D67" s="196" t="s">
        <v>23</v>
      </c>
      <c r="E67" s="196" t="s">
        <v>939</v>
      </c>
      <c r="F67" s="222">
        <v>174.5</v>
      </c>
      <c r="G67" s="197">
        <v>172</v>
      </c>
      <c r="H67" s="222">
        <f>174.5-172</f>
        <v>2.5</v>
      </c>
      <c r="I67" s="197">
        <v>2000</v>
      </c>
      <c r="J67" s="268">
        <f t="shared" si="5"/>
        <v>5000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45329</v>
      </c>
      <c r="D68" s="196" t="s">
        <v>23</v>
      </c>
      <c r="E68" s="196" t="s">
        <v>25</v>
      </c>
      <c r="F68" s="197">
        <v>6120</v>
      </c>
      <c r="G68" s="197">
        <v>6160</v>
      </c>
      <c r="H68" s="196">
        <v>-40</v>
      </c>
      <c r="I68" s="197">
        <v>100</v>
      </c>
      <c r="J68" s="268">
        <f t="shared" si="5"/>
        <v>-4000</v>
      </c>
      <c r="K68" s="185"/>
      <c r="V68" s="183">
        <f t="shared" si="6"/>
        <v>0</v>
      </c>
      <c r="W68" s="183">
        <f t="shared" si="7"/>
        <v>1</v>
      </c>
    </row>
    <row r="69" spans="1:23" x14ac:dyDescent="0.3">
      <c r="A69" s="184"/>
      <c r="B69" s="194">
        <v>10</v>
      </c>
      <c r="C69" s="195">
        <v>45329</v>
      </c>
      <c r="D69" s="196" t="s">
        <v>23</v>
      </c>
      <c r="E69" s="196" t="s">
        <v>939</v>
      </c>
      <c r="F69" s="222">
        <v>169.5</v>
      </c>
      <c r="G69" s="197">
        <v>168</v>
      </c>
      <c r="H69" s="222">
        <f>169.5-168</f>
        <v>1.5</v>
      </c>
      <c r="I69" s="197">
        <v>2000</v>
      </c>
      <c r="J69" s="268">
        <f t="shared" si="5"/>
        <v>3000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45330</v>
      </c>
      <c r="D70" s="196" t="s">
        <v>23</v>
      </c>
      <c r="E70" s="196" t="s">
        <v>25</v>
      </c>
      <c r="F70" s="197">
        <v>6120</v>
      </c>
      <c r="G70" s="197">
        <v>6160</v>
      </c>
      <c r="H70" s="196">
        <v>-40</v>
      </c>
      <c r="I70" s="197">
        <v>100</v>
      </c>
      <c r="J70" s="268">
        <f t="shared" si="5"/>
        <v>-4000</v>
      </c>
      <c r="K70" s="185"/>
      <c r="V70" s="183">
        <f t="shared" si="6"/>
        <v>0</v>
      </c>
      <c r="W70" s="183">
        <f t="shared" si="7"/>
        <v>1</v>
      </c>
    </row>
    <row r="71" spans="1:23" x14ac:dyDescent="0.3">
      <c r="A71" s="184"/>
      <c r="B71" s="194">
        <v>12</v>
      </c>
      <c r="C71" s="195">
        <v>45330</v>
      </c>
      <c r="D71" s="196" t="s">
        <v>23</v>
      </c>
      <c r="E71" s="196" t="s">
        <v>939</v>
      </c>
      <c r="F71" s="222">
        <v>165.5</v>
      </c>
      <c r="G71" s="222">
        <v>164.1</v>
      </c>
      <c r="H71" s="222">
        <f>165.5-164.1</f>
        <v>1.4000000000000057</v>
      </c>
      <c r="I71" s="197">
        <v>2000</v>
      </c>
      <c r="J71" s="268">
        <f t="shared" si="5"/>
        <v>2800.0000000000114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45331</v>
      </c>
      <c r="D72" s="196" t="s">
        <v>23</v>
      </c>
      <c r="E72" s="196" t="s">
        <v>25</v>
      </c>
      <c r="F72" s="197">
        <v>6350</v>
      </c>
      <c r="G72" s="197">
        <v>6306</v>
      </c>
      <c r="H72" s="196">
        <v>44</v>
      </c>
      <c r="I72" s="197">
        <v>100</v>
      </c>
      <c r="J72" s="268">
        <f t="shared" si="5"/>
        <v>4400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45331</v>
      </c>
      <c r="D73" s="196" t="s">
        <v>23</v>
      </c>
      <c r="E73" s="196" t="s">
        <v>939</v>
      </c>
      <c r="F73" s="222">
        <v>153.5</v>
      </c>
      <c r="G73" s="222">
        <v>156.5</v>
      </c>
      <c r="H73" s="196">
        <v>3</v>
      </c>
      <c r="I73" s="197">
        <v>2000</v>
      </c>
      <c r="J73" s="268">
        <f t="shared" si="5"/>
        <v>6000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45334</v>
      </c>
      <c r="D74" s="196" t="s">
        <v>23</v>
      </c>
      <c r="E74" s="196" t="s">
        <v>25</v>
      </c>
      <c r="F74" s="197">
        <v>6335</v>
      </c>
      <c r="G74" s="197">
        <v>6305</v>
      </c>
      <c r="H74" s="196">
        <v>30</v>
      </c>
      <c r="I74" s="197">
        <v>100</v>
      </c>
      <c r="J74" s="268">
        <f t="shared" si="5"/>
        <v>3000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45334</v>
      </c>
      <c r="D75" s="196" t="s">
        <v>23</v>
      </c>
      <c r="E75" s="196" t="s">
        <v>939</v>
      </c>
      <c r="F75" s="197">
        <v>152</v>
      </c>
      <c r="G75" s="197">
        <v>155</v>
      </c>
      <c r="H75" s="196">
        <v>-3</v>
      </c>
      <c r="I75" s="197">
        <v>2000</v>
      </c>
      <c r="J75" s="268">
        <f t="shared" si="5"/>
        <v>-6000</v>
      </c>
      <c r="K75" s="185"/>
      <c r="V75" s="183">
        <f t="shared" si="6"/>
        <v>0</v>
      </c>
      <c r="W75" s="183">
        <f t="shared" si="7"/>
        <v>1</v>
      </c>
    </row>
    <row r="76" spans="1:23" x14ac:dyDescent="0.3">
      <c r="A76" s="184"/>
      <c r="B76" s="194">
        <v>17</v>
      </c>
      <c r="C76" s="195">
        <v>45337</v>
      </c>
      <c r="D76" s="196" t="s">
        <v>23</v>
      </c>
      <c r="E76" s="196" t="s">
        <v>25</v>
      </c>
      <c r="F76" s="197">
        <v>6345</v>
      </c>
      <c r="G76" s="197">
        <v>6315</v>
      </c>
      <c r="H76" s="196">
        <f>6345-6315</f>
        <v>30</v>
      </c>
      <c r="I76" s="197">
        <v>100</v>
      </c>
      <c r="J76" s="268">
        <f t="shared" si="5"/>
        <v>3000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45337</v>
      </c>
      <c r="D77" s="196" t="s">
        <v>23</v>
      </c>
      <c r="E77" s="196" t="s">
        <v>939</v>
      </c>
      <c r="F77" s="197">
        <v>137</v>
      </c>
      <c r="G77" s="197">
        <v>131</v>
      </c>
      <c r="H77" s="196">
        <v>7</v>
      </c>
      <c r="I77" s="197">
        <v>2000</v>
      </c>
      <c r="J77" s="268">
        <f t="shared" si="5"/>
        <v>14000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45338</v>
      </c>
      <c r="D78" s="196" t="s">
        <v>23</v>
      </c>
      <c r="E78" s="196" t="s">
        <v>25</v>
      </c>
      <c r="F78" s="197">
        <v>6390</v>
      </c>
      <c r="G78" s="197">
        <v>6430</v>
      </c>
      <c r="H78" s="196">
        <v>-40</v>
      </c>
      <c r="I78" s="197">
        <v>100</v>
      </c>
      <c r="J78" s="268">
        <f t="shared" si="5"/>
        <v>-4000</v>
      </c>
      <c r="K78" s="185"/>
      <c r="V78" s="183">
        <f t="shared" si="6"/>
        <v>0</v>
      </c>
      <c r="W78" s="183">
        <f t="shared" si="7"/>
        <v>1</v>
      </c>
    </row>
    <row r="79" spans="1:23" x14ac:dyDescent="0.3">
      <c r="A79" s="184"/>
      <c r="B79" s="194">
        <v>20</v>
      </c>
      <c r="C79" s="195">
        <v>45338</v>
      </c>
      <c r="D79" s="196" t="s">
        <v>23</v>
      </c>
      <c r="E79" s="196" t="s">
        <v>939</v>
      </c>
      <c r="F79" s="197">
        <v>133</v>
      </c>
      <c r="G79" s="197">
        <v>132</v>
      </c>
      <c r="H79" s="196">
        <v>1</v>
      </c>
      <c r="I79" s="197">
        <v>2000</v>
      </c>
      <c r="J79" s="268">
        <f t="shared" si="5"/>
        <v>2000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45341</v>
      </c>
      <c r="D80" s="196" t="s">
        <v>23</v>
      </c>
      <c r="E80" s="196" t="s">
        <v>25</v>
      </c>
      <c r="F80" s="197">
        <v>6465</v>
      </c>
      <c r="G80" s="197">
        <v>6505</v>
      </c>
      <c r="H80" s="196">
        <f>6465-6505</f>
        <v>-40</v>
      </c>
      <c r="I80" s="197">
        <v>100</v>
      </c>
      <c r="J80" s="268">
        <f t="shared" si="5"/>
        <v>-4000</v>
      </c>
      <c r="K80" s="185"/>
      <c r="V80" s="183">
        <f t="shared" si="6"/>
        <v>0</v>
      </c>
      <c r="W80" s="183">
        <f t="shared" si="7"/>
        <v>1</v>
      </c>
    </row>
    <row r="81" spans="1:23" x14ac:dyDescent="0.3">
      <c r="A81" s="184"/>
      <c r="B81" s="194">
        <v>22</v>
      </c>
      <c r="C81" s="195">
        <v>45341</v>
      </c>
      <c r="D81" s="196" t="s">
        <v>23</v>
      </c>
      <c r="E81" s="196" t="s">
        <v>939</v>
      </c>
      <c r="F81" s="197">
        <v>130</v>
      </c>
      <c r="G81" s="197">
        <v>129</v>
      </c>
      <c r="H81" s="196">
        <v>1</v>
      </c>
      <c r="I81" s="197">
        <v>2000</v>
      </c>
      <c r="J81" s="268">
        <f t="shared" si="5"/>
        <v>2000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45342</v>
      </c>
      <c r="D82" s="196" t="s">
        <v>23</v>
      </c>
      <c r="E82" s="196" t="s">
        <v>25</v>
      </c>
      <c r="F82" s="197">
        <v>6500</v>
      </c>
      <c r="G82" s="197">
        <v>6430</v>
      </c>
      <c r="H82" s="196">
        <f>6500-6430</f>
        <v>70</v>
      </c>
      <c r="I82" s="197">
        <v>100</v>
      </c>
      <c r="J82" s="268">
        <f t="shared" si="5"/>
        <v>7000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45342</v>
      </c>
      <c r="D83" s="196" t="s">
        <v>23</v>
      </c>
      <c r="E83" s="196" t="s">
        <v>939</v>
      </c>
      <c r="F83" s="197">
        <v>131</v>
      </c>
      <c r="G83" s="222">
        <v>134</v>
      </c>
      <c r="H83" s="222">
        <v>-3</v>
      </c>
      <c r="I83" s="197">
        <v>2000</v>
      </c>
      <c r="J83" s="268">
        <f t="shared" si="5"/>
        <v>-6000</v>
      </c>
      <c r="K83" s="185"/>
      <c r="V83" s="183">
        <f t="shared" si="6"/>
        <v>0</v>
      </c>
      <c r="W83" s="183">
        <f t="shared" si="7"/>
        <v>1</v>
      </c>
    </row>
    <row r="84" spans="1:23" x14ac:dyDescent="0.3">
      <c r="A84" s="184"/>
      <c r="B84" s="194">
        <v>25</v>
      </c>
      <c r="C84" s="195">
        <v>45343</v>
      </c>
      <c r="D84" s="196" t="s">
        <v>23</v>
      </c>
      <c r="E84" s="196" t="s">
        <v>25</v>
      </c>
      <c r="F84" s="197">
        <v>6360</v>
      </c>
      <c r="G84" s="222">
        <v>6343</v>
      </c>
      <c r="H84" s="222">
        <f>6360-6343</f>
        <v>17</v>
      </c>
      <c r="I84" s="197">
        <v>100</v>
      </c>
      <c r="J84" s="268">
        <f t="shared" si="5"/>
        <v>1700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45343</v>
      </c>
      <c r="D85" s="196" t="s">
        <v>23</v>
      </c>
      <c r="E85" s="196" t="s">
        <v>939</v>
      </c>
      <c r="F85" s="197">
        <v>140</v>
      </c>
      <c r="G85" s="222">
        <v>143</v>
      </c>
      <c r="H85" s="196">
        <v>-3</v>
      </c>
      <c r="I85" s="197">
        <v>2000</v>
      </c>
      <c r="J85" s="268">
        <f t="shared" si="5"/>
        <v>-6000</v>
      </c>
      <c r="K85" s="185"/>
      <c r="V85" s="183">
        <f t="shared" si="6"/>
        <v>0</v>
      </c>
      <c r="W85" s="183">
        <f t="shared" si="7"/>
        <v>1</v>
      </c>
    </row>
    <row r="86" spans="1:23" x14ac:dyDescent="0.3">
      <c r="A86" s="184"/>
      <c r="B86" s="194">
        <v>27</v>
      </c>
      <c r="C86" s="195">
        <v>45344</v>
      </c>
      <c r="D86" s="196" t="s">
        <v>23</v>
      </c>
      <c r="E86" s="196" t="s">
        <v>25</v>
      </c>
      <c r="F86" s="197">
        <v>6490</v>
      </c>
      <c r="G86" s="197">
        <v>6460</v>
      </c>
      <c r="H86" s="196">
        <v>30</v>
      </c>
      <c r="I86" s="197">
        <v>100</v>
      </c>
      <c r="J86" s="268">
        <f t="shared" si="5"/>
        <v>3000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45344</v>
      </c>
      <c r="D87" s="196" t="s">
        <v>23</v>
      </c>
      <c r="E87" s="196" t="s">
        <v>939</v>
      </c>
      <c r="F87" s="197">
        <v>145</v>
      </c>
      <c r="G87" s="222">
        <v>140</v>
      </c>
      <c r="H87" s="222">
        <v>5</v>
      </c>
      <c r="I87" s="197">
        <v>2000</v>
      </c>
      <c r="J87" s="268">
        <f t="shared" si="5"/>
        <v>10000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45345</v>
      </c>
      <c r="D88" s="196" t="s">
        <v>23</v>
      </c>
      <c r="E88" s="196" t="s">
        <v>25</v>
      </c>
      <c r="F88" s="197">
        <v>6485</v>
      </c>
      <c r="G88" s="197">
        <v>6430</v>
      </c>
      <c r="H88" s="196">
        <f>6485-6430</f>
        <v>55</v>
      </c>
      <c r="I88" s="197">
        <v>100</v>
      </c>
      <c r="J88" s="268">
        <f t="shared" si="5"/>
        <v>5500</v>
      </c>
      <c r="K88" s="185"/>
      <c r="V88" s="183">
        <f t="shared" si="6"/>
        <v>1</v>
      </c>
      <c r="W88" s="183">
        <f t="shared" si="7"/>
        <v>0</v>
      </c>
    </row>
    <row r="89" spans="1:23" x14ac:dyDescent="0.3">
      <c r="A89" s="184"/>
      <c r="B89" s="194">
        <v>30</v>
      </c>
      <c r="C89" s="195">
        <v>45345</v>
      </c>
      <c r="D89" s="196" t="s">
        <v>23</v>
      </c>
      <c r="E89" s="196" t="s">
        <v>939</v>
      </c>
      <c r="F89" s="222">
        <v>139</v>
      </c>
      <c r="G89" s="222">
        <v>137</v>
      </c>
      <c r="H89" s="196">
        <v>2</v>
      </c>
      <c r="I89" s="197">
        <v>2000</v>
      </c>
      <c r="J89" s="268">
        <f t="shared" si="5"/>
        <v>4000</v>
      </c>
      <c r="K89" s="185"/>
      <c r="V89" s="183">
        <f t="shared" si="6"/>
        <v>1</v>
      </c>
      <c r="W89" s="183">
        <f t="shared" si="7"/>
        <v>0</v>
      </c>
    </row>
    <row r="90" spans="1:23" x14ac:dyDescent="0.3">
      <c r="A90" s="184"/>
      <c r="B90" s="194">
        <v>31</v>
      </c>
      <c r="C90" s="195">
        <v>45348</v>
      </c>
      <c r="D90" s="196" t="s">
        <v>23</v>
      </c>
      <c r="E90" s="196" t="s">
        <v>25</v>
      </c>
      <c r="F90" s="197">
        <v>6320</v>
      </c>
      <c r="G90" s="197">
        <v>6360</v>
      </c>
      <c r="H90" s="196">
        <v>-40</v>
      </c>
      <c r="I90" s="197">
        <v>100</v>
      </c>
      <c r="J90" s="268">
        <f t="shared" si="5"/>
        <v>-4000</v>
      </c>
      <c r="K90" s="185"/>
      <c r="V90" s="183">
        <f t="shared" si="6"/>
        <v>0</v>
      </c>
      <c r="W90" s="183">
        <f t="shared" si="7"/>
        <v>1</v>
      </c>
    </row>
    <row r="91" spans="1:23" x14ac:dyDescent="0.3">
      <c r="A91" s="184"/>
      <c r="B91" s="194">
        <v>32</v>
      </c>
      <c r="C91" s="195">
        <v>45348</v>
      </c>
      <c r="D91" s="196" t="s">
        <v>23</v>
      </c>
      <c r="E91" s="196" t="s">
        <v>939</v>
      </c>
      <c r="F91" s="197">
        <v>139</v>
      </c>
      <c r="G91" s="222">
        <v>137</v>
      </c>
      <c r="H91" s="222">
        <v>2</v>
      </c>
      <c r="I91" s="197">
        <v>2000</v>
      </c>
      <c r="J91" s="268">
        <f t="shared" si="5"/>
        <v>4000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45349</v>
      </c>
      <c r="D92" s="196" t="s">
        <v>23</v>
      </c>
      <c r="E92" s="196" t="s">
        <v>25</v>
      </c>
      <c r="F92" s="197">
        <v>6465</v>
      </c>
      <c r="G92" s="197">
        <v>6425</v>
      </c>
      <c r="H92" s="196">
        <f>6465-6425</f>
        <v>40</v>
      </c>
      <c r="I92" s="197">
        <v>100</v>
      </c>
      <c r="J92" s="268">
        <f t="shared" si="5"/>
        <v>4000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45349</v>
      </c>
      <c r="D93" s="196" t="s">
        <v>23</v>
      </c>
      <c r="E93" s="196" t="s">
        <v>939</v>
      </c>
      <c r="F93" s="222">
        <v>147.5</v>
      </c>
      <c r="G93" s="222">
        <v>143.5</v>
      </c>
      <c r="H93" s="222">
        <f>147.5-143.5</f>
        <v>4</v>
      </c>
      <c r="I93" s="197">
        <v>2000</v>
      </c>
      <c r="J93" s="268">
        <f t="shared" si="5"/>
        <v>8000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45350</v>
      </c>
      <c r="D94" s="196" t="s">
        <v>23</v>
      </c>
      <c r="E94" s="196" t="s">
        <v>25</v>
      </c>
      <c r="F94" s="197">
        <v>6460</v>
      </c>
      <c r="G94" s="197">
        <v>6505</v>
      </c>
      <c r="H94" s="196">
        <f>6505-6460</f>
        <v>45</v>
      </c>
      <c r="I94" s="197">
        <v>100</v>
      </c>
      <c r="J94" s="268">
        <f t="shared" si="5"/>
        <v>4500</v>
      </c>
      <c r="K94" s="185"/>
      <c r="V94" s="183">
        <f t="shared" si="6"/>
        <v>1</v>
      </c>
      <c r="W94" s="183">
        <f t="shared" si="7"/>
        <v>0</v>
      </c>
    </row>
    <row r="95" spans="1:23" x14ac:dyDescent="0.3">
      <c r="A95" s="184"/>
      <c r="B95" s="194">
        <v>36</v>
      </c>
      <c r="C95" s="195">
        <v>45350</v>
      </c>
      <c r="D95" s="196" t="s">
        <v>23</v>
      </c>
      <c r="E95" s="196" t="s">
        <v>939</v>
      </c>
      <c r="F95" s="197">
        <v>150</v>
      </c>
      <c r="G95" s="197">
        <v>153</v>
      </c>
      <c r="H95" s="196">
        <v>-3</v>
      </c>
      <c r="I95" s="197">
        <v>2000</v>
      </c>
      <c r="J95" s="268">
        <f t="shared" si="5"/>
        <v>-6000</v>
      </c>
      <c r="K95" s="185"/>
      <c r="V95" s="183">
        <f t="shared" si="6"/>
        <v>0</v>
      </c>
      <c r="W95" s="183">
        <f t="shared" si="7"/>
        <v>1</v>
      </c>
    </row>
    <row r="96" spans="1:23" x14ac:dyDescent="0.3">
      <c r="A96" s="184"/>
      <c r="B96" s="194">
        <v>37</v>
      </c>
      <c r="C96" s="195">
        <v>45351</v>
      </c>
      <c r="D96" s="196" t="s">
        <v>23</v>
      </c>
      <c r="E96" s="196" t="s">
        <v>25</v>
      </c>
      <c r="F96" s="197">
        <v>6500</v>
      </c>
      <c r="G96" s="197">
        <v>6485</v>
      </c>
      <c r="H96" s="196">
        <f>6500-6485</f>
        <v>15</v>
      </c>
      <c r="I96" s="197">
        <v>100</v>
      </c>
      <c r="J96" s="268">
        <f t="shared" si="5"/>
        <v>1500</v>
      </c>
      <c r="K96" s="185"/>
      <c r="V96" s="183">
        <f t="shared" si="6"/>
        <v>1</v>
      </c>
      <c r="W96" s="183">
        <f t="shared" si="7"/>
        <v>0</v>
      </c>
    </row>
    <row r="97" spans="1:23" x14ac:dyDescent="0.3">
      <c r="A97" s="255"/>
      <c r="B97" s="194">
        <v>38</v>
      </c>
      <c r="C97" s="195">
        <v>45351</v>
      </c>
      <c r="D97" s="196" t="s">
        <v>23</v>
      </c>
      <c r="E97" s="196" t="s">
        <v>939</v>
      </c>
      <c r="F97" s="197">
        <v>158</v>
      </c>
      <c r="G97" s="197">
        <v>155</v>
      </c>
      <c r="H97" s="196">
        <v>3</v>
      </c>
      <c r="I97" s="197">
        <v>2000</v>
      </c>
      <c r="J97" s="268">
        <f t="shared" si="5"/>
        <v>6000</v>
      </c>
      <c r="K97" s="185"/>
      <c r="V97" s="183">
        <f t="shared" si="6"/>
        <v>1</v>
      </c>
      <c r="W97" s="183">
        <f t="shared" si="7"/>
        <v>0</v>
      </c>
    </row>
    <row r="98" spans="1:23" x14ac:dyDescent="0.3">
      <c r="A98" s="184"/>
      <c r="B98" s="194">
        <v>39</v>
      </c>
      <c r="C98" s="195"/>
      <c r="D98" s="196"/>
      <c r="E98" s="196"/>
      <c r="F98" s="197"/>
      <c r="G98" s="222"/>
      <c r="H98" s="196"/>
      <c r="I98" s="197"/>
      <c r="J98" s="268">
        <f t="shared" si="5"/>
        <v>0</v>
      </c>
      <c r="K98" s="185"/>
      <c r="V98" s="183">
        <f t="shared" si="6"/>
        <v>0</v>
      </c>
      <c r="W98" s="183">
        <f t="shared" si="7"/>
        <v>0</v>
      </c>
    </row>
    <row r="99" spans="1:23" hidden="1" x14ac:dyDescent="0.3">
      <c r="A99" s="184"/>
      <c r="B99" s="194">
        <v>40</v>
      </c>
      <c r="C99" s="195"/>
      <c r="D99" s="196"/>
      <c r="E99" s="196"/>
      <c r="F99" s="197"/>
      <c r="G99" s="197"/>
      <c r="H99" s="196"/>
      <c r="I99" s="197"/>
      <c r="J99" s="268">
        <f t="shared" si="5"/>
        <v>0</v>
      </c>
      <c r="K99" s="185"/>
      <c r="V99" s="183">
        <f t="shared" si="6"/>
        <v>0</v>
      </c>
      <c r="W99" s="183">
        <f t="shared" si="7"/>
        <v>0</v>
      </c>
    </row>
    <row r="100" spans="1:23" hidden="1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5"/>
        <v>0</v>
      </c>
      <c r="K100" s="185"/>
      <c r="V100" s="183">
        <f t="shared" si="6"/>
        <v>0</v>
      </c>
      <c r="W100" s="183">
        <f t="shared" si="7"/>
        <v>0</v>
      </c>
    </row>
    <row r="101" spans="1:23" hidden="1" x14ac:dyDescent="0.3">
      <c r="A101" s="184"/>
      <c r="B101" s="194">
        <v>42</v>
      </c>
      <c r="C101" s="195"/>
      <c r="D101" s="196"/>
      <c r="E101" s="196"/>
      <c r="F101" s="197"/>
      <c r="G101" s="197"/>
      <c r="H101" s="196"/>
      <c r="I101" s="197"/>
      <c r="J101" s="268">
        <f t="shared" si="5"/>
        <v>0</v>
      </c>
      <c r="K101" s="185"/>
      <c r="V101" s="183">
        <f t="shared" si="6"/>
        <v>0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8" t="s">
        <v>879</v>
      </c>
      <c r="C103" s="305"/>
      <c r="D103" s="305"/>
      <c r="E103" s="305"/>
      <c r="F103" s="305"/>
      <c r="G103" s="305"/>
      <c r="H103" s="306"/>
      <c r="I103" s="203" t="s">
        <v>880</v>
      </c>
      <c r="J103" s="204">
        <f>SUM(J60:J102)</f>
        <v>86200.000000000015</v>
      </c>
      <c r="K103" s="185"/>
      <c r="V103" s="183">
        <f>SUM(V60:V102)</f>
        <v>29</v>
      </c>
      <c r="W103" s="183">
        <f>SUM(W60:W102)</f>
        <v>9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07" t="s">
        <v>873</v>
      </c>
      <c r="C107" s="308"/>
      <c r="D107" s="308"/>
      <c r="E107" s="308"/>
      <c r="F107" s="308"/>
      <c r="G107" s="308"/>
      <c r="H107" s="308"/>
      <c r="I107" s="308"/>
      <c r="J107" s="309"/>
      <c r="K107" s="185"/>
    </row>
    <row r="108" spans="1:23" ht="16.2" thickBot="1" x14ac:dyDescent="0.35">
      <c r="A108" s="184"/>
      <c r="B108" s="310">
        <v>45323</v>
      </c>
      <c r="C108" s="311"/>
      <c r="D108" s="311"/>
      <c r="E108" s="311"/>
      <c r="F108" s="311"/>
      <c r="G108" s="311"/>
      <c r="H108" s="311"/>
      <c r="I108" s="311"/>
      <c r="J108" s="312"/>
      <c r="K108" s="185"/>
    </row>
    <row r="109" spans="1:23" ht="16.2" thickBot="1" x14ac:dyDescent="0.35">
      <c r="A109" s="184"/>
      <c r="B109" s="313" t="s">
        <v>882</v>
      </c>
      <c r="C109" s="314"/>
      <c r="D109" s="314"/>
      <c r="E109" s="314"/>
      <c r="F109" s="314"/>
      <c r="G109" s="314"/>
      <c r="H109" s="314"/>
      <c r="I109" s="314"/>
      <c r="J109" s="315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45323</v>
      </c>
      <c r="D111" s="216" t="s">
        <v>23</v>
      </c>
      <c r="E111" s="256" t="s">
        <v>28</v>
      </c>
      <c r="F111" s="256">
        <v>222.5</v>
      </c>
      <c r="G111" s="256">
        <v>221.65</v>
      </c>
      <c r="H111" s="256">
        <f>222.5-221.65</f>
        <v>0.84999999999999432</v>
      </c>
      <c r="I111" s="218">
        <v>5000</v>
      </c>
      <c r="J111" s="273">
        <f>I111*H111</f>
        <v>4249.9999999999718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</v>
      </c>
      <c r="C112" s="195">
        <v>45324</v>
      </c>
      <c r="D112" s="196" t="s">
        <v>23</v>
      </c>
      <c r="E112" s="222" t="s">
        <v>28</v>
      </c>
      <c r="F112" s="222">
        <v>220.5</v>
      </c>
      <c r="G112" s="222">
        <v>221.5</v>
      </c>
      <c r="H112" s="222">
        <v>-1</v>
      </c>
      <c r="I112" s="197">
        <v>5000</v>
      </c>
      <c r="J112" s="268">
        <f t="shared" ref="J112:J132" si="8">I112*H112</f>
        <v>-5000</v>
      </c>
      <c r="K112" s="185"/>
      <c r="V112" s="183">
        <f t="shared" ref="V112:V131" si="9">IF($J112&gt;0,1,0)</f>
        <v>0</v>
      </c>
      <c r="W112" s="183">
        <f t="shared" ref="W112:W131" si="10">IF($J112&lt;0,1,0)</f>
        <v>1</v>
      </c>
    </row>
    <row r="113" spans="1:23" x14ac:dyDescent="0.3">
      <c r="A113" s="184"/>
      <c r="B113" s="194">
        <v>3</v>
      </c>
      <c r="C113" s="195">
        <v>45327</v>
      </c>
      <c r="D113" s="196" t="s">
        <v>23</v>
      </c>
      <c r="E113" s="222" t="s">
        <v>28</v>
      </c>
      <c r="F113" s="222">
        <v>218</v>
      </c>
      <c r="G113" s="222">
        <v>217</v>
      </c>
      <c r="H113" s="222">
        <v>1</v>
      </c>
      <c r="I113" s="197">
        <v>5000</v>
      </c>
      <c r="J113" s="268">
        <f t="shared" si="8"/>
        <v>5000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45328</v>
      </c>
      <c r="D114" s="196" t="s">
        <v>23</v>
      </c>
      <c r="E114" s="222" t="s">
        <v>28</v>
      </c>
      <c r="F114" s="222">
        <v>218.4</v>
      </c>
      <c r="G114" s="222">
        <v>217.7</v>
      </c>
      <c r="H114" s="222">
        <f>218.4-217.7</f>
        <v>0.70000000000001705</v>
      </c>
      <c r="I114" s="197">
        <v>5000</v>
      </c>
      <c r="J114" s="268">
        <f t="shared" si="8"/>
        <v>3500.0000000000855</v>
      </c>
      <c r="K114" s="185"/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5</v>
      </c>
      <c r="C115" s="195">
        <v>45329</v>
      </c>
      <c r="D115" s="196" t="s">
        <v>23</v>
      </c>
      <c r="E115" s="222" t="s">
        <v>28</v>
      </c>
      <c r="F115" s="222">
        <v>215.8</v>
      </c>
      <c r="G115" s="222">
        <v>215.3</v>
      </c>
      <c r="H115" s="222">
        <v>0.5</v>
      </c>
      <c r="I115" s="197">
        <v>5000</v>
      </c>
      <c r="J115" s="268">
        <f t="shared" si="8"/>
        <v>2500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6</v>
      </c>
      <c r="C116" s="195">
        <v>45330</v>
      </c>
      <c r="D116" s="196" t="s">
        <v>23</v>
      </c>
      <c r="E116" s="222" t="s">
        <v>28</v>
      </c>
      <c r="F116" s="222">
        <v>214.4</v>
      </c>
      <c r="G116" s="222">
        <v>212.4</v>
      </c>
      <c r="H116" s="222">
        <v>2</v>
      </c>
      <c r="I116" s="197">
        <v>5000</v>
      </c>
      <c r="J116" s="268">
        <f t="shared" si="8"/>
        <v>10000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45331</v>
      </c>
      <c r="D117" s="196" t="s">
        <v>23</v>
      </c>
      <c r="E117" s="222" t="s">
        <v>28</v>
      </c>
      <c r="F117" s="222">
        <v>208</v>
      </c>
      <c r="G117" s="222">
        <v>209</v>
      </c>
      <c r="H117" s="274">
        <v>-1</v>
      </c>
      <c r="I117" s="197">
        <v>5000</v>
      </c>
      <c r="J117" s="268">
        <f t="shared" si="8"/>
        <v>-5000</v>
      </c>
      <c r="K117" s="185"/>
      <c r="V117" s="183">
        <f t="shared" si="9"/>
        <v>0</v>
      </c>
      <c r="W117" s="183">
        <f t="shared" si="10"/>
        <v>1</v>
      </c>
    </row>
    <row r="118" spans="1:23" x14ac:dyDescent="0.3">
      <c r="A118" s="184"/>
      <c r="B118" s="194">
        <v>8</v>
      </c>
      <c r="C118" s="195">
        <v>45334</v>
      </c>
      <c r="D118" s="196" t="s">
        <v>23</v>
      </c>
      <c r="E118" s="222" t="s">
        <v>28</v>
      </c>
      <c r="F118" s="222">
        <v>206.5</v>
      </c>
      <c r="G118" s="222">
        <v>207.5</v>
      </c>
      <c r="H118" s="222">
        <v>-1</v>
      </c>
      <c r="I118" s="197">
        <v>5000</v>
      </c>
      <c r="J118" s="268">
        <f t="shared" si="8"/>
        <v>-5000</v>
      </c>
      <c r="K118" s="185"/>
      <c r="V118" s="183">
        <f t="shared" si="9"/>
        <v>0</v>
      </c>
      <c r="W118" s="183">
        <f t="shared" si="10"/>
        <v>1</v>
      </c>
    </row>
    <row r="119" spans="1:23" x14ac:dyDescent="0.3">
      <c r="A119" s="184"/>
      <c r="B119" s="194">
        <v>9</v>
      </c>
      <c r="C119" s="195">
        <v>45337</v>
      </c>
      <c r="D119" s="196" t="s">
        <v>23</v>
      </c>
      <c r="E119" s="222" t="s">
        <v>28</v>
      </c>
      <c r="F119" s="222">
        <v>209.4</v>
      </c>
      <c r="G119" s="222">
        <v>208.9</v>
      </c>
      <c r="H119" s="222">
        <f>209.4-208.9</f>
        <v>0.5</v>
      </c>
      <c r="I119" s="197">
        <v>5000</v>
      </c>
      <c r="J119" s="268">
        <f t="shared" si="8"/>
        <v>2500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45338</v>
      </c>
      <c r="D120" s="196" t="s">
        <v>23</v>
      </c>
      <c r="E120" s="222" t="s">
        <v>28</v>
      </c>
      <c r="F120" s="222">
        <v>212.5</v>
      </c>
      <c r="G120" s="222">
        <v>213.5</v>
      </c>
      <c r="H120" s="222">
        <v>-2</v>
      </c>
      <c r="I120" s="197">
        <v>5000</v>
      </c>
      <c r="J120" s="268">
        <f t="shared" si="8"/>
        <v>-10000</v>
      </c>
      <c r="K120" s="185"/>
      <c r="V120" s="183">
        <f t="shared" si="9"/>
        <v>0</v>
      </c>
      <c r="W120" s="183">
        <f t="shared" si="10"/>
        <v>1</v>
      </c>
    </row>
    <row r="121" spans="1:23" x14ac:dyDescent="0.3">
      <c r="A121" s="184"/>
      <c r="B121" s="194">
        <v>11</v>
      </c>
      <c r="C121" s="195">
        <v>45341</v>
      </c>
      <c r="D121" s="196" t="s">
        <v>23</v>
      </c>
      <c r="E121" s="222" t="s">
        <v>28</v>
      </c>
      <c r="F121" s="222">
        <v>214.8</v>
      </c>
      <c r="G121" s="222">
        <v>214.2</v>
      </c>
      <c r="H121" s="274">
        <f>214.8-214.2</f>
        <v>0.60000000000002274</v>
      </c>
      <c r="I121" s="197">
        <v>5000</v>
      </c>
      <c r="J121" s="268">
        <f t="shared" si="8"/>
        <v>3000.0000000001137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45342</v>
      </c>
      <c r="D122" s="196" t="s">
        <v>23</v>
      </c>
      <c r="E122" s="222" t="s">
        <v>28</v>
      </c>
      <c r="F122" s="222">
        <v>213.5</v>
      </c>
      <c r="G122" s="222">
        <v>212.5</v>
      </c>
      <c r="H122" s="274">
        <v>1</v>
      </c>
      <c r="I122" s="197">
        <v>5000</v>
      </c>
      <c r="J122" s="268">
        <f t="shared" si="8"/>
        <v>5000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45343</v>
      </c>
      <c r="D123" s="196" t="s">
        <v>23</v>
      </c>
      <c r="E123" s="222" t="s">
        <v>28</v>
      </c>
      <c r="F123" s="222">
        <v>214.6</v>
      </c>
      <c r="G123" s="222">
        <v>214</v>
      </c>
      <c r="H123" s="274">
        <v>0.6</v>
      </c>
      <c r="I123" s="197">
        <v>5000</v>
      </c>
      <c r="J123" s="268">
        <f t="shared" si="8"/>
        <v>3000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45344</v>
      </c>
      <c r="D124" s="196" t="s">
        <v>23</v>
      </c>
      <c r="E124" s="222" t="s">
        <v>28</v>
      </c>
      <c r="F124" s="222">
        <v>214.2</v>
      </c>
      <c r="G124" s="222">
        <v>213.55</v>
      </c>
      <c r="H124" s="274">
        <v>0.65</v>
      </c>
      <c r="I124" s="197">
        <v>5000</v>
      </c>
      <c r="J124" s="268">
        <f t="shared" si="8"/>
        <v>3250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45345</v>
      </c>
      <c r="D125" s="196" t="s">
        <v>23</v>
      </c>
      <c r="E125" s="196" t="s">
        <v>28</v>
      </c>
      <c r="F125" s="222">
        <v>213.8</v>
      </c>
      <c r="G125" s="222">
        <v>211.8</v>
      </c>
      <c r="H125" s="222">
        <f>213.8-211.8</f>
        <v>2</v>
      </c>
      <c r="I125" s="197">
        <v>5000</v>
      </c>
      <c r="J125" s="268">
        <f t="shared" si="8"/>
        <v>10000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45348</v>
      </c>
      <c r="D126" s="196" t="s">
        <v>23</v>
      </c>
      <c r="E126" s="196" t="s">
        <v>28</v>
      </c>
      <c r="F126" s="222">
        <v>214.3</v>
      </c>
      <c r="G126" s="222">
        <v>215.3</v>
      </c>
      <c r="H126" s="222">
        <v>-1</v>
      </c>
      <c r="I126" s="197">
        <v>5000</v>
      </c>
      <c r="J126" s="268">
        <f t="shared" si="8"/>
        <v>-5000</v>
      </c>
      <c r="K126" s="185"/>
      <c r="V126" s="183">
        <f t="shared" si="9"/>
        <v>0</v>
      </c>
      <c r="W126" s="183">
        <f t="shared" si="10"/>
        <v>1</v>
      </c>
    </row>
    <row r="127" spans="1:23" x14ac:dyDescent="0.3">
      <c r="A127" s="184"/>
      <c r="B127" s="194">
        <v>17</v>
      </c>
      <c r="C127" s="195">
        <v>45349</v>
      </c>
      <c r="D127" s="196" t="s">
        <v>23</v>
      </c>
      <c r="E127" s="196" t="s">
        <v>28</v>
      </c>
      <c r="F127" s="222">
        <v>216</v>
      </c>
      <c r="G127" s="274">
        <v>215.6</v>
      </c>
      <c r="H127" s="274">
        <f>216-215.6</f>
        <v>0.40000000000000568</v>
      </c>
      <c r="I127" s="197">
        <v>5000</v>
      </c>
      <c r="J127" s="268">
        <f t="shared" si="8"/>
        <v>2000.0000000000284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45350</v>
      </c>
      <c r="D128" s="196" t="s">
        <v>23</v>
      </c>
      <c r="E128" s="196" t="s">
        <v>28</v>
      </c>
      <c r="F128" s="222">
        <v>212.4</v>
      </c>
      <c r="G128" s="222">
        <v>212</v>
      </c>
      <c r="H128" s="274">
        <v>0.4</v>
      </c>
      <c r="I128" s="197">
        <v>5000</v>
      </c>
      <c r="J128" s="268">
        <f t="shared" si="8"/>
        <v>2000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>
        <v>45351</v>
      </c>
      <c r="D129" s="196" t="s">
        <v>23</v>
      </c>
      <c r="E129" s="196" t="s">
        <v>28</v>
      </c>
      <c r="F129" s="222">
        <v>214.2</v>
      </c>
      <c r="G129" s="222">
        <v>213.7</v>
      </c>
      <c r="H129" s="274">
        <f>214.2-213.7</f>
        <v>0.5</v>
      </c>
      <c r="I129" s="197">
        <v>5000</v>
      </c>
      <c r="J129" s="268">
        <f t="shared" si="8"/>
        <v>2500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20</v>
      </c>
      <c r="C130" s="195"/>
      <c r="D130" s="196"/>
      <c r="E130" s="196"/>
      <c r="F130" s="222"/>
      <c r="G130" s="222"/>
      <c r="H130" s="274"/>
      <c r="I130" s="197"/>
      <c r="J130" s="268">
        <f t="shared" si="8"/>
        <v>0</v>
      </c>
      <c r="K130" s="185"/>
      <c r="V130" s="183">
        <f t="shared" si="9"/>
        <v>0</v>
      </c>
      <c r="W130" s="183">
        <f t="shared" si="10"/>
        <v>0</v>
      </c>
    </row>
    <row r="131" spans="1:23" hidden="1" x14ac:dyDescent="0.3">
      <c r="A131" s="184"/>
      <c r="B131" s="194">
        <v>21</v>
      </c>
      <c r="C131" s="195"/>
      <c r="D131" s="196"/>
      <c r="E131" s="222"/>
      <c r="F131" s="222"/>
      <c r="G131" s="222"/>
      <c r="H131" s="274"/>
      <c r="I131" s="197"/>
      <c r="J131" s="268">
        <f t="shared" si="8"/>
        <v>0</v>
      </c>
      <c r="K131" s="185"/>
      <c r="V131" s="183">
        <f t="shared" si="9"/>
        <v>0</v>
      </c>
      <c r="W131" s="183">
        <f t="shared" si="10"/>
        <v>0</v>
      </c>
    </row>
    <row r="132" spans="1:23" hidden="1" x14ac:dyDescent="0.3">
      <c r="A132" s="184"/>
      <c r="B132" s="194">
        <v>22</v>
      </c>
      <c r="C132" s="195"/>
      <c r="D132" s="196"/>
      <c r="E132" s="222"/>
      <c r="F132" s="222"/>
      <c r="G132" s="222"/>
      <c r="H132" s="274"/>
      <c r="I132" s="197"/>
      <c r="J132" s="268">
        <f t="shared" si="8"/>
        <v>0</v>
      </c>
      <c r="K132" s="185"/>
      <c r="V132" s="183">
        <f>IF($J132&gt;0,1,0)</f>
        <v>0</v>
      </c>
      <c r="W132" s="183">
        <f>IF($J132&lt;0,1,0)</f>
        <v>0</v>
      </c>
    </row>
    <row r="133" spans="1:23" hidden="1" x14ac:dyDescent="0.3">
      <c r="A133" s="184"/>
      <c r="B133" s="194">
        <v>23</v>
      </c>
      <c r="C133" s="195"/>
      <c r="D133" s="196"/>
      <c r="E133" s="222"/>
      <c r="F133" s="222"/>
      <c r="G133" s="222"/>
      <c r="H133" s="222"/>
      <c r="I133" s="197"/>
      <c r="J133" s="268">
        <f>I133*H133</f>
        <v>0</v>
      </c>
      <c r="K133" s="185"/>
      <c r="V133" s="183">
        <f>IF($J133&gt;0,1,0)</f>
        <v>0</v>
      </c>
      <c r="W133" s="183">
        <f>IF($J133&lt;0,1,0)</f>
        <v>0</v>
      </c>
    </row>
    <row r="134" spans="1:23" ht="15" thickBot="1" x14ac:dyDescent="0.35">
      <c r="A134" s="184"/>
      <c r="B134" s="194">
        <v>24</v>
      </c>
      <c r="C134" s="220"/>
      <c r="D134" s="221"/>
      <c r="E134" s="221"/>
      <c r="F134" s="222"/>
      <c r="G134" s="222"/>
      <c r="H134" s="222"/>
      <c r="I134" s="211"/>
      <c r="J134" s="272">
        <f>I134*H134</f>
        <v>0</v>
      </c>
      <c r="K134" s="185"/>
      <c r="V134" s="183">
        <f>IF($J134&gt;0,1,0)</f>
        <v>0</v>
      </c>
      <c r="W134" s="183">
        <f>IF($J134&lt;0,1,0)</f>
        <v>0</v>
      </c>
    </row>
    <row r="135" spans="1:23" ht="24" thickBot="1" x14ac:dyDescent="0.5">
      <c r="A135" s="184"/>
      <c r="B135" s="316" t="s">
        <v>879</v>
      </c>
      <c r="C135" s="317"/>
      <c r="D135" s="317"/>
      <c r="E135" s="317"/>
      <c r="F135" s="317"/>
      <c r="G135" s="317"/>
      <c r="H135" s="318"/>
      <c r="I135" s="212" t="s">
        <v>880</v>
      </c>
      <c r="J135" s="213">
        <f>SUM(J111:J134)</f>
        <v>28500.0000000002</v>
      </c>
      <c r="K135" s="185"/>
      <c r="V135" s="183">
        <f>SUM(V111:V134)</f>
        <v>14</v>
      </c>
      <c r="W135" s="183">
        <f>SUM(W111:W134)</f>
        <v>5</v>
      </c>
    </row>
    <row r="136" spans="1:23" ht="30" customHeight="1" thickBot="1" x14ac:dyDescent="0.35">
      <c r="A136" s="205"/>
      <c r="B136" s="206"/>
      <c r="C136" s="206"/>
      <c r="D136" s="206"/>
      <c r="E136" s="206"/>
      <c r="F136" s="206"/>
      <c r="G136" s="206"/>
      <c r="H136" s="261"/>
      <c r="I136" s="206"/>
      <c r="J136" s="261"/>
      <c r="K136" s="207"/>
      <c r="L136" s="183" t="s">
        <v>926</v>
      </c>
    </row>
    <row r="137" spans="1:23" ht="15" thickBot="1" x14ac:dyDescent="0.35"/>
    <row r="138" spans="1:23" ht="30" customHeight="1" thickBot="1" x14ac:dyDescent="0.35">
      <c r="A138" s="180"/>
      <c r="B138" s="181"/>
      <c r="C138" s="181"/>
      <c r="D138" s="181"/>
      <c r="E138" s="181"/>
      <c r="F138" s="181"/>
      <c r="G138" s="181"/>
      <c r="H138" s="259"/>
      <c r="I138" s="181"/>
      <c r="J138" s="259"/>
      <c r="K138" s="182"/>
    </row>
    <row r="139" spans="1:23" ht="25.2" thickBot="1" x14ac:dyDescent="0.35">
      <c r="A139" s="184" t="s">
        <v>0</v>
      </c>
      <c r="B139" s="307" t="s">
        <v>873</v>
      </c>
      <c r="C139" s="308"/>
      <c r="D139" s="308"/>
      <c r="E139" s="308"/>
      <c r="F139" s="308"/>
      <c r="G139" s="308"/>
      <c r="H139" s="308"/>
      <c r="I139" s="308"/>
      <c r="J139" s="309"/>
      <c r="K139" s="185"/>
    </row>
    <row r="140" spans="1:23" ht="16.2" thickBot="1" x14ac:dyDescent="0.35">
      <c r="A140" s="184"/>
      <c r="B140" s="310">
        <v>45323</v>
      </c>
      <c r="C140" s="311"/>
      <c r="D140" s="311"/>
      <c r="E140" s="311"/>
      <c r="F140" s="311"/>
      <c r="G140" s="311"/>
      <c r="H140" s="311"/>
      <c r="I140" s="311"/>
      <c r="J140" s="312"/>
      <c r="K140" s="185"/>
    </row>
    <row r="141" spans="1:23" ht="16.2" thickBot="1" x14ac:dyDescent="0.35">
      <c r="A141" s="184"/>
      <c r="B141" s="313" t="s">
        <v>905</v>
      </c>
      <c r="C141" s="314"/>
      <c r="D141" s="314"/>
      <c r="E141" s="314"/>
      <c r="F141" s="314"/>
      <c r="G141" s="314"/>
      <c r="H141" s="314"/>
      <c r="I141" s="314"/>
      <c r="J141" s="315"/>
      <c r="K141" s="185"/>
    </row>
    <row r="142" spans="1:23" ht="15" thickBot="1" x14ac:dyDescent="0.35">
      <c r="A142" s="208"/>
      <c r="B142" s="186" t="s">
        <v>876</v>
      </c>
      <c r="C142" s="187" t="s">
        <v>1</v>
      </c>
      <c r="D142" s="188" t="s">
        <v>2</v>
      </c>
      <c r="E142" s="188" t="s">
        <v>3</v>
      </c>
      <c r="F142" s="189" t="s">
        <v>4</v>
      </c>
      <c r="G142" s="189" t="s">
        <v>5</v>
      </c>
      <c r="H142" s="260" t="s">
        <v>720</v>
      </c>
      <c r="I142" s="189" t="s">
        <v>6</v>
      </c>
      <c r="J142" s="266" t="s">
        <v>7</v>
      </c>
      <c r="K142" s="209"/>
      <c r="L142" s="198"/>
      <c r="V142" s="183" t="s">
        <v>254</v>
      </c>
      <c r="W142" s="183" t="s">
        <v>255</v>
      </c>
    </row>
    <row r="143" spans="1:23" x14ac:dyDescent="0.3">
      <c r="A143" s="184"/>
      <c r="B143" s="214">
        <v>1</v>
      </c>
      <c r="C143" s="215">
        <v>45323</v>
      </c>
      <c r="D143" s="216" t="s">
        <v>16</v>
      </c>
      <c r="E143" s="256" t="s">
        <v>910</v>
      </c>
      <c r="F143" s="256">
        <v>200</v>
      </c>
      <c r="G143" s="256">
        <v>220</v>
      </c>
      <c r="H143" s="256">
        <v>20</v>
      </c>
      <c r="I143" s="218">
        <v>100</v>
      </c>
      <c r="J143" s="273">
        <f>I143*H143</f>
        <v>2000</v>
      </c>
      <c r="K143" s="185"/>
      <c r="V143" s="183">
        <f>IF($J143&gt;0,1,0)</f>
        <v>1</v>
      </c>
      <c r="W143" s="183">
        <f>IF($J143&lt;0,1,0)</f>
        <v>0</v>
      </c>
    </row>
    <row r="144" spans="1:23" x14ac:dyDescent="0.3">
      <c r="A144" s="184"/>
      <c r="B144" s="194">
        <v>2</v>
      </c>
      <c r="C144" s="195">
        <v>45324</v>
      </c>
      <c r="D144" s="196" t="s">
        <v>16</v>
      </c>
      <c r="E144" s="222" t="s">
        <v>908</v>
      </c>
      <c r="F144" s="222">
        <v>200</v>
      </c>
      <c r="G144" s="222">
        <v>211</v>
      </c>
      <c r="H144" s="222">
        <v>11</v>
      </c>
      <c r="I144" s="218">
        <v>100</v>
      </c>
      <c r="J144" s="268">
        <f t="shared" ref="J144:J163" si="11">I144*H144</f>
        <v>1100</v>
      </c>
      <c r="K144" s="185"/>
      <c r="V144" s="183">
        <f t="shared" ref="V144:V165" si="12">IF($J144&gt;0,1,0)</f>
        <v>1</v>
      </c>
      <c r="W144" s="183">
        <f t="shared" ref="W144:W165" si="13">IF($J144&lt;0,1,0)</f>
        <v>0</v>
      </c>
    </row>
    <row r="145" spans="1:23" x14ac:dyDescent="0.3">
      <c r="A145" s="184"/>
      <c r="B145" s="194">
        <v>3</v>
      </c>
      <c r="C145" s="195">
        <v>45327</v>
      </c>
      <c r="D145" s="196" t="s">
        <v>16</v>
      </c>
      <c r="E145" s="222" t="s">
        <v>915</v>
      </c>
      <c r="F145" s="222">
        <v>220</v>
      </c>
      <c r="G145" s="222">
        <v>238</v>
      </c>
      <c r="H145" s="222">
        <f>238-220</f>
        <v>18</v>
      </c>
      <c r="I145" s="218">
        <v>100</v>
      </c>
      <c r="J145" s="268">
        <f t="shared" si="11"/>
        <v>1800</v>
      </c>
      <c r="K145" s="185"/>
      <c r="M145" s="183" t="s">
        <v>870</v>
      </c>
      <c r="V145" s="183">
        <f t="shared" si="12"/>
        <v>1</v>
      </c>
      <c r="W145" s="183">
        <f t="shared" si="13"/>
        <v>0</v>
      </c>
    </row>
    <row r="146" spans="1:23" x14ac:dyDescent="0.3">
      <c r="A146" s="184"/>
      <c r="B146" s="194">
        <v>4</v>
      </c>
      <c r="C146" s="195">
        <v>45328</v>
      </c>
      <c r="D146" s="196" t="s">
        <v>16</v>
      </c>
      <c r="E146" s="222" t="s">
        <v>908</v>
      </c>
      <c r="F146" s="222">
        <v>215</v>
      </c>
      <c r="G146" s="222">
        <v>243</v>
      </c>
      <c r="H146" s="222">
        <f>243-215</f>
        <v>28</v>
      </c>
      <c r="I146" s="218">
        <v>100</v>
      </c>
      <c r="J146" s="268">
        <f t="shared" si="11"/>
        <v>2800</v>
      </c>
      <c r="K146" s="185"/>
      <c r="V146" s="183">
        <f t="shared" si="12"/>
        <v>1</v>
      </c>
      <c r="W146" s="183">
        <f t="shared" si="13"/>
        <v>0</v>
      </c>
    </row>
    <row r="147" spans="1:23" x14ac:dyDescent="0.3">
      <c r="A147" s="184"/>
      <c r="B147" s="194">
        <v>5</v>
      </c>
      <c r="C147" s="195">
        <v>45329</v>
      </c>
      <c r="D147" s="196" t="s">
        <v>16</v>
      </c>
      <c r="E147" s="222" t="s">
        <v>908</v>
      </c>
      <c r="F147" s="222">
        <v>170</v>
      </c>
      <c r="G147" s="222">
        <v>150</v>
      </c>
      <c r="H147" s="222">
        <v>-20</v>
      </c>
      <c r="I147" s="218">
        <v>100</v>
      </c>
      <c r="J147" s="268">
        <f t="shared" si="11"/>
        <v>-2000</v>
      </c>
      <c r="K147" s="185"/>
      <c r="V147" s="183">
        <f t="shared" si="12"/>
        <v>0</v>
      </c>
      <c r="W147" s="183">
        <f t="shared" si="13"/>
        <v>1</v>
      </c>
    </row>
    <row r="148" spans="1:23" x14ac:dyDescent="0.3">
      <c r="A148" s="184"/>
      <c r="B148" s="194">
        <v>6</v>
      </c>
      <c r="C148" s="195">
        <v>45330</v>
      </c>
      <c r="D148" s="196" t="s">
        <v>16</v>
      </c>
      <c r="E148" s="222" t="s">
        <v>907</v>
      </c>
      <c r="F148" s="222">
        <v>220</v>
      </c>
      <c r="G148" s="222">
        <v>200</v>
      </c>
      <c r="H148" s="222">
        <v>-20</v>
      </c>
      <c r="I148" s="218">
        <v>100</v>
      </c>
      <c r="J148" s="268">
        <f t="shared" si="11"/>
        <v>-2000</v>
      </c>
      <c r="K148" s="185"/>
      <c r="V148" s="183">
        <f t="shared" si="12"/>
        <v>0</v>
      </c>
      <c r="W148" s="183">
        <f t="shared" si="13"/>
        <v>1</v>
      </c>
    </row>
    <row r="149" spans="1:23" x14ac:dyDescent="0.3">
      <c r="A149" s="184"/>
      <c r="B149" s="194">
        <v>7</v>
      </c>
      <c r="C149" s="195">
        <v>45331</v>
      </c>
      <c r="D149" s="196" t="s">
        <v>16</v>
      </c>
      <c r="E149" s="222" t="s">
        <v>913</v>
      </c>
      <c r="F149" s="222">
        <v>200</v>
      </c>
      <c r="G149" s="222">
        <v>227</v>
      </c>
      <c r="H149" s="274">
        <v>27</v>
      </c>
      <c r="I149" s="218">
        <v>100</v>
      </c>
      <c r="J149" s="268">
        <f t="shared" si="11"/>
        <v>2700</v>
      </c>
      <c r="K149" s="185"/>
      <c r="M149" s="183" t="s">
        <v>942</v>
      </c>
      <c r="V149" s="183">
        <f t="shared" si="12"/>
        <v>1</v>
      </c>
      <c r="W149" s="183">
        <f t="shared" si="13"/>
        <v>0</v>
      </c>
    </row>
    <row r="150" spans="1:23" x14ac:dyDescent="0.3">
      <c r="A150" s="184"/>
      <c r="B150" s="194">
        <v>8</v>
      </c>
      <c r="C150" s="195">
        <v>45334</v>
      </c>
      <c r="D150" s="196" t="s">
        <v>16</v>
      </c>
      <c r="E150" s="222" t="s">
        <v>913</v>
      </c>
      <c r="F150" s="222">
        <v>200</v>
      </c>
      <c r="G150" s="222">
        <v>220</v>
      </c>
      <c r="H150" s="222">
        <v>20</v>
      </c>
      <c r="I150" s="218">
        <v>100</v>
      </c>
      <c r="J150" s="268">
        <f t="shared" si="11"/>
        <v>2000</v>
      </c>
      <c r="K150" s="185"/>
      <c r="V150" s="183">
        <f t="shared" si="12"/>
        <v>1</v>
      </c>
      <c r="W150" s="183">
        <f t="shared" si="13"/>
        <v>0</v>
      </c>
    </row>
    <row r="151" spans="1:23" x14ac:dyDescent="0.3">
      <c r="A151" s="184"/>
      <c r="B151" s="194">
        <v>9</v>
      </c>
      <c r="C151" s="195">
        <v>45337</v>
      </c>
      <c r="D151" s="196" t="s">
        <v>16</v>
      </c>
      <c r="E151" s="222" t="s">
        <v>907</v>
      </c>
      <c r="F151" s="222">
        <v>220</v>
      </c>
      <c r="G151" s="222">
        <v>240</v>
      </c>
      <c r="H151" s="222">
        <v>20</v>
      </c>
      <c r="I151" s="218">
        <v>100</v>
      </c>
      <c r="J151" s="268">
        <f t="shared" si="11"/>
        <v>2000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10</v>
      </c>
      <c r="C152" s="195">
        <v>45338</v>
      </c>
      <c r="D152" s="196" t="s">
        <v>16</v>
      </c>
      <c r="E152" s="222" t="s">
        <v>910</v>
      </c>
      <c r="F152" s="222">
        <v>230</v>
      </c>
      <c r="G152" s="222">
        <v>237.5</v>
      </c>
      <c r="H152" s="222">
        <v>7.5</v>
      </c>
      <c r="I152" s="218">
        <v>100</v>
      </c>
      <c r="J152" s="268">
        <f t="shared" si="11"/>
        <v>750</v>
      </c>
      <c r="K152" s="185"/>
      <c r="V152" s="183">
        <f t="shared" si="12"/>
        <v>1</v>
      </c>
      <c r="W152" s="183">
        <f t="shared" si="13"/>
        <v>0</v>
      </c>
    </row>
    <row r="153" spans="1:23" x14ac:dyDescent="0.3">
      <c r="A153" s="184"/>
      <c r="B153" s="194">
        <v>11</v>
      </c>
      <c r="C153" s="195">
        <v>45341</v>
      </c>
      <c r="D153" s="196" t="s">
        <v>16</v>
      </c>
      <c r="E153" s="222" t="s">
        <v>910</v>
      </c>
      <c r="F153" s="222">
        <v>190</v>
      </c>
      <c r="G153" s="222">
        <v>170</v>
      </c>
      <c r="H153" s="274">
        <v>-20</v>
      </c>
      <c r="I153" s="218">
        <v>100</v>
      </c>
      <c r="J153" s="268">
        <f t="shared" si="11"/>
        <v>-2000</v>
      </c>
      <c r="K153" s="185"/>
      <c r="V153" s="183">
        <f t="shared" si="12"/>
        <v>0</v>
      </c>
      <c r="W153" s="183">
        <f t="shared" si="13"/>
        <v>1</v>
      </c>
    </row>
    <row r="154" spans="1:23" x14ac:dyDescent="0.3">
      <c r="A154" s="184"/>
      <c r="B154" s="194">
        <v>12</v>
      </c>
      <c r="C154" s="195">
        <v>45342</v>
      </c>
      <c r="D154" s="196" t="s">
        <v>16</v>
      </c>
      <c r="E154" s="222" t="s">
        <v>910</v>
      </c>
      <c r="F154" s="222">
        <v>175</v>
      </c>
      <c r="G154" s="222">
        <v>200</v>
      </c>
      <c r="H154" s="274">
        <f>200-175</f>
        <v>25</v>
      </c>
      <c r="I154" s="218">
        <v>100</v>
      </c>
      <c r="J154" s="268">
        <f t="shared" si="11"/>
        <v>2500</v>
      </c>
      <c r="K154" s="185"/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13</v>
      </c>
      <c r="C155" s="195">
        <v>45343</v>
      </c>
      <c r="D155" s="196" t="s">
        <v>16</v>
      </c>
      <c r="E155" s="222" t="s">
        <v>910</v>
      </c>
      <c r="F155" s="222">
        <v>230</v>
      </c>
      <c r="G155" s="222">
        <v>210</v>
      </c>
      <c r="H155" s="274">
        <v>-20</v>
      </c>
      <c r="I155" s="218">
        <v>100</v>
      </c>
      <c r="J155" s="268">
        <f t="shared" si="11"/>
        <v>-2000</v>
      </c>
      <c r="K155" s="185"/>
      <c r="V155" s="183">
        <f t="shared" si="12"/>
        <v>0</v>
      </c>
      <c r="W155" s="183">
        <f t="shared" si="13"/>
        <v>1</v>
      </c>
    </row>
    <row r="156" spans="1:23" x14ac:dyDescent="0.3">
      <c r="A156" s="184"/>
      <c r="B156" s="194">
        <v>14</v>
      </c>
      <c r="C156" s="195">
        <v>45344</v>
      </c>
      <c r="D156" s="196" t="s">
        <v>16</v>
      </c>
      <c r="E156" s="222" t="s">
        <v>913</v>
      </c>
      <c r="F156" s="222">
        <v>210</v>
      </c>
      <c r="G156" s="222">
        <v>233</v>
      </c>
      <c r="H156" s="274">
        <f>233-210</f>
        <v>23</v>
      </c>
      <c r="I156" s="218">
        <v>100</v>
      </c>
      <c r="J156" s="268">
        <f t="shared" si="11"/>
        <v>2300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15</v>
      </c>
      <c r="C157" s="195">
        <v>45345</v>
      </c>
      <c r="D157" s="196" t="s">
        <v>16</v>
      </c>
      <c r="E157" s="196" t="s">
        <v>913</v>
      </c>
      <c r="F157" s="222">
        <v>203</v>
      </c>
      <c r="G157" s="222">
        <v>233</v>
      </c>
      <c r="H157" s="222">
        <f>233-203</f>
        <v>30</v>
      </c>
      <c r="I157" s="218">
        <v>100</v>
      </c>
      <c r="J157" s="268">
        <f t="shared" si="11"/>
        <v>3000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16</v>
      </c>
      <c r="C158" s="195">
        <v>45348</v>
      </c>
      <c r="D158" s="196" t="s">
        <v>16</v>
      </c>
      <c r="E158" s="196" t="s">
        <v>910</v>
      </c>
      <c r="F158" s="222">
        <v>235</v>
      </c>
      <c r="G158" s="274">
        <v>215</v>
      </c>
      <c r="H158" s="274">
        <f>235-215</f>
        <v>20</v>
      </c>
      <c r="I158" s="218">
        <v>100</v>
      </c>
      <c r="J158" s="268">
        <f t="shared" si="11"/>
        <v>2000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17</v>
      </c>
      <c r="C159" s="195">
        <v>45349</v>
      </c>
      <c r="D159" s="196" t="s">
        <v>16</v>
      </c>
      <c r="E159" s="196" t="s">
        <v>913</v>
      </c>
      <c r="F159" s="222">
        <v>205</v>
      </c>
      <c r="G159" s="222">
        <v>230</v>
      </c>
      <c r="H159" s="263">
        <f>230-205</f>
        <v>25</v>
      </c>
      <c r="I159" s="218">
        <v>100</v>
      </c>
      <c r="J159" s="268">
        <f t="shared" si="11"/>
        <v>2500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18</v>
      </c>
      <c r="C160" s="195">
        <v>45350</v>
      </c>
      <c r="D160" s="196" t="s">
        <v>16</v>
      </c>
      <c r="E160" s="196" t="s">
        <v>913</v>
      </c>
      <c r="F160" s="222">
        <v>190</v>
      </c>
      <c r="G160" s="222">
        <v>170</v>
      </c>
      <c r="H160" s="274">
        <v>-20</v>
      </c>
      <c r="I160" s="218">
        <v>100</v>
      </c>
      <c r="J160" s="268">
        <f t="shared" si="11"/>
        <v>-2000</v>
      </c>
      <c r="K160" s="185"/>
      <c r="V160" s="183">
        <f t="shared" si="12"/>
        <v>0</v>
      </c>
      <c r="W160" s="183">
        <f t="shared" si="13"/>
        <v>1</v>
      </c>
    </row>
    <row r="161" spans="1:23" x14ac:dyDescent="0.3">
      <c r="A161" s="184"/>
      <c r="B161" s="194">
        <v>19</v>
      </c>
      <c r="C161" s="195">
        <v>45351</v>
      </c>
      <c r="D161" s="196" t="s">
        <v>16</v>
      </c>
      <c r="E161" s="196" t="s">
        <v>912</v>
      </c>
      <c r="F161" s="222">
        <v>225</v>
      </c>
      <c r="G161" s="222">
        <v>233.5</v>
      </c>
      <c r="H161" s="274">
        <f>233.5-225</f>
        <v>8.5</v>
      </c>
      <c r="I161" s="218">
        <v>100</v>
      </c>
      <c r="J161" s="268">
        <f t="shared" si="11"/>
        <v>850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20</v>
      </c>
      <c r="C162" s="195"/>
      <c r="D162" s="196"/>
      <c r="E162" s="222"/>
      <c r="F162" s="222"/>
      <c r="G162" s="222"/>
      <c r="H162" s="274"/>
      <c r="I162" s="218"/>
      <c r="J162" s="268">
        <f t="shared" si="11"/>
        <v>0</v>
      </c>
      <c r="K162" s="185"/>
      <c r="V162" s="183">
        <f t="shared" si="12"/>
        <v>0</v>
      </c>
      <c r="W162" s="183">
        <f t="shared" si="13"/>
        <v>0</v>
      </c>
    </row>
    <row r="163" spans="1:23" hidden="1" x14ac:dyDescent="0.3">
      <c r="A163" s="184"/>
      <c r="B163" s="194">
        <v>21</v>
      </c>
      <c r="C163" s="195"/>
      <c r="D163" s="196"/>
      <c r="E163" s="222"/>
      <c r="F163" s="222"/>
      <c r="G163" s="222"/>
      <c r="H163" s="274"/>
      <c r="I163" s="218"/>
      <c r="J163" s="268">
        <f t="shared" si="11"/>
        <v>0</v>
      </c>
      <c r="K163" s="185"/>
      <c r="V163" s="183">
        <f t="shared" si="12"/>
        <v>0</v>
      </c>
      <c r="W163" s="183">
        <f t="shared" si="13"/>
        <v>0</v>
      </c>
    </row>
    <row r="164" spans="1:23" hidden="1" x14ac:dyDescent="0.3">
      <c r="A164" s="184"/>
      <c r="B164" s="194">
        <v>22</v>
      </c>
      <c r="C164" s="195"/>
      <c r="D164" s="196"/>
      <c r="E164" s="222"/>
      <c r="F164" s="222"/>
      <c r="G164" s="222"/>
      <c r="H164" s="222"/>
      <c r="I164" s="218"/>
      <c r="J164" s="268">
        <f>I164*H164</f>
        <v>0</v>
      </c>
      <c r="K164" s="185"/>
      <c r="V164" s="183">
        <f t="shared" si="12"/>
        <v>0</v>
      </c>
      <c r="W164" s="183">
        <f t="shared" si="13"/>
        <v>0</v>
      </c>
    </row>
    <row r="165" spans="1:23" ht="15" thickBot="1" x14ac:dyDescent="0.35">
      <c r="A165" s="184"/>
      <c r="B165" s="199">
        <v>23</v>
      </c>
      <c r="C165" s="200"/>
      <c r="D165" s="201"/>
      <c r="E165" s="201"/>
      <c r="F165" s="284"/>
      <c r="G165" s="284"/>
      <c r="H165" s="284"/>
      <c r="I165" s="285"/>
      <c r="J165" s="269">
        <f>I165*H165</f>
        <v>0</v>
      </c>
      <c r="K165" s="185"/>
      <c r="V165" s="183">
        <f t="shared" si="12"/>
        <v>0</v>
      </c>
      <c r="W165" s="183">
        <f t="shared" si="13"/>
        <v>0</v>
      </c>
    </row>
    <row r="166" spans="1:23" ht="24" thickBot="1" x14ac:dyDescent="0.5">
      <c r="A166" s="184"/>
      <c r="B166" s="304" t="s">
        <v>879</v>
      </c>
      <c r="C166" s="305"/>
      <c r="D166" s="305"/>
      <c r="E166" s="305"/>
      <c r="F166" s="305"/>
      <c r="G166" s="305"/>
      <c r="H166" s="306"/>
      <c r="I166" s="203" t="s">
        <v>880</v>
      </c>
      <c r="J166" s="204">
        <f>SUM(J143:J165)</f>
        <v>18300</v>
      </c>
      <c r="K166" s="185"/>
      <c r="V166" s="183">
        <f>SUM(V143:V165)</f>
        <v>14</v>
      </c>
      <c r="W166" s="183">
        <f>SUM(W143:W165)</f>
        <v>5</v>
      </c>
    </row>
    <row r="167" spans="1:23" ht="30" customHeight="1" thickBot="1" x14ac:dyDescent="0.35">
      <c r="A167" s="205"/>
      <c r="B167" s="286"/>
      <c r="C167" s="286"/>
      <c r="D167" s="286"/>
      <c r="E167" s="286"/>
      <c r="F167" s="286"/>
      <c r="G167" s="286"/>
      <c r="H167" s="287"/>
      <c r="I167" s="286"/>
      <c r="J167" s="287"/>
      <c r="K167" s="207"/>
    </row>
  </sheetData>
  <mergeCells count="54">
    <mergeCell ref="M10:M11"/>
    <mergeCell ref="B140:J140"/>
    <mergeCell ref="B141:J141"/>
    <mergeCell ref="B166:H166"/>
    <mergeCell ref="B103:H103"/>
    <mergeCell ref="B107:J107"/>
    <mergeCell ref="B108:J108"/>
    <mergeCell ref="B109:J109"/>
    <mergeCell ref="B135:H135"/>
    <mergeCell ref="B139:J13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8600-000000000000}"/>
    <hyperlink ref="B103" r:id="rId2" xr:uid="{00000000-0004-0000-8600-000001000000}"/>
    <hyperlink ref="M4:M5" location="'FEB 2024'!A1" display="BULLION" xr:uid="{00000000-0004-0000-8600-000002000000}"/>
    <hyperlink ref="B135" r:id="rId3" xr:uid="{00000000-0004-0000-8600-000003000000}"/>
    <hyperlink ref="M8:M9" location="'FEB 2024'!A86" display="BASE METAL" xr:uid="{00000000-0004-0000-8600-000004000000}"/>
    <hyperlink ref="M1" location="MASTER!A1" display="Back" xr:uid="{00000000-0004-0000-8600-000005000000}"/>
    <hyperlink ref="M6:M7" location="'FEB 2024'!A55" display="ENERGY" xr:uid="{00000000-0004-0000-8600-000006000000}"/>
    <hyperlink ref="B166" r:id="rId4" xr:uid="{00000000-0004-0000-8600-000007000000}"/>
    <hyperlink ref="M10:M11" location="'FEB 2024'!A117" display="CRUDEOIL OPTION" xr:uid="{00000000-0004-0000-8600-000008000000}"/>
  </hyperlinks>
  <pageMargins left="0" right="0" top="0" bottom="0" header="0" footer="0"/>
  <pageSetup paperSize="9" orientation="portrait" r:id="rId5"/>
  <drawing r:id="rId6"/>
  <legacyDrawing r:id="rId7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B0D9C-5DCF-4FD9-9011-D7D8709E4D13}">
  <dimension ref="A1:X167"/>
  <sheetViews>
    <sheetView topLeftCell="A117" zoomScaleNormal="100" workbookViewId="0">
      <selection activeCell="A117" sqref="A11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45352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34</v>
      </c>
      <c r="O4" s="369">
        <f>V52</f>
        <v>25</v>
      </c>
      <c r="P4" s="369">
        <f>W52</f>
        <v>9</v>
      </c>
      <c r="Q4" s="349">
        <f>N4-O4-P4</f>
        <v>0</v>
      </c>
      <c r="R4" s="343">
        <f>O4/N4</f>
        <v>0.73529411764705888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45355</v>
      </c>
      <c r="D6" s="192" t="s">
        <v>23</v>
      </c>
      <c r="E6" s="192" t="s">
        <v>24</v>
      </c>
      <c r="F6" s="193">
        <v>63580</v>
      </c>
      <c r="G6" s="193">
        <v>63525</v>
      </c>
      <c r="H6" s="192">
        <f>63580-63525</f>
        <v>55</v>
      </c>
      <c r="I6" s="193">
        <v>100</v>
      </c>
      <c r="J6" s="267">
        <f>H6*I6</f>
        <v>5500</v>
      </c>
      <c r="K6" s="185"/>
      <c r="M6" s="364" t="s">
        <v>258</v>
      </c>
      <c r="N6" s="347">
        <f>COUNT(C60:C102)</f>
        <v>36</v>
      </c>
      <c r="O6" s="348">
        <f>V103</f>
        <v>33</v>
      </c>
      <c r="P6" s="348">
        <f>W103</f>
        <v>3</v>
      </c>
      <c r="Q6" s="349">
        <v>0</v>
      </c>
      <c r="R6" s="345">
        <f t="shared" ref="R6" si="0">O6/N6</f>
        <v>0.91666666666666663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45355</v>
      </c>
      <c r="D7" s="196" t="s">
        <v>23</v>
      </c>
      <c r="E7" s="196" t="s">
        <v>22</v>
      </c>
      <c r="F7" s="197">
        <v>72200</v>
      </c>
      <c r="G7" s="197">
        <v>72500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45356</v>
      </c>
      <c r="D8" s="196" t="s">
        <v>23</v>
      </c>
      <c r="E8" s="196" t="s">
        <v>24</v>
      </c>
      <c r="F8" s="197">
        <v>64670</v>
      </c>
      <c r="G8" s="197">
        <v>64770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COUNT(C111:C134)</f>
        <v>18</v>
      </c>
      <c r="O8" s="348">
        <f>V135</f>
        <v>15</v>
      </c>
      <c r="P8" s="348">
        <f>W135</f>
        <v>3</v>
      </c>
      <c r="Q8" s="349">
        <f>N8-O8-P8</f>
        <v>0</v>
      </c>
      <c r="R8" s="345">
        <f t="shared" ref="R8" si="4">O8/N8</f>
        <v>0.83333333333333337</v>
      </c>
      <c r="V8" s="183">
        <f t="shared" si="2"/>
        <v>0</v>
      </c>
      <c r="W8" s="183">
        <f t="shared" si="3"/>
        <v>1</v>
      </c>
    </row>
    <row r="9" spans="1:23" x14ac:dyDescent="0.3">
      <c r="A9" s="184"/>
      <c r="B9" s="194">
        <v>4</v>
      </c>
      <c r="C9" s="195">
        <v>45356</v>
      </c>
      <c r="D9" s="196" t="s">
        <v>23</v>
      </c>
      <c r="E9" s="196" t="s">
        <v>22</v>
      </c>
      <c r="F9" s="197">
        <v>73850</v>
      </c>
      <c r="G9" s="197">
        <v>73610</v>
      </c>
      <c r="H9" s="196">
        <v>240</v>
      </c>
      <c r="I9" s="197">
        <v>30</v>
      </c>
      <c r="J9" s="268">
        <f t="shared" si="1"/>
        <v>7200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45357</v>
      </c>
      <c r="D10" s="196" t="s">
        <v>23</v>
      </c>
      <c r="E10" s="196" t="s">
        <v>24</v>
      </c>
      <c r="F10" s="197">
        <v>64760</v>
      </c>
      <c r="G10" s="197">
        <v>64680</v>
      </c>
      <c r="H10" s="196">
        <v>80</v>
      </c>
      <c r="I10" s="197">
        <v>100</v>
      </c>
      <c r="J10" s="268">
        <f t="shared" si="1"/>
        <v>8000</v>
      </c>
      <c r="K10" s="185"/>
      <c r="M10" s="364" t="s">
        <v>906</v>
      </c>
      <c r="N10" s="347">
        <f>COUNT(C143:C165)</f>
        <v>17</v>
      </c>
      <c r="O10" s="348">
        <f>V166</f>
        <v>11</v>
      </c>
      <c r="P10" s="348">
        <f>W166</f>
        <v>6</v>
      </c>
      <c r="Q10" s="349">
        <f>N10-O10-P10</f>
        <v>0</v>
      </c>
      <c r="R10" s="345">
        <f>O10/N10</f>
        <v>0.6470588235294118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45357</v>
      </c>
      <c r="D11" s="196" t="s">
        <v>23</v>
      </c>
      <c r="E11" s="196" t="s">
        <v>22</v>
      </c>
      <c r="F11" s="197">
        <v>73400</v>
      </c>
      <c r="G11" s="197">
        <v>74700</v>
      </c>
      <c r="H11" s="196">
        <v>-300</v>
      </c>
      <c r="I11" s="197">
        <v>30</v>
      </c>
      <c r="J11" s="268">
        <f t="shared" si="1"/>
        <v>-9000</v>
      </c>
      <c r="K11" s="185"/>
      <c r="M11" s="365"/>
      <c r="N11" s="347"/>
      <c r="O11" s="348"/>
      <c r="P11" s="348"/>
      <c r="Q11" s="350"/>
      <c r="R11" s="345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45358</v>
      </c>
      <c r="D12" s="196" t="s">
        <v>23</v>
      </c>
      <c r="E12" s="196" t="s">
        <v>24</v>
      </c>
      <c r="F12" s="197">
        <v>65420</v>
      </c>
      <c r="G12" s="197">
        <v>65280</v>
      </c>
      <c r="H12" s="196">
        <v>140</v>
      </c>
      <c r="I12" s="197">
        <v>100</v>
      </c>
      <c r="J12" s="268">
        <f t="shared" si="1"/>
        <v>14000</v>
      </c>
      <c r="K12" s="185"/>
      <c r="M12" s="319" t="s">
        <v>300</v>
      </c>
      <c r="N12" s="371">
        <f>SUM(N4:N11)</f>
        <v>105</v>
      </c>
      <c r="O12" s="371">
        <f>SUM(O4:O11)</f>
        <v>84</v>
      </c>
      <c r="P12" s="371">
        <f>SUM(P4:P11)</f>
        <v>21</v>
      </c>
      <c r="Q12" s="371">
        <f>SUM(Q4:Q11)</f>
        <v>0</v>
      </c>
      <c r="R12" s="343">
        <f>O12/N12</f>
        <v>0.8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45358</v>
      </c>
      <c r="D13" s="196" t="s">
        <v>23</v>
      </c>
      <c r="E13" s="196" t="s">
        <v>22</v>
      </c>
      <c r="F13" s="197">
        <v>74150</v>
      </c>
      <c r="G13" s="197">
        <v>74020</v>
      </c>
      <c r="H13" s="196">
        <v>130</v>
      </c>
      <c r="I13" s="197">
        <v>30</v>
      </c>
      <c r="J13" s="268">
        <f t="shared" si="1"/>
        <v>3900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45362</v>
      </c>
      <c r="D14" s="196" t="s">
        <v>16</v>
      </c>
      <c r="E14" s="196" t="s">
        <v>24</v>
      </c>
      <c r="F14" s="197">
        <v>66100</v>
      </c>
      <c r="G14" s="197">
        <v>66000</v>
      </c>
      <c r="H14" s="196">
        <v>-100</v>
      </c>
      <c r="I14" s="197">
        <v>100</v>
      </c>
      <c r="J14" s="268">
        <f t="shared" si="1"/>
        <v>-10000</v>
      </c>
      <c r="K14" s="185"/>
      <c r="M14" s="323" t="s">
        <v>878</v>
      </c>
      <c r="N14" s="324"/>
      <c r="O14" s="325"/>
      <c r="P14" s="332">
        <f>R12</f>
        <v>0.8</v>
      </c>
      <c r="Q14" s="333"/>
      <c r="R14" s="334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45362</v>
      </c>
      <c r="D15" s="196" t="s">
        <v>16</v>
      </c>
      <c r="E15" s="196" t="s">
        <v>22</v>
      </c>
      <c r="F15" s="197">
        <v>74300</v>
      </c>
      <c r="G15" s="197">
        <v>74449</v>
      </c>
      <c r="H15" s="196">
        <f>74449-74300</f>
        <v>149</v>
      </c>
      <c r="I15" s="197">
        <v>30</v>
      </c>
      <c r="J15" s="268">
        <f t="shared" si="1"/>
        <v>4470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45363</v>
      </c>
      <c r="D16" s="196" t="s">
        <v>23</v>
      </c>
      <c r="E16" s="196" t="s">
        <v>24</v>
      </c>
      <c r="F16" s="197">
        <v>65960</v>
      </c>
      <c r="G16" s="197">
        <v>65760</v>
      </c>
      <c r="H16" s="196">
        <v>200</v>
      </c>
      <c r="I16" s="197">
        <v>100</v>
      </c>
      <c r="J16" s="268">
        <f t="shared" si="1"/>
        <v>20000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45363</v>
      </c>
      <c r="D17" s="196" t="s">
        <v>23</v>
      </c>
      <c r="E17" s="196" t="s">
        <v>22</v>
      </c>
      <c r="F17" s="197">
        <v>74500</v>
      </c>
      <c r="G17" s="197">
        <v>74070</v>
      </c>
      <c r="H17" s="196">
        <v>430</v>
      </c>
      <c r="I17" s="197">
        <v>30</v>
      </c>
      <c r="J17" s="268">
        <f t="shared" si="1"/>
        <v>12900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45364</v>
      </c>
      <c r="D18" s="196" t="s">
        <v>16</v>
      </c>
      <c r="E18" s="196" t="s">
        <v>24</v>
      </c>
      <c r="F18" s="197">
        <v>65520</v>
      </c>
      <c r="G18" s="197">
        <v>65720</v>
      </c>
      <c r="H18" s="196">
        <v>200</v>
      </c>
      <c r="I18" s="197">
        <v>100</v>
      </c>
      <c r="J18" s="268">
        <f t="shared" si="1"/>
        <v>20000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45364</v>
      </c>
      <c r="D19" s="196" t="s">
        <v>16</v>
      </c>
      <c r="E19" s="196" t="s">
        <v>22</v>
      </c>
      <c r="F19" s="197">
        <v>73850</v>
      </c>
      <c r="G19" s="197">
        <v>74340</v>
      </c>
      <c r="H19" s="196">
        <f>74340-73850</f>
        <v>490</v>
      </c>
      <c r="I19" s="197">
        <v>30</v>
      </c>
      <c r="J19" s="268">
        <f t="shared" si="1"/>
        <v>14700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45365</v>
      </c>
      <c r="D20" s="196" t="s">
        <v>16</v>
      </c>
      <c r="E20" s="196" t="s">
        <v>24</v>
      </c>
      <c r="F20" s="197">
        <v>65730</v>
      </c>
      <c r="G20" s="197">
        <v>65825</v>
      </c>
      <c r="H20" s="196">
        <f>65825-65730</f>
        <v>95</v>
      </c>
      <c r="I20" s="197">
        <v>100</v>
      </c>
      <c r="J20" s="268">
        <f t="shared" si="1"/>
        <v>9500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45365</v>
      </c>
      <c r="D21" s="196" t="s">
        <v>16</v>
      </c>
      <c r="E21" s="196" t="s">
        <v>22</v>
      </c>
      <c r="F21" s="197">
        <v>75300</v>
      </c>
      <c r="G21" s="197">
        <v>75600</v>
      </c>
      <c r="H21" s="196">
        <v>300</v>
      </c>
      <c r="I21" s="197">
        <v>30</v>
      </c>
      <c r="J21" s="268">
        <f t="shared" si="1"/>
        <v>9000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45366</v>
      </c>
      <c r="D22" s="196" t="s">
        <v>16</v>
      </c>
      <c r="E22" s="196" t="s">
        <v>24</v>
      </c>
      <c r="F22" s="197">
        <v>65800</v>
      </c>
      <c r="G22" s="197">
        <v>65890</v>
      </c>
      <c r="H22" s="196">
        <v>90</v>
      </c>
      <c r="I22" s="197">
        <v>100</v>
      </c>
      <c r="J22" s="268">
        <f t="shared" si="1"/>
        <v>9000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45366</v>
      </c>
      <c r="D23" s="196" t="s">
        <v>16</v>
      </c>
      <c r="E23" s="196" t="s">
        <v>22</v>
      </c>
      <c r="F23" s="197">
        <v>75700</v>
      </c>
      <c r="G23" s="197">
        <v>75400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45369</v>
      </c>
      <c r="D24" s="196" t="s">
        <v>23</v>
      </c>
      <c r="E24" s="196" t="s">
        <v>24</v>
      </c>
      <c r="F24" s="197">
        <v>65470</v>
      </c>
      <c r="G24" s="197">
        <v>65570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45369</v>
      </c>
      <c r="D25" s="196" t="s">
        <v>23</v>
      </c>
      <c r="E25" s="196" t="s">
        <v>22</v>
      </c>
      <c r="F25" s="197">
        <v>75550</v>
      </c>
      <c r="G25" s="197">
        <v>75850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45370</v>
      </c>
      <c r="D26" s="196" t="s">
        <v>23</v>
      </c>
      <c r="E26" s="196" t="s">
        <v>24</v>
      </c>
      <c r="F26" s="197">
        <v>65540</v>
      </c>
      <c r="G26" s="197">
        <v>65440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45370</v>
      </c>
      <c r="D27" s="196" t="s">
        <v>23</v>
      </c>
      <c r="E27" s="196" t="s">
        <v>22</v>
      </c>
      <c r="F27" s="197">
        <v>75250</v>
      </c>
      <c r="G27" s="197">
        <v>75050</v>
      </c>
      <c r="H27" s="196">
        <f>75250-75050</f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45371</v>
      </c>
      <c r="D28" s="196" t="s">
        <v>23</v>
      </c>
      <c r="E28" s="196" t="s">
        <v>24</v>
      </c>
      <c r="F28" s="197">
        <v>65620</v>
      </c>
      <c r="G28" s="197">
        <v>65550</v>
      </c>
      <c r="H28" s="196">
        <f>65620-65550</f>
        <v>70</v>
      </c>
      <c r="I28" s="197">
        <v>100</v>
      </c>
      <c r="J28" s="268">
        <f t="shared" si="1"/>
        <v>7000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45371</v>
      </c>
      <c r="D29" s="196" t="s">
        <v>23</v>
      </c>
      <c r="E29" s="196" t="s">
        <v>22</v>
      </c>
      <c r="F29" s="197">
        <v>75150</v>
      </c>
      <c r="G29" s="197">
        <v>74904</v>
      </c>
      <c r="H29" s="196">
        <f>75150-74904</f>
        <v>246</v>
      </c>
      <c r="I29" s="197">
        <v>30</v>
      </c>
      <c r="J29" s="268">
        <f t="shared" si="1"/>
        <v>7380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45372</v>
      </c>
      <c r="D30" s="196" t="s">
        <v>23</v>
      </c>
      <c r="E30" s="196" t="s">
        <v>24</v>
      </c>
      <c r="F30" s="197">
        <v>66820</v>
      </c>
      <c r="G30" s="197">
        <v>66620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45372</v>
      </c>
      <c r="D31" s="196" t="s">
        <v>23</v>
      </c>
      <c r="E31" s="196" t="s">
        <v>22</v>
      </c>
      <c r="F31" s="197">
        <v>76600</v>
      </c>
      <c r="G31" s="197">
        <v>76300</v>
      </c>
      <c r="H31" s="196">
        <v>300</v>
      </c>
      <c r="I31" s="197">
        <v>30</v>
      </c>
      <c r="J31" s="268">
        <f t="shared" si="1"/>
        <v>9000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45373</v>
      </c>
      <c r="D32" s="196" t="s">
        <v>23</v>
      </c>
      <c r="E32" s="196" t="s">
        <v>24</v>
      </c>
      <c r="F32" s="197">
        <v>65960</v>
      </c>
      <c r="G32" s="197">
        <v>65900</v>
      </c>
      <c r="H32" s="196">
        <v>60</v>
      </c>
      <c r="I32" s="197">
        <v>100</v>
      </c>
      <c r="J32" s="268">
        <f t="shared" si="1"/>
        <v>6000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45373</v>
      </c>
      <c r="D33" s="196" t="s">
        <v>23</v>
      </c>
      <c r="E33" s="196" t="s">
        <v>22</v>
      </c>
      <c r="F33" s="197">
        <v>74800</v>
      </c>
      <c r="G33" s="197">
        <v>74630</v>
      </c>
      <c r="H33" s="196">
        <f>74800-74630</f>
        <v>170</v>
      </c>
      <c r="I33" s="197">
        <v>30</v>
      </c>
      <c r="J33" s="268">
        <f t="shared" si="1"/>
        <v>5100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45377</v>
      </c>
      <c r="D34" s="196" t="s">
        <v>23</v>
      </c>
      <c r="E34" s="196" t="s">
        <v>24</v>
      </c>
      <c r="F34" s="197">
        <v>66060</v>
      </c>
      <c r="G34" s="197">
        <v>65960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45377</v>
      </c>
      <c r="D35" s="196" t="s">
        <v>23</v>
      </c>
      <c r="E35" s="196" t="s">
        <v>22</v>
      </c>
      <c r="F35" s="197">
        <v>74750</v>
      </c>
      <c r="G35" s="197">
        <v>74450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45378</v>
      </c>
      <c r="D36" s="196" t="s">
        <v>23</v>
      </c>
      <c r="E36" s="196" t="s">
        <v>24</v>
      </c>
      <c r="F36" s="197">
        <v>66120</v>
      </c>
      <c r="G36" s="197">
        <v>66040</v>
      </c>
      <c r="H36" s="196">
        <f>66120-66040</f>
        <v>80</v>
      </c>
      <c r="I36" s="197">
        <v>100</v>
      </c>
      <c r="J36" s="268">
        <f t="shared" si="1"/>
        <v>8000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45378</v>
      </c>
      <c r="D37" s="196" t="s">
        <v>23</v>
      </c>
      <c r="E37" s="196" t="s">
        <v>22</v>
      </c>
      <c r="F37" s="197">
        <v>74500</v>
      </c>
      <c r="G37" s="197">
        <v>74800</v>
      </c>
      <c r="H37" s="196"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45379</v>
      </c>
      <c r="D38" s="196" t="s">
        <v>23</v>
      </c>
      <c r="E38" s="196" t="s">
        <v>24</v>
      </c>
      <c r="F38" s="197">
        <v>66500</v>
      </c>
      <c r="G38" s="197">
        <v>66600</v>
      </c>
      <c r="H38" s="196">
        <v>-100</v>
      </c>
      <c r="I38" s="197">
        <v>100</v>
      </c>
      <c r="J38" s="268">
        <f t="shared" si="1"/>
        <v>-10000</v>
      </c>
      <c r="K38" s="185"/>
      <c r="V38" s="183">
        <f t="shared" si="2"/>
        <v>0</v>
      </c>
      <c r="W38" s="183">
        <f t="shared" si="3"/>
        <v>1</v>
      </c>
    </row>
    <row r="39" spans="1:23" x14ac:dyDescent="0.3">
      <c r="A39" s="184"/>
      <c r="B39" s="194">
        <v>34</v>
      </c>
      <c r="C39" s="195">
        <v>45379</v>
      </c>
      <c r="D39" s="196" t="s">
        <v>23</v>
      </c>
      <c r="E39" s="196" t="s">
        <v>22</v>
      </c>
      <c r="F39" s="197">
        <v>74500</v>
      </c>
      <c r="G39" s="197">
        <v>74800</v>
      </c>
      <c r="H39" s="196">
        <v>-300</v>
      </c>
      <c r="I39" s="197">
        <v>30</v>
      </c>
      <c r="J39" s="268">
        <f t="shared" si="1"/>
        <v>-9000</v>
      </c>
      <c r="K39" s="185"/>
      <c r="V39" s="183">
        <f t="shared" si="2"/>
        <v>0</v>
      </c>
      <c r="W39" s="183">
        <f t="shared" si="3"/>
        <v>1</v>
      </c>
    </row>
    <row r="40" spans="1:23" ht="15" thickBot="1" x14ac:dyDescent="0.35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N40" s="183" t="s">
        <v>0</v>
      </c>
      <c r="V40" s="183">
        <f t="shared" si="2"/>
        <v>0</v>
      </c>
      <c r="W40" s="183">
        <f t="shared" si="3"/>
        <v>0</v>
      </c>
    </row>
    <row r="41" spans="1:23" hidden="1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hidden="1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hidden="1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hidden="1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hidden="1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hidden="1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hidden="1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hidden="1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idden="1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idden="1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hidden="1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159650</v>
      </c>
      <c r="K52" s="185"/>
      <c r="V52" s="183">
        <f>SUM(V6:V51)</f>
        <v>25</v>
      </c>
      <c r="W52" s="183">
        <f>SUM(W6:W51)</f>
        <v>9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45352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45352</v>
      </c>
      <c r="D60" s="192" t="s">
        <v>23</v>
      </c>
      <c r="E60" s="192" t="s">
        <v>25</v>
      </c>
      <c r="F60" s="193">
        <v>6545</v>
      </c>
      <c r="G60" s="193">
        <v>6585</v>
      </c>
      <c r="H60" s="192">
        <v>-40</v>
      </c>
      <c r="I60" s="193">
        <v>100</v>
      </c>
      <c r="J60" s="267">
        <f t="shared" ref="J60:J102" si="5">I60*H60</f>
        <v>-4000</v>
      </c>
      <c r="K60" s="185"/>
      <c r="V60" s="183">
        <f>IF($J60&gt;0,1,0)</f>
        <v>0</v>
      </c>
      <c r="W60" s="183">
        <f>IF($J60&lt;0,1,0)</f>
        <v>1</v>
      </c>
    </row>
    <row r="61" spans="1:23" x14ac:dyDescent="0.3">
      <c r="A61" s="184"/>
      <c r="B61" s="194">
        <v>2</v>
      </c>
      <c r="C61" s="195">
        <v>45352</v>
      </c>
      <c r="D61" s="196" t="s">
        <v>23</v>
      </c>
      <c r="E61" s="196" t="s">
        <v>945</v>
      </c>
      <c r="F61" s="197">
        <v>156</v>
      </c>
      <c r="G61" s="197">
        <v>155</v>
      </c>
      <c r="H61" s="196">
        <v>1</v>
      </c>
      <c r="I61" s="197">
        <v>2000</v>
      </c>
      <c r="J61" s="268">
        <f t="shared" si="5"/>
        <v>2000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45355</v>
      </c>
      <c r="D62" s="196" t="s">
        <v>23</v>
      </c>
      <c r="E62" s="196" t="s">
        <v>25</v>
      </c>
      <c r="F62" s="197">
        <v>6650</v>
      </c>
      <c r="G62" s="197">
        <v>6580</v>
      </c>
      <c r="H62" s="196">
        <v>70</v>
      </c>
      <c r="I62" s="197">
        <v>100</v>
      </c>
      <c r="J62" s="268">
        <f t="shared" si="5"/>
        <v>7000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45355</v>
      </c>
      <c r="D63" s="196" t="s">
        <v>23</v>
      </c>
      <c r="E63" s="196" t="s">
        <v>945</v>
      </c>
      <c r="F63" s="222">
        <v>157</v>
      </c>
      <c r="G63" s="197">
        <v>160</v>
      </c>
      <c r="H63" s="222">
        <f>160-157</f>
        <v>3</v>
      </c>
      <c r="I63" s="197">
        <v>2000</v>
      </c>
      <c r="J63" s="268">
        <f t="shared" si="5"/>
        <v>6000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45356</v>
      </c>
      <c r="D64" s="196" t="s">
        <v>23</v>
      </c>
      <c r="E64" s="196" t="s">
        <v>25</v>
      </c>
      <c r="F64" s="197">
        <v>6530</v>
      </c>
      <c r="G64" s="197">
        <v>6460</v>
      </c>
      <c r="H64" s="196">
        <f>6530-6460</f>
        <v>70</v>
      </c>
      <c r="I64" s="197">
        <v>100</v>
      </c>
      <c r="J64" s="268">
        <f t="shared" si="5"/>
        <v>7000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45356</v>
      </c>
      <c r="D65" s="196" t="s">
        <v>23</v>
      </c>
      <c r="E65" s="196" t="s">
        <v>945</v>
      </c>
      <c r="F65" s="197">
        <v>162</v>
      </c>
      <c r="G65" s="222">
        <v>157.80000000000001</v>
      </c>
      <c r="H65" s="196">
        <f>162-157.8</f>
        <v>4.1999999999999886</v>
      </c>
      <c r="I65" s="197">
        <v>2000</v>
      </c>
      <c r="J65" s="268">
        <f t="shared" si="5"/>
        <v>8399.9999999999782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45357</v>
      </c>
      <c r="D66" s="196" t="s">
        <v>23</v>
      </c>
      <c r="E66" s="196" t="s">
        <v>25</v>
      </c>
      <c r="F66" s="222">
        <v>6530</v>
      </c>
      <c r="G66" s="222">
        <v>6515</v>
      </c>
      <c r="H66" s="196">
        <v>15</v>
      </c>
      <c r="I66" s="197">
        <v>100</v>
      </c>
      <c r="J66" s="268">
        <f t="shared" si="5"/>
        <v>1500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45357</v>
      </c>
      <c r="D67" s="196" t="s">
        <v>23</v>
      </c>
      <c r="E67" s="196" t="s">
        <v>945</v>
      </c>
      <c r="F67" s="222">
        <v>162</v>
      </c>
      <c r="G67" s="197">
        <v>160</v>
      </c>
      <c r="H67" s="222">
        <v>2</v>
      </c>
      <c r="I67" s="197">
        <v>2000</v>
      </c>
      <c r="J67" s="268">
        <f t="shared" si="5"/>
        <v>4000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45358</v>
      </c>
      <c r="D68" s="196" t="s">
        <v>23</v>
      </c>
      <c r="E68" s="196" t="s">
        <v>25</v>
      </c>
      <c r="F68" s="197">
        <v>6530</v>
      </c>
      <c r="G68" s="197">
        <v>6485</v>
      </c>
      <c r="H68" s="196">
        <f>6530-6485</f>
        <v>45</v>
      </c>
      <c r="I68" s="197">
        <v>100</v>
      </c>
      <c r="J68" s="268">
        <f t="shared" si="5"/>
        <v>4500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45358</v>
      </c>
      <c r="D69" s="196" t="s">
        <v>23</v>
      </c>
      <c r="E69" s="196" t="s">
        <v>945</v>
      </c>
      <c r="F69" s="222">
        <v>162</v>
      </c>
      <c r="G69" s="197">
        <v>161</v>
      </c>
      <c r="H69" s="222">
        <v>1</v>
      </c>
      <c r="I69" s="197">
        <v>2000</v>
      </c>
      <c r="J69" s="268">
        <f t="shared" si="5"/>
        <v>2000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45362</v>
      </c>
      <c r="D70" s="196" t="s">
        <v>16</v>
      </c>
      <c r="E70" s="196" t="s">
        <v>25</v>
      </c>
      <c r="F70" s="197">
        <v>6430</v>
      </c>
      <c r="G70" s="197">
        <v>6484</v>
      </c>
      <c r="H70" s="196">
        <f>6484-6430</f>
        <v>54</v>
      </c>
      <c r="I70" s="197">
        <v>100</v>
      </c>
      <c r="J70" s="268">
        <f t="shared" si="5"/>
        <v>5400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45362</v>
      </c>
      <c r="D71" s="196" t="s">
        <v>16</v>
      </c>
      <c r="E71" s="196" t="s">
        <v>945</v>
      </c>
      <c r="F71" s="222">
        <v>151</v>
      </c>
      <c r="G71" s="222">
        <v>148</v>
      </c>
      <c r="H71" s="222">
        <v>-3</v>
      </c>
      <c r="I71" s="197">
        <v>2000</v>
      </c>
      <c r="J71" s="268">
        <f t="shared" si="5"/>
        <v>-6000</v>
      </c>
      <c r="K71" s="185"/>
      <c r="V71" s="183">
        <f t="shared" si="6"/>
        <v>0</v>
      </c>
      <c r="W71" s="183">
        <f t="shared" si="7"/>
        <v>1</v>
      </c>
    </row>
    <row r="72" spans="1:23" x14ac:dyDescent="0.3">
      <c r="A72" s="184"/>
      <c r="B72" s="194">
        <v>13</v>
      </c>
      <c r="C72" s="195">
        <v>45363</v>
      </c>
      <c r="D72" s="196" t="s">
        <v>16</v>
      </c>
      <c r="E72" s="196" t="s">
        <v>25</v>
      </c>
      <c r="F72" s="197">
        <v>6480</v>
      </c>
      <c r="G72" s="197">
        <v>6505</v>
      </c>
      <c r="H72" s="196">
        <f>6505-6480</f>
        <v>25</v>
      </c>
      <c r="I72" s="197">
        <v>100</v>
      </c>
      <c r="J72" s="268">
        <f t="shared" si="5"/>
        <v>2500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45363</v>
      </c>
      <c r="D73" s="196" t="s">
        <v>23</v>
      </c>
      <c r="E73" s="196" t="s">
        <v>945</v>
      </c>
      <c r="F73" s="222">
        <v>146</v>
      </c>
      <c r="G73" s="222">
        <v>149</v>
      </c>
      <c r="H73" s="196">
        <v>3</v>
      </c>
      <c r="I73" s="197">
        <v>2000</v>
      </c>
      <c r="J73" s="268">
        <f t="shared" si="5"/>
        <v>6000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45364</v>
      </c>
      <c r="D74" s="196" t="s">
        <v>16</v>
      </c>
      <c r="E74" s="196" t="s">
        <v>25</v>
      </c>
      <c r="F74" s="197">
        <v>6475</v>
      </c>
      <c r="G74" s="197">
        <v>6435</v>
      </c>
      <c r="H74" s="196">
        <f>6475-6435</f>
        <v>40</v>
      </c>
      <c r="I74" s="197">
        <v>100</v>
      </c>
      <c r="J74" s="268">
        <f t="shared" si="5"/>
        <v>4000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45364</v>
      </c>
      <c r="D75" s="196" t="s">
        <v>16</v>
      </c>
      <c r="E75" s="196" t="s">
        <v>945</v>
      </c>
      <c r="F75" s="197">
        <v>141</v>
      </c>
      <c r="G75" s="197">
        <v>142</v>
      </c>
      <c r="H75" s="196">
        <v>1</v>
      </c>
      <c r="I75" s="197">
        <v>2000</v>
      </c>
      <c r="J75" s="268">
        <f t="shared" si="5"/>
        <v>2000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45365</v>
      </c>
      <c r="D76" s="196" t="s">
        <v>16</v>
      </c>
      <c r="E76" s="196" t="s">
        <v>25</v>
      </c>
      <c r="F76" s="197">
        <v>6630</v>
      </c>
      <c r="G76" s="197">
        <v>6690</v>
      </c>
      <c r="H76" s="196">
        <v>60</v>
      </c>
      <c r="I76" s="197">
        <v>100</v>
      </c>
      <c r="J76" s="268">
        <f t="shared" si="5"/>
        <v>6000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45365</v>
      </c>
      <c r="D77" s="196" t="s">
        <v>16</v>
      </c>
      <c r="E77" s="196" t="s">
        <v>945</v>
      </c>
      <c r="F77" s="197">
        <v>139</v>
      </c>
      <c r="G77" s="197">
        <v>143</v>
      </c>
      <c r="H77" s="196">
        <v>4</v>
      </c>
      <c r="I77" s="197">
        <v>2000</v>
      </c>
      <c r="J77" s="268">
        <f t="shared" si="5"/>
        <v>8000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45366</v>
      </c>
      <c r="D78" s="196" t="s">
        <v>16</v>
      </c>
      <c r="E78" s="196" t="s">
        <v>25</v>
      </c>
      <c r="F78" s="197">
        <v>6680</v>
      </c>
      <c r="G78" s="197">
        <v>6700</v>
      </c>
      <c r="H78" s="196">
        <v>20</v>
      </c>
      <c r="I78" s="197">
        <v>100</v>
      </c>
      <c r="J78" s="268">
        <f t="shared" si="5"/>
        <v>2000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45366</v>
      </c>
      <c r="D79" s="196" t="s">
        <v>16</v>
      </c>
      <c r="E79" s="196" t="s">
        <v>945</v>
      </c>
      <c r="F79" s="222">
        <v>146.5</v>
      </c>
      <c r="G79" s="222">
        <v>147.6</v>
      </c>
      <c r="H79" s="196">
        <f>147.6-146.5</f>
        <v>1.0999999999999943</v>
      </c>
      <c r="I79" s="197">
        <v>2000</v>
      </c>
      <c r="J79" s="268">
        <f t="shared" si="5"/>
        <v>2199.9999999999886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45369</v>
      </c>
      <c r="D80" s="196" t="s">
        <v>16</v>
      </c>
      <c r="E80" s="196" t="s">
        <v>25</v>
      </c>
      <c r="F80" s="197">
        <v>6755</v>
      </c>
      <c r="G80" s="197">
        <v>6800</v>
      </c>
      <c r="H80" s="196">
        <f>6800-6755</f>
        <v>45</v>
      </c>
      <c r="I80" s="197">
        <v>100</v>
      </c>
      <c r="J80" s="268">
        <f t="shared" si="5"/>
        <v>4500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45369</v>
      </c>
      <c r="D81" s="196" t="s">
        <v>16</v>
      </c>
      <c r="E81" s="196" t="s">
        <v>945</v>
      </c>
      <c r="F81" s="197">
        <v>145</v>
      </c>
      <c r="G81" s="197">
        <v>146</v>
      </c>
      <c r="H81" s="196">
        <v>1</v>
      </c>
      <c r="I81" s="197">
        <v>2000</v>
      </c>
      <c r="J81" s="268">
        <f t="shared" si="5"/>
        <v>2000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45370</v>
      </c>
      <c r="D82" s="196" t="s">
        <v>23</v>
      </c>
      <c r="E82" s="196" t="s">
        <v>25</v>
      </c>
      <c r="F82" s="197">
        <v>6800</v>
      </c>
      <c r="G82" s="197">
        <v>6840</v>
      </c>
      <c r="H82" s="196">
        <v>40</v>
      </c>
      <c r="I82" s="197">
        <v>100</v>
      </c>
      <c r="J82" s="268">
        <f t="shared" si="5"/>
        <v>4000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45370</v>
      </c>
      <c r="D83" s="196" t="s">
        <v>23</v>
      </c>
      <c r="E83" s="196" t="s">
        <v>945</v>
      </c>
      <c r="F83" s="197">
        <v>144</v>
      </c>
      <c r="G83" s="222">
        <v>142</v>
      </c>
      <c r="H83" s="222">
        <v>2</v>
      </c>
      <c r="I83" s="197">
        <v>2000</v>
      </c>
      <c r="J83" s="268">
        <f t="shared" si="5"/>
        <v>4000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184"/>
      <c r="B84" s="194">
        <v>25</v>
      </c>
      <c r="C84" s="195">
        <v>45371</v>
      </c>
      <c r="D84" s="196" t="s">
        <v>23</v>
      </c>
      <c r="E84" s="196" t="s">
        <v>25</v>
      </c>
      <c r="F84" s="197">
        <v>6830</v>
      </c>
      <c r="G84" s="222">
        <v>6760</v>
      </c>
      <c r="H84" s="222">
        <f>6830-6760</f>
        <v>70</v>
      </c>
      <c r="I84" s="197">
        <v>100</v>
      </c>
      <c r="J84" s="268">
        <f t="shared" si="5"/>
        <v>7000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45371</v>
      </c>
      <c r="D85" s="196" t="s">
        <v>23</v>
      </c>
      <c r="E85" s="196" t="s">
        <v>945</v>
      </c>
      <c r="F85" s="197">
        <v>145</v>
      </c>
      <c r="G85" s="222">
        <v>142</v>
      </c>
      <c r="H85" s="196">
        <v>3</v>
      </c>
      <c r="I85" s="197">
        <v>2000</v>
      </c>
      <c r="J85" s="268">
        <f t="shared" si="5"/>
        <v>6000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45372</v>
      </c>
      <c r="D86" s="196" t="s">
        <v>23</v>
      </c>
      <c r="E86" s="196" t="s">
        <v>25</v>
      </c>
      <c r="F86" s="197">
        <v>6800</v>
      </c>
      <c r="G86" s="197">
        <v>6730</v>
      </c>
      <c r="H86" s="196">
        <f>6800-6730</f>
        <v>70</v>
      </c>
      <c r="I86" s="197">
        <v>100</v>
      </c>
      <c r="J86" s="268">
        <f t="shared" si="5"/>
        <v>7000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45372</v>
      </c>
      <c r="D87" s="196" t="s">
        <v>23</v>
      </c>
      <c r="E87" s="196" t="s">
        <v>945</v>
      </c>
      <c r="F87" s="197">
        <v>142</v>
      </c>
      <c r="G87" s="222">
        <v>139.69999999999999</v>
      </c>
      <c r="H87" s="222">
        <f>142-139.7</f>
        <v>2.3000000000000114</v>
      </c>
      <c r="I87" s="197">
        <v>2000</v>
      </c>
      <c r="J87" s="268">
        <f t="shared" si="5"/>
        <v>4600.0000000000227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45373</v>
      </c>
      <c r="D88" s="196" t="s">
        <v>23</v>
      </c>
      <c r="E88" s="196" t="s">
        <v>25</v>
      </c>
      <c r="F88" s="197">
        <v>6760</v>
      </c>
      <c r="G88" s="197">
        <v>6800</v>
      </c>
      <c r="H88" s="196">
        <v>-40</v>
      </c>
      <c r="I88" s="197">
        <v>100</v>
      </c>
      <c r="J88" s="268">
        <f t="shared" si="5"/>
        <v>-4000</v>
      </c>
      <c r="K88" s="185"/>
      <c r="V88" s="183">
        <f t="shared" si="6"/>
        <v>0</v>
      </c>
      <c r="W88" s="183">
        <f t="shared" si="7"/>
        <v>1</v>
      </c>
    </row>
    <row r="89" spans="1:23" x14ac:dyDescent="0.3">
      <c r="A89" s="184"/>
      <c r="B89" s="194">
        <v>30</v>
      </c>
      <c r="C89" s="195">
        <v>45373</v>
      </c>
      <c r="D89" s="196" t="s">
        <v>23</v>
      </c>
      <c r="E89" s="196" t="s">
        <v>945</v>
      </c>
      <c r="F89" s="222">
        <v>140</v>
      </c>
      <c r="G89" s="222">
        <v>139</v>
      </c>
      <c r="H89" s="196">
        <v>1</v>
      </c>
      <c r="I89" s="197">
        <v>2000</v>
      </c>
      <c r="J89" s="268">
        <f t="shared" si="5"/>
        <v>2000</v>
      </c>
      <c r="K89" s="185"/>
      <c r="V89" s="183">
        <f t="shared" si="6"/>
        <v>1</v>
      </c>
      <c r="W89" s="183">
        <f t="shared" si="7"/>
        <v>0</v>
      </c>
    </row>
    <row r="90" spans="1:23" x14ac:dyDescent="0.3">
      <c r="A90" s="184"/>
      <c r="B90" s="194">
        <v>31</v>
      </c>
      <c r="C90" s="195">
        <v>45377</v>
      </c>
      <c r="D90" s="196" t="s">
        <v>23</v>
      </c>
      <c r="E90" s="196" t="s">
        <v>25</v>
      </c>
      <c r="F90" s="197">
        <v>6820</v>
      </c>
      <c r="G90" s="197">
        <v>6800</v>
      </c>
      <c r="H90" s="196">
        <v>20</v>
      </c>
      <c r="I90" s="197">
        <v>100</v>
      </c>
      <c r="J90" s="268">
        <f t="shared" si="5"/>
        <v>2000</v>
      </c>
      <c r="K90" s="185"/>
      <c r="V90" s="183">
        <f t="shared" si="6"/>
        <v>1</v>
      </c>
      <c r="W90" s="183">
        <f t="shared" si="7"/>
        <v>0</v>
      </c>
    </row>
    <row r="91" spans="1:23" x14ac:dyDescent="0.3">
      <c r="A91" s="184"/>
      <c r="B91" s="194">
        <v>32</v>
      </c>
      <c r="C91" s="195">
        <v>45377</v>
      </c>
      <c r="D91" s="196" t="s">
        <v>23</v>
      </c>
      <c r="E91" s="196" t="s">
        <v>945</v>
      </c>
      <c r="F91" s="197">
        <v>153</v>
      </c>
      <c r="G91" s="222">
        <v>152</v>
      </c>
      <c r="H91" s="222">
        <v>1</v>
      </c>
      <c r="I91" s="197">
        <v>2000</v>
      </c>
      <c r="J91" s="268">
        <f t="shared" si="5"/>
        <v>2000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45378</v>
      </c>
      <c r="D92" s="196" t="s">
        <v>23</v>
      </c>
      <c r="E92" s="196" t="s">
        <v>25</v>
      </c>
      <c r="F92" s="197">
        <v>6750</v>
      </c>
      <c r="G92" s="197">
        <v>6727</v>
      </c>
      <c r="H92" s="196">
        <f>6750-6727</f>
        <v>23</v>
      </c>
      <c r="I92" s="197">
        <v>100</v>
      </c>
      <c r="J92" s="268">
        <f t="shared" si="5"/>
        <v>2300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45378</v>
      </c>
      <c r="D93" s="196" t="s">
        <v>23</v>
      </c>
      <c r="E93" s="196" t="s">
        <v>945</v>
      </c>
      <c r="F93" s="222">
        <v>150</v>
      </c>
      <c r="G93" s="222">
        <v>147</v>
      </c>
      <c r="H93" s="222">
        <f>150-147</f>
        <v>3</v>
      </c>
      <c r="I93" s="197">
        <v>2000</v>
      </c>
      <c r="J93" s="268">
        <f t="shared" si="5"/>
        <v>6000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45379</v>
      </c>
      <c r="D94" s="196" t="s">
        <v>23</v>
      </c>
      <c r="E94" s="196" t="s">
        <v>25</v>
      </c>
      <c r="F94" s="197">
        <v>6830</v>
      </c>
      <c r="G94" s="197">
        <v>6800</v>
      </c>
      <c r="H94" s="196">
        <v>30</v>
      </c>
      <c r="I94" s="197">
        <v>100</v>
      </c>
      <c r="J94" s="268">
        <f t="shared" si="5"/>
        <v>3000</v>
      </c>
      <c r="K94" s="185"/>
      <c r="V94" s="183">
        <f t="shared" si="6"/>
        <v>1</v>
      </c>
      <c r="W94" s="183">
        <f t="shared" si="7"/>
        <v>0</v>
      </c>
    </row>
    <row r="95" spans="1:23" x14ac:dyDescent="0.3">
      <c r="A95" s="184"/>
      <c r="B95" s="194">
        <v>36</v>
      </c>
      <c r="C95" s="195">
        <v>45379</v>
      </c>
      <c r="D95" s="196" t="s">
        <v>23</v>
      </c>
      <c r="E95" s="196" t="s">
        <v>945</v>
      </c>
      <c r="F95" s="197">
        <v>143</v>
      </c>
      <c r="G95" s="197">
        <v>142</v>
      </c>
      <c r="H95" s="196">
        <v>1</v>
      </c>
      <c r="I95" s="197">
        <v>2000</v>
      </c>
      <c r="J95" s="268">
        <f t="shared" si="5"/>
        <v>2000</v>
      </c>
      <c r="K95" s="185"/>
      <c r="V95" s="183">
        <f t="shared" si="6"/>
        <v>1</v>
      </c>
      <c r="W95" s="183">
        <f t="shared" si="7"/>
        <v>0</v>
      </c>
    </row>
    <row r="96" spans="1:23" x14ac:dyDescent="0.3">
      <c r="A96" s="184"/>
      <c r="B96" s="194">
        <v>37</v>
      </c>
      <c r="C96" s="195"/>
      <c r="D96" s="196"/>
      <c r="E96" s="196"/>
      <c r="F96" s="197"/>
      <c r="G96" s="197"/>
      <c r="H96" s="196"/>
      <c r="I96" s="197"/>
      <c r="J96" s="268">
        <f t="shared" si="5"/>
        <v>0</v>
      </c>
      <c r="K96" s="185"/>
      <c r="V96" s="183">
        <f t="shared" si="6"/>
        <v>0</v>
      </c>
      <c r="W96" s="183">
        <f t="shared" si="7"/>
        <v>0</v>
      </c>
    </row>
    <row r="97" spans="1:23" x14ac:dyDescent="0.3">
      <c r="A97" s="255"/>
      <c r="B97" s="194">
        <v>38</v>
      </c>
      <c r="C97" s="195"/>
      <c r="D97" s="196"/>
      <c r="E97" s="196"/>
      <c r="F97" s="197"/>
      <c r="G97" s="197"/>
      <c r="H97" s="196"/>
      <c r="I97" s="197"/>
      <c r="J97" s="268">
        <f t="shared" si="5"/>
        <v>0</v>
      </c>
      <c r="K97" s="185"/>
      <c r="V97" s="183">
        <f t="shared" si="6"/>
        <v>0</v>
      </c>
      <c r="W97" s="183">
        <f t="shared" si="7"/>
        <v>0</v>
      </c>
    </row>
    <row r="98" spans="1:23" x14ac:dyDescent="0.3">
      <c r="A98" s="184"/>
      <c r="B98" s="194">
        <v>39</v>
      </c>
      <c r="C98" s="195"/>
      <c r="D98" s="196"/>
      <c r="E98" s="196"/>
      <c r="F98" s="197"/>
      <c r="G98" s="222"/>
      <c r="H98" s="196"/>
      <c r="I98" s="197"/>
      <c r="J98" s="268">
        <f t="shared" si="5"/>
        <v>0</v>
      </c>
      <c r="K98" s="185"/>
      <c r="V98" s="183">
        <f t="shared" si="6"/>
        <v>0</v>
      </c>
      <c r="W98" s="183">
        <f t="shared" si="7"/>
        <v>0</v>
      </c>
    </row>
    <row r="99" spans="1:23" x14ac:dyDescent="0.3">
      <c r="A99" s="184"/>
      <c r="B99" s="194">
        <v>40</v>
      </c>
      <c r="C99" s="195"/>
      <c r="D99" s="196"/>
      <c r="E99" s="196"/>
      <c r="F99" s="197"/>
      <c r="G99" s="197"/>
      <c r="H99" s="196"/>
      <c r="I99" s="197"/>
      <c r="J99" s="268">
        <f t="shared" si="5"/>
        <v>0</v>
      </c>
      <c r="K99" s="185"/>
      <c r="V99" s="183">
        <f t="shared" si="6"/>
        <v>0</v>
      </c>
      <c r="W99" s="183">
        <f t="shared" si="7"/>
        <v>0</v>
      </c>
    </row>
    <row r="100" spans="1:23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5"/>
        <v>0</v>
      </c>
      <c r="K100" s="185"/>
      <c r="V100" s="183">
        <f t="shared" si="6"/>
        <v>0</v>
      </c>
      <c r="W100" s="183">
        <f t="shared" si="7"/>
        <v>0</v>
      </c>
    </row>
    <row r="101" spans="1:23" x14ac:dyDescent="0.3">
      <c r="A101" s="184"/>
      <c r="B101" s="194">
        <v>42</v>
      </c>
      <c r="C101" s="195"/>
      <c r="D101" s="196"/>
      <c r="E101" s="196"/>
      <c r="F101" s="197"/>
      <c r="G101" s="197"/>
      <c r="H101" s="196"/>
      <c r="I101" s="197"/>
      <c r="J101" s="268">
        <f t="shared" si="5"/>
        <v>0</v>
      </c>
      <c r="K101" s="185"/>
      <c r="V101" s="183">
        <f t="shared" si="6"/>
        <v>0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8" t="s">
        <v>879</v>
      </c>
      <c r="C103" s="305"/>
      <c r="D103" s="305"/>
      <c r="E103" s="305"/>
      <c r="F103" s="305"/>
      <c r="G103" s="305"/>
      <c r="H103" s="306"/>
      <c r="I103" s="203" t="s">
        <v>880</v>
      </c>
      <c r="J103" s="204">
        <f>SUM(J60:J102)</f>
        <v>124899.99999999999</v>
      </c>
      <c r="K103" s="185"/>
      <c r="V103" s="183">
        <f>SUM(V60:V102)</f>
        <v>33</v>
      </c>
      <c r="W103" s="183">
        <f>SUM(W60:W102)</f>
        <v>3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07" t="s">
        <v>873</v>
      </c>
      <c r="C107" s="308"/>
      <c r="D107" s="308"/>
      <c r="E107" s="308"/>
      <c r="F107" s="308"/>
      <c r="G107" s="308"/>
      <c r="H107" s="308"/>
      <c r="I107" s="308"/>
      <c r="J107" s="309"/>
      <c r="K107" s="185"/>
    </row>
    <row r="108" spans="1:23" ht="16.2" thickBot="1" x14ac:dyDescent="0.35">
      <c r="A108" s="184"/>
      <c r="B108" s="310">
        <v>45352</v>
      </c>
      <c r="C108" s="311"/>
      <c r="D108" s="311"/>
      <c r="E108" s="311"/>
      <c r="F108" s="311"/>
      <c r="G108" s="311"/>
      <c r="H108" s="311"/>
      <c r="I108" s="311"/>
      <c r="J108" s="312"/>
      <c r="K108" s="185"/>
    </row>
    <row r="109" spans="1:23" ht="16.2" thickBot="1" x14ac:dyDescent="0.35">
      <c r="A109" s="184"/>
      <c r="B109" s="313" t="s">
        <v>882</v>
      </c>
      <c r="C109" s="314"/>
      <c r="D109" s="314"/>
      <c r="E109" s="314"/>
      <c r="F109" s="314"/>
      <c r="G109" s="314"/>
      <c r="H109" s="314"/>
      <c r="I109" s="314"/>
      <c r="J109" s="315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45352</v>
      </c>
      <c r="D111" s="216" t="s">
        <v>23</v>
      </c>
      <c r="E111" s="256" t="s">
        <v>28</v>
      </c>
      <c r="F111" s="256">
        <v>213.5</v>
      </c>
      <c r="G111" s="256">
        <v>214.5</v>
      </c>
      <c r="H111" s="256">
        <v>-1</v>
      </c>
      <c r="I111" s="218">
        <v>5000</v>
      </c>
      <c r="J111" s="273">
        <f>I111*H111</f>
        <v>-5000</v>
      </c>
      <c r="K111" s="185"/>
      <c r="V111" s="183">
        <f>IF($J111&gt;0,1,0)</f>
        <v>0</v>
      </c>
      <c r="W111" s="183">
        <f>IF($J111&lt;0,1,0)</f>
        <v>1</v>
      </c>
    </row>
    <row r="112" spans="1:23" x14ac:dyDescent="0.3">
      <c r="A112" s="184"/>
      <c r="B112" s="194">
        <v>2</v>
      </c>
      <c r="C112" s="195">
        <v>45355</v>
      </c>
      <c r="D112" s="196" t="s">
        <v>23</v>
      </c>
      <c r="E112" s="222" t="s">
        <v>28</v>
      </c>
      <c r="F112" s="222">
        <v>218</v>
      </c>
      <c r="G112" s="222">
        <v>217</v>
      </c>
      <c r="H112" s="222">
        <v>1</v>
      </c>
      <c r="I112" s="197">
        <v>5000</v>
      </c>
      <c r="J112" s="268">
        <f t="shared" ref="J112:J132" si="8">I112*H112</f>
        <v>5000</v>
      </c>
      <c r="K112" s="185"/>
      <c r="V112" s="183">
        <f t="shared" ref="V112:V131" si="9">IF($J112&gt;0,1,0)</f>
        <v>1</v>
      </c>
      <c r="W112" s="183">
        <f t="shared" ref="W112:W131" si="10">IF($J112&lt;0,1,0)</f>
        <v>0</v>
      </c>
    </row>
    <row r="113" spans="1:23" x14ac:dyDescent="0.3">
      <c r="A113" s="184"/>
      <c r="B113" s="194">
        <v>3</v>
      </c>
      <c r="C113" s="195">
        <v>45356</v>
      </c>
      <c r="D113" s="196" t="s">
        <v>23</v>
      </c>
      <c r="E113" s="222" t="s">
        <v>28</v>
      </c>
      <c r="F113" s="222">
        <v>217.3</v>
      </c>
      <c r="G113" s="222">
        <v>218.3</v>
      </c>
      <c r="H113" s="222">
        <v>-1</v>
      </c>
      <c r="I113" s="197">
        <v>5000</v>
      </c>
      <c r="J113" s="268">
        <f t="shared" si="8"/>
        <v>-5000</v>
      </c>
      <c r="K113" s="185"/>
      <c r="M113" s="183" t="s">
        <v>870</v>
      </c>
      <c r="V113" s="183">
        <f t="shared" si="9"/>
        <v>0</v>
      </c>
      <c r="W113" s="183">
        <f t="shared" si="10"/>
        <v>1</v>
      </c>
    </row>
    <row r="114" spans="1:23" x14ac:dyDescent="0.3">
      <c r="A114" s="184"/>
      <c r="B114" s="194">
        <v>4</v>
      </c>
      <c r="C114" s="195">
        <v>45357</v>
      </c>
      <c r="D114" s="196" t="s">
        <v>23</v>
      </c>
      <c r="E114" s="222" t="s">
        <v>28</v>
      </c>
      <c r="F114" s="222">
        <v>218.6</v>
      </c>
      <c r="G114" s="222">
        <v>218.2</v>
      </c>
      <c r="H114" s="222">
        <v>0.4</v>
      </c>
      <c r="I114" s="197">
        <v>5000</v>
      </c>
      <c r="J114" s="268">
        <f t="shared" si="8"/>
        <v>2000</v>
      </c>
      <c r="K114" s="185"/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5</v>
      </c>
      <c r="C115" s="195">
        <v>45358</v>
      </c>
      <c r="D115" s="196" t="s">
        <v>23</v>
      </c>
      <c r="E115" s="222" t="s">
        <v>28</v>
      </c>
      <c r="F115" s="222">
        <v>221</v>
      </c>
      <c r="G115" s="222">
        <v>222</v>
      </c>
      <c r="H115" s="222">
        <v>-1</v>
      </c>
      <c r="I115" s="197">
        <v>5000</v>
      </c>
      <c r="J115" s="268">
        <f t="shared" si="8"/>
        <v>-5000</v>
      </c>
      <c r="K115" s="185"/>
      <c r="V115" s="183">
        <f t="shared" si="9"/>
        <v>0</v>
      </c>
      <c r="W115" s="183">
        <f t="shared" si="10"/>
        <v>1</v>
      </c>
    </row>
    <row r="116" spans="1:23" x14ac:dyDescent="0.3">
      <c r="A116" s="184"/>
      <c r="B116" s="194">
        <v>6</v>
      </c>
      <c r="C116" s="195">
        <v>45362</v>
      </c>
      <c r="D116" s="196" t="s">
        <v>16</v>
      </c>
      <c r="E116" s="222" t="s">
        <v>28</v>
      </c>
      <c r="F116" s="222">
        <v>220.75</v>
      </c>
      <c r="G116" s="222">
        <v>222.75</v>
      </c>
      <c r="H116" s="222">
        <v>2</v>
      </c>
      <c r="I116" s="197">
        <v>5000</v>
      </c>
      <c r="J116" s="268">
        <f t="shared" si="8"/>
        <v>10000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45363</v>
      </c>
      <c r="D117" s="196" t="s">
        <v>16</v>
      </c>
      <c r="E117" s="222" t="s">
        <v>28</v>
      </c>
      <c r="F117" s="222">
        <v>223</v>
      </c>
      <c r="G117" s="222">
        <v>225</v>
      </c>
      <c r="H117" s="274">
        <v>2</v>
      </c>
      <c r="I117" s="197">
        <v>5000</v>
      </c>
      <c r="J117" s="268">
        <f t="shared" si="8"/>
        <v>10000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8</v>
      </c>
      <c r="C118" s="195">
        <v>45364</v>
      </c>
      <c r="D118" s="196" t="s">
        <v>16</v>
      </c>
      <c r="E118" s="222" t="s">
        <v>28</v>
      </c>
      <c r="F118" s="222">
        <v>223.8</v>
      </c>
      <c r="G118" s="222">
        <v>225.1</v>
      </c>
      <c r="H118" s="222">
        <f>225.1-223.8</f>
        <v>1.2999999999999829</v>
      </c>
      <c r="I118" s="197">
        <v>5000</v>
      </c>
      <c r="J118" s="268">
        <f t="shared" si="8"/>
        <v>6499.9999999999145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45365</v>
      </c>
      <c r="D119" s="196" t="s">
        <v>16</v>
      </c>
      <c r="E119" s="222" t="s">
        <v>28</v>
      </c>
      <c r="F119" s="222">
        <v>224.25</v>
      </c>
      <c r="G119" s="222">
        <v>225.25</v>
      </c>
      <c r="H119" s="222">
        <v>1</v>
      </c>
      <c r="I119" s="197">
        <v>5000</v>
      </c>
      <c r="J119" s="268">
        <f t="shared" si="8"/>
        <v>5000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45366</v>
      </c>
      <c r="D120" s="196" t="s">
        <v>16</v>
      </c>
      <c r="E120" s="222" t="s">
        <v>28</v>
      </c>
      <c r="F120" s="222">
        <v>223.8</v>
      </c>
      <c r="G120" s="222">
        <v>224.2</v>
      </c>
      <c r="H120" s="222">
        <f>224.2-223.8</f>
        <v>0.39999999999997726</v>
      </c>
      <c r="I120" s="197">
        <v>5000</v>
      </c>
      <c r="J120" s="268">
        <f t="shared" si="8"/>
        <v>1999.9999999998863</v>
      </c>
      <c r="K120" s="185"/>
      <c r="V120" s="183">
        <f t="shared" si="9"/>
        <v>1</v>
      </c>
      <c r="W120" s="183">
        <f t="shared" si="10"/>
        <v>0</v>
      </c>
    </row>
    <row r="121" spans="1:23" x14ac:dyDescent="0.3">
      <c r="A121" s="184"/>
      <c r="B121" s="194">
        <v>11</v>
      </c>
      <c r="C121" s="195">
        <v>45369</v>
      </c>
      <c r="D121" s="196" t="s">
        <v>16</v>
      </c>
      <c r="E121" s="222" t="s">
        <v>28</v>
      </c>
      <c r="F121" s="222">
        <v>222.9</v>
      </c>
      <c r="G121" s="222">
        <v>223.9</v>
      </c>
      <c r="H121" s="274">
        <v>1</v>
      </c>
      <c r="I121" s="197">
        <v>5000</v>
      </c>
      <c r="J121" s="268">
        <f t="shared" si="8"/>
        <v>5000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45370</v>
      </c>
      <c r="D122" s="196" t="s">
        <v>23</v>
      </c>
      <c r="E122" s="222" t="s">
        <v>28</v>
      </c>
      <c r="F122" s="222">
        <v>218.3</v>
      </c>
      <c r="G122" s="222">
        <v>217.6</v>
      </c>
      <c r="H122" s="274">
        <f>218.3-217.6</f>
        <v>0.70000000000001705</v>
      </c>
      <c r="I122" s="197">
        <v>5000</v>
      </c>
      <c r="J122" s="268">
        <f t="shared" si="8"/>
        <v>3500.0000000000855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45371</v>
      </c>
      <c r="D123" s="196" t="s">
        <v>23</v>
      </c>
      <c r="E123" s="222" t="s">
        <v>28</v>
      </c>
      <c r="F123" s="222">
        <v>218</v>
      </c>
      <c r="G123" s="222">
        <v>217</v>
      </c>
      <c r="H123" s="274">
        <v>1</v>
      </c>
      <c r="I123" s="197">
        <v>5000</v>
      </c>
      <c r="J123" s="268">
        <f t="shared" si="8"/>
        <v>5000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45372</v>
      </c>
      <c r="D124" s="196" t="s">
        <v>23</v>
      </c>
      <c r="E124" s="222" t="s">
        <v>28</v>
      </c>
      <c r="F124" s="222">
        <v>221</v>
      </c>
      <c r="G124" s="222">
        <v>220.3</v>
      </c>
      <c r="H124" s="274">
        <f>221-220.3</f>
        <v>0.69999999999998863</v>
      </c>
      <c r="I124" s="197">
        <v>5000</v>
      </c>
      <c r="J124" s="268">
        <f t="shared" si="8"/>
        <v>3499.9999999999432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45373</v>
      </c>
      <c r="D125" s="196" t="s">
        <v>23</v>
      </c>
      <c r="E125" s="196" t="s">
        <v>28</v>
      </c>
      <c r="F125" s="222">
        <v>221</v>
      </c>
      <c r="G125" s="222">
        <v>220</v>
      </c>
      <c r="H125" s="222">
        <v>1</v>
      </c>
      <c r="I125" s="197">
        <v>5000</v>
      </c>
      <c r="J125" s="268">
        <f t="shared" si="8"/>
        <v>5000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45377</v>
      </c>
      <c r="D126" s="196" t="s">
        <v>23</v>
      </c>
      <c r="E126" s="196" t="s">
        <v>28</v>
      </c>
      <c r="F126" s="222">
        <v>219.3</v>
      </c>
      <c r="G126" s="222">
        <v>218.5</v>
      </c>
      <c r="H126" s="222">
        <f>219.3-218.5</f>
        <v>0.80000000000001137</v>
      </c>
      <c r="I126" s="197">
        <v>5000</v>
      </c>
      <c r="J126" s="268">
        <f t="shared" si="8"/>
        <v>4000.0000000000568</v>
      </c>
      <c r="K126" s="185"/>
      <c r="V126" s="183">
        <f t="shared" si="9"/>
        <v>1</v>
      </c>
      <c r="W126" s="183">
        <f t="shared" si="10"/>
        <v>0</v>
      </c>
    </row>
    <row r="127" spans="1:23" x14ac:dyDescent="0.3">
      <c r="A127" s="184"/>
      <c r="B127" s="194">
        <v>17</v>
      </c>
      <c r="C127" s="195">
        <v>45378</v>
      </c>
      <c r="D127" s="196" t="s">
        <v>23</v>
      </c>
      <c r="E127" s="196" t="s">
        <v>28</v>
      </c>
      <c r="F127" s="222">
        <v>215.6</v>
      </c>
      <c r="G127" s="274">
        <v>215.2</v>
      </c>
      <c r="H127" s="274">
        <f>0.4</f>
        <v>0.4</v>
      </c>
      <c r="I127" s="197">
        <v>5000</v>
      </c>
      <c r="J127" s="268">
        <f t="shared" si="8"/>
        <v>2000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45379</v>
      </c>
      <c r="D128" s="196" t="s">
        <v>23</v>
      </c>
      <c r="E128" s="196" t="s">
        <v>28</v>
      </c>
      <c r="F128" s="222">
        <v>216.5</v>
      </c>
      <c r="G128" s="222">
        <v>216.1</v>
      </c>
      <c r="H128" s="274">
        <f>216.5-216.1</f>
        <v>0.40000000000000568</v>
      </c>
      <c r="I128" s="197">
        <v>5000</v>
      </c>
      <c r="J128" s="268">
        <f t="shared" si="8"/>
        <v>2000.0000000000284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/>
      <c r="D129" s="196"/>
      <c r="E129" s="196"/>
      <c r="F129" s="222"/>
      <c r="G129" s="222"/>
      <c r="H129" s="274"/>
      <c r="I129" s="197"/>
      <c r="J129" s="268">
        <f t="shared" si="8"/>
        <v>0</v>
      </c>
      <c r="K129" s="185"/>
      <c r="V129" s="183">
        <f t="shared" si="9"/>
        <v>0</v>
      </c>
      <c r="W129" s="183">
        <f t="shared" si="10"/>
        <v>0</v>
      </c>
    </row>
    <row r="130" spans="1:23" x14ac:dyDescent="0.3">
      <c r="A130" s="184"/>
      <c r="B130" s="194">
        <v>20</v>
      </c>
      <c r="C130" s="195"/>
      <c r="D130" s="196"/>
      <c r="E130" s="196"/>
      <c r="F130" s="222"/>
      <c r="G130" s="222"/>
      <c r="H130" s="274"/>
      <c r="I130" s="197"/>
      <c r="J130" s="268">
        <f t="shared" si="8"/>
        <v>0</v>
      </c>
      <c r="K130" s="185"/>
      <c r="V130" s="183">
        <f t="shared" si="9"/>
        <v>0</v>
      </c>
      <c r="W130" s="183">
        <f t="shared" si="10"/>
        <v>0</v>
      </c>
    </row>
    <row r="131" spans="1:23" hidden="1" x14ac:dyDescent="0.3">
      <c r="A131" s="184"/>
      <c r="B131" s="194">
        <v>21</v>
      </c>
      <c r="C131" s="195"/>
      <c r="D131" s="196"/>
      <c r="E131" s="222"/>
      <c r="F131" s="222"/>
      <c r="G131" s="222"/>
      <c r="H131" s="274"/>
      <c r="I131" s="197"/>
      <c r="J131" s="268">
        <f t="shared" si="8"/>
        <v>0</v>
      </c>
      <c r="K131" s="185"/>
      <c r="V131" s="183">
        <f t="shared" si="9"/>
        <v>0</v>
      </c>
      <c r="W131" s="183">
        <f t="shared" si="10"/>
        <v>0</v>
      </c>
    </row>
    <row r="132" spans="1:23" hidden="1" x14ac:dyDescent="0.3">
      <c r="A132" s="184"/>
      <c r="B132" s="194">
        <v>22</v>
      </c>
      <c r="C132" s="195"/>
      <c r="D132" s="196"/>
      <c r="E132" s="222"/>
      <c r="F132" s="222"/>
      <c r="G132" s="222"/>
      <c r="H132" s="274"/>
      <c r="I132" s="197"/>
      <c r="J132" s="268">
        <f t="shared" si="8"/>
        <v>0</v>
      </c>
      <c r="K132" s="185"/>
      <c r="V132" s="183">
        <f>IF($J132&gt;0,1,0)</f>
        <v>0</v>
      </c>
      <c r="W132" s="183">
        <f>IF($J132&lt;0,1,0)</f>
        <v>0</v>
      </c>
    </row>
    <row r="133" spans="1:23" hidden="1" x14ac:dyDescent="0.3">
      <c r="A133" s="184"/>
      <c r="B133" s="194">
        <v>23</v>
      </c>
      <c r="C133" s="195"/>
      <c r="D133" s="196"/>
      <c r="E133" s="222"/>
      <c r="F133" s="222"/>
      <c r="G133" s="222"/>
      <c r="H133" s="222"/>
      <c r="I133" s="197"/>
      <c r="J133" s="268">
        <f>I133*H133</f>
        <v>0</v>
      </c>
      <c r="K133" s="185"/>
      <c r="V133" s="183">
        <f>IF($J133&gt;0,1,0)</f>
        <v>0</v>
      </c>
      <c r="W133" s="183">
        <f>IF($J133&lt;0,1,0)</f>
        <v>0</v>
      </c>
    </row>
    <row r="134" spans="1:23" ht="15" thickBot="1" x14ac:dyDescent="0.35">
      <c r="A134" s="184"/>
      <c r="B134" s="194">
        <v>24</v>
      </c>
      <c r="C134" s="220"/>
      <c r="D134" s="221"/>
      <c r="E134" s="221"/>
      <c r="F134" s="222"/>
      <c r="G134" s="222"/>
      <c r="H134" s="222"/>
      <c r="I134" s="211"/>
      <c r="J134" s="272">
        <f>I134*H134</f>
        <v>0</v>
      </c>
      <c r="K134" s="185"/>
      <c r="V134" s="183">
        <f>IF($J134&gt;0,1,0)</f>
        <v>0</v>
      </c>
      <c r="W134" s="183">
        <f>IF($J134&lt;0,1,0)</f>
        <v>0</v>
      </c>
    </row>
    <row r="135" spans="1:23" ht="24" thickBot="1" x14ac:dyDescent="0.5">
      <c r="A135" s="184"/>
      <c r="B135" s="316" t="s">
        <v>879</v>
      </c>
      <c r="C135" s="317"/>
      <c r="D135" s="317"/>
      <c r="E135" s="317"/>
      <c r="F135" s="317"/>
      <c r="G135" s="317"/>
      <c r="H135" s="318"/>
      <c r="I135" s="212" t="s">
        <v>880</v>
      </c>
      <c r="J135" s="213">
        <f>SUM(J111:J134)</f>
        <v>55499.999999999913</v>
      </c>
      <c r="K135" s="185"/>
      <c r="V135" s="183">
        <f>SUM(V111:V134)</f>
        <v>15</v>
      </c>
      <c r="W135" s="183">
        <f>SUM(W111:W134)</f>
        <v>3</v>
      </c>
    </row>
    <row r="136" spans="1:23" ht="30" customHeight="1" thickBot="1" x14ac:dyDescent="0.35">
      <c r="A136" s="205"/>
      <c r="B136" s="206"/>
      <c r="C136" s="206"/>
      <c r="D136" s="206"/>
      <c r="E136" s="206"/>
      <c r="F136" s="206"/>
      <c r="G136" s="206"/>
      <c r="H136" s="261"/>
      <c r="I136" s="206"/>
      <c r="J136" s="261"/>
      <c r="K136" s="207"/>
      <c r="L136" s="183" t="s">
        <v>926</v>
      </c>
    </row>
    <row r="137" spans="1:23" ht="15" thickBot="1" x14ac:dyDescent="0.35"/>
    <row r="138" spans="1:23" ht="30" customHeight="1" thickBot="1" x14ac:dyDescent="0.35">
      <c r="A138" s="180"/>
      <c r="B138" s="181"/>
      <c r="C138" s="181"/>
      <c r="D138" s="181"/>
      <c r="E138" s="181"/>
      <c r="F138" s="181"/>
      <c r="G138" s="181"/>
      <c r="H138" s="259"/>
      <c r="I138" s="181"/>
      <c r="J138" s="259"/>
      <c r="K138" s="182"/>
    </row>
    <row r="139" spans="1:23" ht="25.2" thickBot="1" x14ac:dyDescent="0.35">
      <c r="A139" s="184" t="s">
        <v>0</v>
      </c>
      <c r="B139" s="307" t="s">
        <v>873</v>
      </c>
      <c r="C139" s="308"/>
      <c r="D139" s="308"/>
      <c r="E139" s="308"/>
      <c r="F139" s="308"/>
      <c r="G139" s="308"/>
      <c r="H139" s="308"/>
      <c r="I139" s="308"/>
      <c r="J139" s="309"/>
      <c r="K139" s="185"/>
    </row>
    <row r="140" spans="1:23" ht="16.2" thickBot="1" x14ac:dyDescent="0.35">
      <c r="A140" s="184"/>
      <c r="B140" s="310">
        <v>45352</v>
      </c>
      <c r="C140" s="311"/>
      <c r="D140" s="311"/>
      <c r="E140" s="311"/>
      <c r="F140" s="311"/>
      <c r="G140" s="311"/>
      <c r="H140" s="311"/>
      <c r="I140" s="311"/>
      <c r="J140" s="312"/>
      <c r="K140" s="185"/>
    </row>
    <row r="141" spans="1:23" ht="16.2" thickBot="1" x14ac:dyDescent="0.35">
      <c r="A141" s="184"/>
      <c r="B141" s="313" t="s">
        <v>905</v>
      </c>
      <c r="C141" s="314"/>
      <c r="D141" s="314"/>
      <c r="E141" s="314"/>
      <c r="F141" s="314"/>
      <c r="G141" s="314"/>
      <c r="H141" s="314"/>
      <c r="I141" s="314"/>
      <c r="J141" s="315"/>
      <c r="K141" s="185"/>
    </row>
    <row r="142" spans="1:23" ht="15" thickBot="1" x14ac:dyDescent="0.35">
      <c r="A142" s="208"/>
      <c r="B142" s="186" t="s">
        <v>876</v>
      </c>
      <c r="C142" s="187" t="s">
        <v>1</v>
      </c>
      <c r="D142" s="188" t="s">
        <v>2</v>
      </c>
      <c r="E142" s="188" t="s">
        <v>3</v>
      </c>
      <c r="F142" s="189" t="s">
        <v>4</v>
      </c>
      <c r="G142" s="189" t="s">
        <v>5</v>
      </c>
      <c r="H142" s="260" t="s">
        <v>720</v>
      </c>
      <c r="I142" s="189" t="s">
        <v>6</v>
      </c>
      <c r="J142" s="266" t="s">
        <v>7</v>
      </c>
      <c r="K142" s="209"/>
      <c r="L142" s="198"/>
      <c r="V142" s="183" t="s">
        <v>254</v>
      </c>
      <c r="W142" s="183" t="s">
        <v>255</v>
      </c>
    </row>
    <row r="143" spans="1:23" x14ac:dyDescent="0.3">
      <c r="A143" s="184"/>
      <c r="B143" s="214">
        <v>1</v>
      </c>
      <c r="C143" s="215">
        <v>45352</v>
      </c>
      <c r="D143" s="216" t="s">
        <v>16</v>
      </c>
      <c r="E143" s="256" t="s">
        <v>912</v>
      </c>
      <c r="F143" s="256">
        <v>190</v>
      </c>
      <c r="G143" s="256">
        <v>170</v>
      </c>
      <c r="H143" s="256">
        <v>-20</v>
      </c>
      <c r="I143" s="218">
        <v>100</v>
      </c>
      <c r="J143" s="273">
        <f>I143*H143</f>
        <v>-2000</v>
      </c>
      <c r="K143" s="185"/>
      <c r="V143" s="183">
        <f>IF($J143&gt;0,1,0)</f>
        <v>0</v>
      </c>
      <c r="W143" s="183">
        <f>IF($J143&lt;0,1,0)</f>
        <v>1</v>
      </c>
    </row>
    <row r="144" spans="1:23" x14ac:dyDescent="0.3">
      <c r="A144" s="184"/>
      <c r="B144" s="194">
        <v>2</v>
      </c>
      <c r="C144" s="195">
        <v>45355</v>
      </c>
      <c r="D144" s="196" t="s">
        <v>16</v>
      </c>
      <c r="E144" s="222" t="s">
        <v>914</v>
      </c>
      <c r="F144" s="222">
        <v>190</v>
      </c>
      <c r="G144" s="222">
        <v>220</v>
      </c>
      <c r="H144" s="222">
        <f>220-190</f>
        <v>30</v>
      </c>
      <c r="I144" s="218">
        <v>100</v>
      </c>
      <c r="J144" s="268">
        <f t="shared" ref="J144:J163" si="11">I144*H144</f>
        <v>3000</v>
      </c>
      <c r="K144" s="185"/>
      <c r="V144" s="183">
        <f t="shared" ref="V144:V165" si="12">IF($J144&gt;0,1,0)</f>
        <v>1</v>
      </c>
      <c r="W144" s="183">
        <f t="shared" ref="W144:W165" si="13">IF($J144&lt;0,1,0)</f>
        <v>0</v>
      </c>
    </row>
    <row r="145" spans="1:23" x14ac:dyDescent="0.3">
      <c r="A145" s="184"/>
      <c r="B145" s="194">
        <v>3</v>
      </c>
      <c r="C145" s="195">
        <v>45356</v>
      </c>
      <c r="D145" s="196" t="s">
        <v>16</v>
      </c>
      <c r="E145" s="222" t="s">
        <v>912</v>
      </c>
      <c r="F145" s="222">
        <v>180</v>
      </c>
      <c r="G145" s="222">
        <v>220</v>
      </c>
      <c r="H145" s="222">
        <f>200-180</f>
        <v>20</v>
      </c>
      <c r="I145" s="218">
        <v>100</v>
      </c>
      <c r="J145" s="268">
        <f t="shared" si="11"/>
        <v>2000</v>
      </c>
      <c r="K145" s="185"/>
      <c r="M145" s="183" t="s">
        <v>870</v>
      </c>
      <c r="V145" s="183">
        <f t="shared" si="12"/>
        <v>1</v>
      </c>
      <c r="W145" s="183">
        <f t="shared" si="13"/>
        <v>0</v>
      </c>
    </row>
    <row r="146" spans="1:23" x14ac:dyDescent="0.3">
      <c r="A146" s="184"/>
      <c r="B146" s="194">
        <v>4</v>
      </c>
      <c r="C146" s="195">
        <v>45357</v>
      </c>
      <c r="D146" s="196" t="s">
        <v>16</v>
      </c>
      <c r="E146" s="222" t="s">
        <v>912</v>
      </c>
      <c r="F146" s="222">
        <v>170</v>
      </c>
      <c r="G146" s="222">
        <v>186</v>
      </c>
      <c r="H146" s="222">
        <f>186-170</f>
        <v>16</v>
      </c>
      <c r="I146" s="218">
        <v>100</v>
      </c>
      <c r="J146" s="268">
        <f t="shared" si="11"/>
        <v>1600</v>
      </c>
      <c r="K146" s="185"/>
      <c r="V146" s="183">
        <f t="shared" si="12"/>
        <v>1</v>
      </c>
      <c r="W146" s="183">
        <f t="shared" si="13"/>
        <v>0</v>
      </c>
    </row>
    <row r="147" spans="1:23" x14ac:dyDescent="0.3">
      <c r="A147" s="184"/>
      <c r="B147" s="194">
        <v>5</v>
      </c>
      <c r="C147" s="195">
        <v>45358</v>
      </c>
      <c r="D147" s="196" t="s">
        <v>16</v>
      </c>
      <c r="E147" s="222" t="s">
        <v>912</v>
      </c>
      <c r="F147" s="222">
        <v>165</v>
      </c>
      <c r="G147" s="222">
        <v>189</v>
      </c>
      <c r="H147" s="222">
        <f>189-165</f>
        <v>24</v>
      </c>
      <c r="I147" s="218">
        <v>100</v>
      </c>
      <c r="J147" s="268">
        <f t="shared" si="11"/>
        <v>2400</v>
      </c>
      <c r="K147" s="185"/>
      <c r="V147" s="183">
        <f t="shared" si="12"/>
        <v>1</v>
      </c>
      <c r="W147" s="183">
        <f t="shared" si="13"/>
        <v>0</v>
      </c>
    </row>
    <row r="148" spans="1:23" x14ac:dyDescent="0.3">
      <c r="A148" s="184"/>
      <c r="B148" s="194">
        <v>6</v>
      </c>
      <c r="C148" s="195">
        <v>45362</v>
      </c>
      <c r="D148" s="196" t="s">
        <v>16</v>
      </c>
      <c r="E148" s="222" t="s">
        <v>943</v>
      </c>
      <c r="F148" s="222">
        <v>125</v>
      </c>
      <c r="G148" s="222">
        <v>154</v>
      </c>
      <c r="H148" s="222">
        <f>154-125</f>
        <v>29</v>
      </c>
      <c r="I148" s="218">
        <v>100</v>
      </c>
      <c r="J148" s="268">
        <f t="shared" si="11"/>
        <v>2900</v>
      </c>
      <c r="K148" s="185"/>
      <c r="V148" s="183">
        <f t="shared" si="12"/>
        <v>1</v>
      </c>
      <c r="W148" s="183">
        <f t="shared" si="13"/>
        <v>0</v>
      </c>
    </row>
    <row r="149" spans="1:23" x14ac:dyDescent="0.3">
      <c r="A149" s="184"/>
      <c r="B149" s="194">
        <v>7</v>
      </c>
      <c r="C149" s="195">
        <v>45363</v>
      </c>
      <c r="D149" s="196" t="s">
        <v>16</v>
      </c>
      <c r="E149" s="222" t="s">
        <v>910</v>
      </c>
      <c r="F149" s="222">
        <v>145</v>
      </c>
      <c r="G149" s="222">
        <v>125</v>
      </c>
      <c r="H149" s="274">
        <v>-20</v>
      </c>
      <c r="I149" s="218">
        <v>100</v>
      </c>
      <c r="J149" s="268">
        <f t="shared" si="11"/>
        <v>-2000</v>
      </c>
      <c r="K149" s="185"/>
      <c r="M149" s="183" t="s">
        <v>942</v>
      </c>
      <c r="V149" s="183">
        <f t="shared" si="12"/>
        <v>0</v>
      </c>
      <c r="W149" s="183">
        <f t="shared" si="13"/>
        <v>1</v>
      </c>
    </row>
    <row r="150" spans="1:23" x14ac:dyDescent="0.3">
      <c r="A150" s="184"/>
      <c r="B150" s="194">
        <v>8</v>
      </c>
      <c r="C150" s="195">
        <v>45364</v>
      </c>
      <c r="D150" s="196" t="s">
        <v>16</v>
      </c>
      <c r="E150" s="222" t="s">
        <v>943</v>
      </c>
      <c r="F150" s="222">
        <v>120</v>
      </c>
      <c r="G150" s="222">
        <v>100</v>
      </c>
      <c r="H150" s="222">
        <v>-20</v>
      </c>
      <c r="I150" s="218">
        <v>100</v>
      </c>
      <c r="J150" s="268">
        <f t="shared" si="11"/>
        <v>-2000</v>
      </c>
      <c r="K150" s="185"/>
      <c r="V150" s="183">
        <f t="shared" si="12"/>
        <v>0</v>
      </c>
      <c r="W150" s="183">
        <f t="shared" si="13"/>
        <v>1</v>
      </c>
    </row>
    <row r="151" spans="1:23" x14ac:dyDescent="0.3">
      <c r="A151" s="184"/>
      <c r="B151" s="194">
        <v>9</v>
      </c>
      <c r="C151" s="195">
        <v>45365</v>
      </c>
      <c r="D151" s="196" t="s">
        <v>16</v>
      </c>
      <c r="E151" s="222" t="s">
        <v>944</v>
      </c>
      <c r="F151" s="222">
        <v>135</v>
      </c>
      <c r="G151" s="222">
        <v>175</v>
      </c>
      <c r="H151" s="222">
        <v>40</v>
      </c>
      <c r="I151" s="218">
        <v>100</v>
      </c>
      <c r="J151" s="268">
        <f t="shared" si="11"/>
        <v>4000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10</v>
      </c>
      <c r="C152" s="195">
        <v>45366</v>
      </c>
      <c r="D152" s="196" t="s">
        <v>16</v>
      </c>
      <c r="E152" s="222" t="s">
        <v>921</v>
      </c>
      <c r="F152" s="222">
        <v>100</v>
      </c>
      <c r="G152" s="222">
        <v>80</v>
      </c>
      <c r="H152" s="222">
        <v>-20</v>
      </c>
      <c r="I152" s="218">
        <v>100</v>
      </c>
      <c r="J152" s="268">
        <f t="shared" si="11"/>
        <v>-2000</v>
      </c>
      <c r="K152" s="185"/>
      <c r="V152" s="183">
        <f t="shared" si="12"/>
        <v>0</v>
      </c>
      <c r="W152" s="183">
        <f t="shared" si="13"/>
        <v>1</v>
      </c>
    </row>
    <row r="153" spans="1:23" x14ac:dyDescent="0.3">
      <c r="A153" s="184"/>
      <c r="B153" s="194">
        <v>11</v>
      </c>
      <c r="C153" s="195">
        <v>45370</v>
      </c>
      <c r="D153" s="196" t="s">
        <v>16</v>
      </c>
      <c r="E153" s="222" t="s">
        <v>928</v>
      </c>
      <c r="F153" s="222">
        <v>220</v>
      </c>
      <c r="G153" s="222">
        <v>200</v>
      </c>
      <c r="H153" s="274">
        <v>-20</v>
      </c>
      <c r="I153" s="218">
        <v>100</v>
      </c>
      <c r="J153" s="268">
        <f t="shared" si="11"/>
        <v>-2000</v>
      </c>
      <c r="K153" s="185"/>
      <c r="V153" s="183">
        <f t="shared" si="12"/>
        <v>0</v>
      </c>
      <c r="W153" s="183">
        <f t="shared" si="13"/>
        <v>1</v>
      </c>
    </row>
    <row r="154" spans="1:23" x14ac:dyDescent="0.3">
      <c r="A154" s="184"/>
      <c r="B154" s="194">
        <v>12</v>
      </c>
      <c r="C154" s="195">
        <v>45371</v>
      </c>
      <c r="D154" s="196" t="s">
        <v>16</v>
      </c>
      <c r="E154" s="222" t="s">
        <v>928</v>
      </c>
      <c r="F154" s="222">
        <v>205</v>
      </c>
      <c r="G154" s="222">
        <v>235</v>
      </c>
      <c r="H154" s="274">
        <f>235-205</f>
        <v>30</v>
      </c>
      <c r="I154" s="218">
        <v>100</v>
      </c>
      <c r="J154" s="268">
        <f t="shared" si="11"/>
        <v>3000</v>
      </c>
      <c r="K154" s="185"/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13</v>
      </c>
      <c r="C155" s="195">
        <v>45372</v>
      </c>
      <c r="D155" s="196" t="s">
        <v>16</v>
      </c>
      <c r="E155" s="222" t="s">
        <v>928</v>
      </c>
      <c r="F155" s="222">
        <v>210</v>
      </c>
      <c r="G155" s="222">
        <v>250</v>
      </c>
      <c r="H155" s="274">
        <v>40</v>
      </c>
      <c r="I155" s="218">
        <v>100</v>
      </c>
      <c r="J155" s="268">
        <f t="shared" si="11"/>
        <v>4000</v>
      </c>
      <c r="K155" s="185"/>
      <c r="V155" s="183">
        <f t="shared" si="12"/>
        <v>1</v>
      </c>
      <c r="W155" s="183">
        <f t="shared" si="13"/>
        <v>0</v>
      </c>
    </row>
    <row r="156" spans="1:23" x14ac:dyDescent="0.3">
      <c r="A156" s="184"/>
      <c r="B156" s="194">
        <v>14</v>
      </c>
      <c r="C156" s="195">
        <v>45373</v>
      </c>
      <c r="D156" s="196" t="s">
        <v>16</v>
      </c>
      <c r="E156" s="222" t="s">
        <v>928</v>
      </c>
      <c r="F156" s="222">
        <v>220</v>
      </c>
      <c r="G156" s="222">
        <v>200</v>
      </c>
      <c r="H156" s="274">
        <v>-20</v>
      </c>
      <c r="I156" s="218">
        <v>100</v>
      </c>
      <c r="J156" s="268">
        <f t="shared" si="11"/>
        <v>-2000</v>
      </c>
      <c r="K156" s="185"/>
      <c r="V156" s="183">
        <f t="shared" si="12"/>
        <v>0</v>
      </c>
      <c r="W156" s="183">
        <f t="shared" si="13"/>
        <v>1</v>
      </c>
    </row>
    <row r="157" spans="1:23" x14ac:dyDescent="0.3">
      <c r="A157" s="184"/>
      <c r="B157" s="194">
        <v>15</v>
      </c>
      <c r="C157" s="195">
        <v>45377</v>
      </c>
      <c r="D157" s="196" t="s">
        <v>16</v>
      </c>
      <c r="E157" s="196" t="s">
        <v>928</v>
      </c>
      <c r="F157" s="222">
        <v>170</v>
      </c>
      <c r="G157" s="222">
        <v>179</v>
      </c>
      <c r="H157" s="222">
        <v>9</v>
      </c>
      <c r="I157" s="218">
        <v>100</v>
      </c>
      <c r="J157" s="268">
        <f t="shared" si="11"/>
        <v>900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16</v>
      </c>
      <c r="C158" s="195">
        <v>45378</v>
      </c>
      <c r="D158" s="196" t="s">
        <v>16</v>
      </c>
      <c r="E158" s="196" t="s">
        <v>928</v>
      </c>
      <c r="F158" s="222">
        <v>195</v>
      </c>
      <c r="G158" s="274">
        <v>210</v>
      </c>
      <c r="H158" s="274">
        <f>210-195</f>
        <v>15</v>
      </c>
      <c r="I158" s="218">
        <v>100</v>
      </c>
      <c r="J158" s="268">
        <f t="shared" si="11"/>
        <v>1500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17</v>
      </c>
      <c r="C159" s="195">
        <v>45379</v>
      </c>
      <c r="D159" s="196" t="s">
        <v>16</v>
      </c>
      <c r="E159" s="196" t="s">
        <v>922</v>
      </c>
      <c r="F159" s="222">
        <v>205</v>
      </c>
      <c r="G159" s="222">
        <v>215</v>
      </c>
      <c r="H159" s="263">
        <v>10</v>
      </c>
      <c r="I159" s="218">
        <v>100</v>
      </c>
      <c r="J159" s="268">
        <f t="shared" si="11"/>
        <v>1000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18</v>
      </c>
      <c r="C160" s="195"/>
      <c r="D160" s="196"/>
      <c r="E160" s="196"/>
      <c r="F160" s="222"/>
      <c r="G160" s="222"/>
      <c r="H160" s="274"/>
      <c r="I160" s="218"/>
      <c r="J160" s="268">
        <f t="shared" si="11"/>
        <v>0</v>
      </c>
      <c r="K160" s="185"/>
      <c r="V160" s="183">
        <f t="shared" si="12"/>
        <v>0</v>
      </c>
      <c r="W160" s="183">
        <f t="shared" si="13"/>
        <v>0</v>
      </c>
    </row>
    <row r="161" spans="1:23" x14ac:dyDescent="0.3">
      <c r="A161" s="184"/>
      <c r="B161" s="194">
        <v>19</v>
      </c>
      <c r="C161" s="195"/>
      <c r="D161" s="196"/>
      <c r="E161" s="196"/>
      <c r="F161" s="222"/>
      <c r="G161" s="222"/>
      <c r="H161" s="274"/>
      <c r="I161" s="218"/>
      <c r="J161" s="268">
        <f t="shared" si="11"/>
        <v>0</v>
      </c>
      <c r="K161" s="185"/>
      <c r="V161" s="183">
        <f t="shared" si="12"/>
        <v>0</v>
      </c>
      <c r="W161" s="183">
        <f t="shared" si="13"/>
        <v>0</v>
      </c>
    </row>
    <row r="162" spans="1:23" x14ac:dyDescent="0.3">
      <c r="A162" s="184"/>
      <c r="B162" s="194">
        <v>20</v>
      </c>
      <c r="C162" s="195"/>
      <c r="D162" s="196"/>
      <c r="E162" s="222"/>
      <c r="F162" s="222"/>
      <c r="G162" s="222"/>
      <c r="H162" s="274"/>
      <c r="I162" s="218"/>
      <c r="J162" s="268">
        <f t="shared" si="11"/>
        <v>0</v>
      </c>
      <c r="K162" s="185"/>
      <c r="V162" s="183">
        <f t="shared" si="12"/>
        <v>0</v>
      </c>
      <c r="W162" s="183">
        <f t="shared" si="13"/>
        <v>0</v>
      </c>
    </row>
    <row r="163" spans="1:23" hidden="1" x14ac:dyDescent="0.3">
      <c r="A163" s="184"/>
      <c r="B163" s="194">
        <v>21</v>
      </c>
      <c r="C163" s="195"/>
      <c r="D163" s="196"/>
      <c r="E163" s="222"/>
      <c r="F163" s="222"/>
      <c r="G163" s="222"/>
      <c r="H163" s="274"/>
      <c r="I163" s="218"/>
      <c r="J163" s="268">
        <f t="shared" si="11"/>
        <v>0</v>
      </c>
      <c r="K163" s="185"/>
      <c r="V163" s="183">
        <f t="shared" si="12"/>
        <v>0</v>
      </c>
      <c r="W163" s="183">
        <f t="shared" si="13"/>
        <v>0</v>
      </c>
    </row>
    <row r="164" spans="1:23" hidden="1" x14ac:dyDescent="0.3">
      <c r="A164" s="184"/>
      <c r="B164" s="194">
        <v>22</v>
      </c>
      <c r="C164" s="195"/>
      <c r="D164" s="196"/>
      <c r="E164" s="222"/>
      <c r="F164" s="222"/>
      <c r="G164" s="222"/>
      <c r="H164" s="222"/>
      <c r="I164" s="218"/>
      <c r="J164" s="268">
        <f>I164*H164</f>
        <v>0</v>
      </c>
      <c r="K164" s="185"/>
      <c r="V164" s="183">
        <f t="shared" si="12"/>
        <v>0</v>
      </c>
      <c r="W164" s="183">
        <f t="shared" si="13"/>
        <v>0</v>
      </c>
    </row>
    <row r="165" spans="1:23" ht="15" thickBot="1" x14ac:dyDescent="0.35">
      <c r="A165" s="184"/>
      <c r="B165" s="199">
        <v>23</v>
      </c>
      <c r="C165" s="200"/>
      <c r="D165" s="201"/>
      <c r="E165" s="201"/>
      <c r="F165" s="284"/>
      <c r="G165" s="284"/>
      <c r="H165" s="284"/>
      <c r="I165" s="285"/>
      <c r="J165" s="269">
        <f>I165*H165</f>
        <v>0</v>
      </c>
      <c r="K165" s="185"/>
      <c r="V165" s="183">
        <f t="shared" si="12"/>
        <v>0</v>
      </c>
      <c r="W165" s="183">
        <f t="shared" si="13"/>
        <v>0</v>
      </c>
    </row>
    <row r="166" spans="1:23" ht="24" thickBot="1" x14ac:dyDescent="0.5">
      <c r="A166" s="184"/>
      <c r="B166" s="304" t="s">
        <v>879</v>
      </c>
      <c r="C166" s="305"/>
      <c r="D166" s="305"/>
      <c r="E166" s="305"/>
      <c r="F166" s="305"/>
      <c r="G166" s="305"/>
      <c r="H166" s="306"/>
      <c r="I166" s="203" t="s">
        <v>880</v>
      </c>
      <c r="J166" s="204">
        <f>SUM(J143:J165)</f>
        <v>14300</v>
      </c>
      <c r="K166" s="185"/>
      <c r="V166" s="183">
        <f>SUM(V143:V165)</f>
        <v>11</v>
      </c>
      <c r="W166" s="183">
        <f>SUM(W143:W165)</f>
        <v>6</v>
      </c>
    </row>
    <row r="167" spans="1:23" ht="30" customHeight="1" thickBot="1" x14ac:dyDescent="0.35">
      <c r="A167" s="205"/>
      <c r="B167" s="286"/>
      <c r="C167" s="286"/>
      <c r="D167" s="286"/>
      <c r="E167" s="286"/>
      <c r="F167" s="286"/>
      <c r="G167" s="286"/>
      <c r="H167" s="287"/>
      <c r="I167" s="286"/>
      <c r="J167" s="287"/>
      <c r="K167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40:J140"/>
    <mergeCell ref="B141:J141"/>
    <mergeCell ref="B166:H166"/>
    <mergeCell ref="B103:H103"/>
    <mergeCell ref="B107:J107"/>
    <mergeCell ref="B108:J108"/>
    <mergeCell ref="B109:J109"/>
    <mergeCell ref="B135:H135"/>
    <mergeCell ref="B139:J139"/>
  </mergeCells>
  <hyperlinks>
    <hyperlink ref="B52" r:id="rId1" xr:uid="{602776EE-CD34-4EE6-8506-37CEAB09389C}"/>
    <hyperlink ref="B103" r:id="rId2" xr:uid="{F738BE34-CC75-40A6-BF7A-56A03E71DD05}"/>
    <hyperlink ref="M4:M5" location="'MARCH 2024'!A1" display="BULLION" xr:uid="{FDF09505-0481-4ABB-B3EF-5E32F159E647}"/>
    <hyperlink ref="B135" r:id="rId3" xr:uid="{4550E3F3-6662-4B54-9B17-6B66F4818FAB}"/>
    <hyperlink ref="M8:M9" location="'MARCH 2024'!A86" display="BASE METAL" xr:uid="{5A0E8EA9-F08C-4B77-9947-9A97A96D06A5}"/>
    <hyperlink ref="M1" location="MASTER!A1" display="Back" xr:uid="{516FDF72-D411-40C7-815A-E4BD4B0B1DED}"/>
    <hyperlink ref="M6:M7" location="'MARCH 2024'!A55" display="ENERGY" xr:uid="{18AEA16F-8C43-4CF0-A11D-089C1BE2C6C1}"/>
    <hyperlink ref="B166" r:id="rId4" xr:uid="{BC775AC0-79EE-416B-91CA-D92A6EB17F64}"/>
    <hyperlink ref="M10:M11" location="'MARCH 2024'!A117" display="CRUDEOIL OPTION" xr:uid="{BD1EBF9B-D3CA-44BB-B9FF-8A586941B748}"/>
  </hyperlinks>
  <pageMargins left="0" right="0" top="0" bottom="0" header="0" footer="0"/>
  <pageSetup paperSize="9" orientation="portrait" r:id="rId5"/>
  <drawing r:id="rId6"/>
  <legacyDrawing r:id="rId7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D6C75-D356-4242-88B1-C5CCCD6AA04E}">
  <dimension ref="A1:X167"/>
  <sheetViews>
    <sheetView topLeftCell="A127" zoomScaleNormal="100" workbookViewId="0">
      <selection activeCell="O119" sqref="O11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45383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40</v>
      </c>
      <c r="O4" s="369">
        <f>V52</f>
        <v>38</v>
      </c>
      <c r="P4" s="369">
        <f>W52</f>
        <v>2</v>
      </c>
      <c r="Q4" s="349">
        <f>N4-O4-P4</f>
        <v>0</v>
      </c>
      <c r="R4" s="343">
        <f>O4/N4</f>
        <v>0.95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45383</v>
      </c>
      <c r="D6" s="192" t="s">
        <v>23</v>
      </c>
      <c r="E6" s="192" t="s">
        <v>24</v>
      </c>
      <c r="F6" s="193">
        <v>68720</v>
      </c>
      <c r="G6" s="193">
        <v>68520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COUNT(C60:C102)</f>
        <v>40</v>
      </c>
      <c r="O6" s="348">
        <f>V103</f>
        <v>35</v>
      </c>
      <c r="P6" s="348">
        <f>W103</f>
        <v>5</v>
      </c>
      <c r="Q6" s="349">
        <v>0</v>
      </c>
      <c r="R6" s="345">
        <f t="shared" ref="R6" si="0">O6/N6</f>
        <v>0.875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45383</v>
      </c>
      <c r="D7" s="196" t="s">
        <v>23</v>
      </c>
      <c r="E7" s="196" t="s">
        <v>22</v>
      </c>
      <c r="F7" s="197">
        <v>75800</v>
      </c>
      <c r="G7" s="197">
        <v>75500</v>
      </c>
      <c r="H7" s="196">
        <v>300</v>
      </c>
      <c r="I7" s="197">
        <v>30</v>
      </c>
      <c r="J7" s="268">
        <f t="shared" ref="J7:J51" si="1">H7*I7</f>
        <v>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45384</v>
      </c>
      <c r="D8" s="196" t="s">
        <v>23</v>
      </c>
      <c r="E8" s="196" t="s">
        <v>24</v>
      </c>
      <c r="F8" s="197">
        <v>68900</v>
      </c>
      <c r="G8" s="197">
        <v>68460</v>
      </c>
      <c r="H8" s="196">
        <f>68900-68460</f>
        <v>440</v>
      </c>
      <c r="I8" s="197">
        <v>100</v>
      </c>
      <c r="J8" s="268">
        <f t="shared" si="1"/>
        <v>44000</v>
      </c>
      <c r="K8" s="185"/>
      <c r="M8" s="362" t="s">
        <v>877</v>
      </c>
      <c r="N8" s="347">
        <f>COUNT(C111:C134)</f>
        <v>20</v>
      </c>
      <c r="O8" s="348">
        <f>V135</f>
        <v>17</v>
      </c>
      <c r="P8" s="348">
        <f>W135</f>
        <v>3</v>
      </c>
      <c r="Q8" s="349">
        <f>N8-O8-P8</f>
        <v>0</v>
      </c>
      <c r="R8" s="345">
        <f t="shared" ref="R8" si="4">O8/N8</f>
        <v>0.85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45384</v>
      </c>
      <c r="D9" s="196" t="s">
        <v>23</v>
      </c>
      <c r="E9" s="196" t="s">
        <v>22</v>
      </c>
      <c r="F9" s="197">
        <v>76700</v>
      </c>
      <c r="G9" s="197">
        <v>76290</v>
      </c>
      <c r="H9" s="196">
        <f>76700-76290</f>
        <v>410</v>
      </c>
      <c r="I9" s="197">
        <v>30</v>
      </c>
      <c r="J9" s="268">
        <f t="shared" si="1"/>
        <v>12300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45385</v>
      </c>
      <c r="D10" s="196" t="s">
        <v>23</v>
      </c>
      <c r="E10" s="196" t="s">
        <v>24</v>
      </c>
      <c r="F10" s="197">
        <v>69080</v>
      </c>
      <c r="G10" s="197">
        <v>69025</v>
      </c>
      <c r="H10" s="196">
        <v>55</v>
      </c>
      <c r="I10" s="197">
        <v>100</v>
      </c>
      <c r="J10" s="268">
        <f t="shared" si="1"/>
        <v>5500</v>
      </c>
      <c r="K10" s="185"/>
      <c r="M10" s="364" t="s">
        <v>906</v>
      </c>
      <c r="N10" s="347">
        <f>COUNT(C143:C165)</f>
        <v>20</v>
      </c>
      <c r="O10" s="348">
        <f>V166</f>
        <v>19</v>
      </c>
      <c r="P10" s="348">
        <f>W166</f>
        <v>1</v>
      </c>
      <c r="Q10" s="349">
        <f>N10-O10-P10</f>
        <v>0</v>
      </c>
      <c r="R10" s="345">
        <f>O10/N10</f>
        <v>0.95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45385</v>
      </c>
      <c r="D11" s="196" t="s">
        <v>23</v>
      </c>
      <c r="E11" s="196" t="s">
        <v>22</v>
      </c>
      <c r="F11" s="197">
        <v>77950</v>
      </c>
      <c r="G11" s="197">
        <v>77785</v>
      </c>
      <c r="H11" s="196">
        <f>77950-77785</f>
        <v>165</v>
      </c>
      <c r="I11" s="197">
        <v>30</v>
      </c>
      <c r="J11" s="268">
        <f t="shared" si="1"/>
        <v>4950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45386</v>
      </c>
      <c r="D12" s="196" t="s">
        <v>23</v>
      </c>
      <c r="E12" s="196" t="s">
        <v>24</v>
      </c>
      <c r="F12" s="197">
        <v>69670</v>
      </c>
      <c r="G12" s="197">
        <v>69770</v>
      </c>
      <c r="H12" s="196">
        <v>-100</v>
      </c>
      <c r="I12" s="197">
        <v>100</v>
      </c>
      <c r="J12" s="268">
        <f t="shared" si="1"/>
        <v>-10000</v>
      </c>
      <c r="K12" s="185"/>
      <c r="M12" s="319" t="s">
        <v>300</v>
      </c>
      <c r="N12" s="371">
        <f>SUM(N4:N11)</f>
        <v>120</v>
      </c>
      <c r="O12" s="371">
        <f>SUM(O4:O11)</f>
        <v>109</v>
      </c>
      <c r="P12" s="371">
        <f>SUM(P4:P11)</f>
        <v>11</v>
      </c>
      <c r="Q12" s="371">
        <f>SUM(Q4:Q11)</f>
        <v>0</v>
      </c>
      <c r="R12" s="343">
        <f>O12/N12</f>
        <v>0.90833333333333333</v>
      </c>
      <c r="V12" s="183">
        <f t="shared" si="2"/>
        <v>0</v>
      </c>
      <c r="W12" s="183">
        <f t="shared" si="3"/>
        <v>1</v>
      </c>
    </row>
    <row r="13" spans="1:23" ht="15" thickBot="1" x14ac:dyDescent="0.35">
      <c r="A13" s="184"/>
      <c r="B13" s="194">
        <v>8</v>
      </c>
      <c r="C13" s="195">
        <v>45386</v>
      </c>
      <c r="D13" s="196" t="s">
        <v>23</v>
      </c>
      <c r="E13" s="196" t="s">
        <v>22</v>
      </c>
      <c r="F13" s="197">
        <v>79700</v>
      </c>
      <c r="G13" s="197">
        <v>79550</v>
      </c>
      <c r="H13" s="196">
        <f>79700-79550</f>
        <v>150</v>
      </c>
      <c r="I13" s="197">
        <v>30</v>
      </c>
      <c r="J13" s="268">
        <f t="shared" si="1"/>
        <v>4500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45387</v>
      </c>
      <c r="D14" s="196" t="s">
        <v>23</v>
      </c>
      <c r="E14" s="196" t="s">
        <v>24</v>
      </c>
      <c r="F14" s="197">
        <v>69650</v>
      </c>
      <c r="G14" s="197">
        <v>69550</v>
      </c>
      <c r="H14" s="196">
        <v>100</v>
      </c>
      <c r="I14" s="197">
        <v>100</v>
      </c>
      <c r="J14" s="268">
        <f t="shared" si="1"/>
        <v>10000</v>
      </c>
      <c r="K14" s="185"/>
      <c r="M14" s="323" t="s">
        <v>878</v>
      </c>
      <c r="N14" s="324"/>
      <c r="O14" s="325"/>
      <c r="P14" s="332">
        <f>R12</f>
        <v>0.90833333333333333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45387</v>
      </c>
      <c r="D15" s="196" t="s">
        <v>23</v>
      </c>
      <c r="E15" s="196" t="s">
        <v>22</v>
      </c>
      <c r="F15" s="197">
        <v>79400</v>
      </c>
      <c r="G15" s="197">
        <v>78800</v>
      </c>
      <c r="H15" s="196">
        <v>600</v>
      </c>
      <c r="I15" s="197">
        <v>30</v>
      </c>
      <c r="J15" s="268">
        <f t="shared" si="1"/>
        <v>18000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45390</v>
      </c>
      <c r="D16" s="196" t="s">
        <v>23</v>
      </c>
      <c r="E16" s="196" t="s">
        <v>24</v>
      </c>
      <c r="F16" s="197">
        <v>70880</v>
      </c>
      <c r="G16" s="197">
        <v>70780</v>
      </c>
      <c r="H16" s="196">
        <f>70880-70780</f>
        <v>100</v>
      </c>
      <c r="I16" s="197">
        <v>100</v>
      </c>
      <c r="J16" s="268">
        <f t="shared" si="1"/>
        <v>10000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45390</v>
      </c>
      <c r="D17" s="196" t="s">
        <v>23</v>
      </c>
      <c r="E17" s="196" t="s">
        <v>22</v>
      </c>
      <c r="F17" s="197">
        <v>70900</v>
      </c>
      <c r="G17" s="197">
        <v>70600</v>
      </c>
      <c r="H17" s="196"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45391</v>
      </c>
      <c r="D18" s="196" t="s">
        <v>23</v>
      </c>
      <c r="E18" s="196" t="s">
        <v>24</v>
      </c>
      <c r="F18" s="197">
        <v>71700</v>
      </c>
      <c r="G18" s="197">
        <v>71500</v>
      </c>
      <c r="H18" s="196">
        <v>200</v>
      </c>
      <c r="I18" s="197">
        <v>100</v>
      </c>
      <c r="J18" s="268">
        <f t="shared" si="1"/>
        <v>20000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45391</v>
      </c>
      <c r="D19" s="196" t="s">
        <v>23</v>
      </c>
      <c r="E19" s="196" t="s">
        <v>22</v>
      </c>
      <c r="F19" s="197">
        <v>82750</v>
      </c>
      <c r="G19" s="197">
        <v>82355</v>
      </c>
      <c r="H19" s="196">
        <f>82750-82355</f>
        <v>395</v>
      </c>
      <c r="I19" s="197">
        <v>30</v>
      </c>
      <c r="J19" s="268">
        <f t="shared" si="1"/>
        <v>11850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45392</v>
      </c>
      <c r="D20" s="196" t="s">
        <v>23</v>
      </c>
      <c r="E20" s="196" t="s">
        <v>24</v>
      </c>
      <c r="F20" s="197">
        <v>71400</v>
      </c>
      <c r="G20" s="197">
        <v>71300</v>
      </c>
      <c r="H20" s="196">
        <v>100</v>
      </c>
      <c r="I20" s="197">
        <v>100</v>
      </c>
      <c r="J20" s="268">
        <f t="shared" si="1"/>
        <v>10000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45392</v>
      </c>
      <c r="D21" s="196" t="s">
        <v>23</v>
      </c>
      <c r="E21" s="196" t="s">
        <v>22</v>
      </c>
      <c r="F21" s="197">
        <v>82800</v>
      </c>
      <c r="G21" s="197">
        <v>82200</v>
      </c>
      <c r="H21" s="196">
        <v>600</v>
      </c>
      <c r="I21" s="197">
        <v>30</v>
      </c>
      <c r="J21" s="268">
        <f t="shared" si="1"/>
        <v>18000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45394</v>
      </c>
      <c r="D22" s="196" t="s">
        <v>23</v>
      </c>
      <c r="E22" s="196" t="s">
        <v>24</v>
      </c>
      <c r="F22" s="197">
        <v>72700</v>
      </c>
      <c r="G22" s="197">
        <v>72600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45394</v>
      </c>
      <c r="D23" s="196" t="s">
        <v>23</v>
      </c>
      <c r="E23" s="196" t="s">
        <v>22</v>
      </c>
      <c r="F23" s="197">
        <v>84500</v>
      </c>
      <c r="G23" s="197">
        <v>84200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45397</v>
      </c>
      <c r="D24" s="196" t="s">
        <v>23</v>
      </c>
      <c r="E24" s="196" t="s">
        <v>24</v>
      </c>
      <c r="F24" s="197">
        <v>71900</v>
      </c>
      <c r="G24" s="197">
        <v>71750</v>
      </c>
      <c r="H24" s="196">
        <f>71900-71750</f>
        <v>150</v>
      </c>
      <c r="I24" s="197">
        <v>100</v>
      </c>
      <c r="J24" s="268">
        <f t="shared" si="1"/>
        <v>15000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45397</v>
      </c>
      <c r="D25" s="196" t="s">
        <v>23</v>
      </c>
      <c r="E25" s="196" t="s">
        <v>22</v>
      </c>
      <c r="F25" s="197">
        <v>83700</v>
      </c>
      <c r="G25" s="197">
        <v>83400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45398</v>
      </c>
      <c r="D26" s="196" t="s">
        <v>23</v>
      </c>
      <c r="E26" s="196" t="s">
        <v>24</v>
      </c>
      <c r="F26" s="197">
        <v>72350</v>
      </c>
      <c r="G26" s="197">
        <v>72450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45398</v>
      </c>
      <c r="D27" s="196" t="s">
        <v>23</v>
      </c>
      <c r="E27" s="196" t="s">
        <v>22</v>
      </c>
      <c r="F27" s="197">
        <v>83500</v>
      </c>
      <c r="G27" s="197">
        <v>83300</v>
      </c>
      <c r="H27" s="196"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45400</v>
      </c>
      <c r="D28" s="196" t="s">
        <v>23</v>
      </c>
      <c r="E28" s="196" t="s">
        <v>24</v>
      </c>
      <c r="F28" s="197">
        <v>72850</v>
      </c>
      <c r="G28" s="197">
        <v>72520</v>
      </c>
      <c r="H28" s="196">
        <f>72850-72520</f>
        <v>330</v>
      </c>
      <c r="I28" s="197">
        <v>100</v>
      </c>
      <c r="J28" s="268">
        <f t="shared" si="1"/>
        <v>33000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45400</v>
      </c>
      <c r="D29" s="196" t="s">
        <v>23</v>
      </c>
      <c r="E29" s="196" t="s">
        <v>22</v>
      </c>
      <c r="F29" s="197">
        <v>83500</v>
      </c>
      <c r="G29" s="197">
        <v>83250</v>
      </c>
      <c r="H29" s="196">
        <v>250</v>
      </c>
      <c r="I29" s="197">
        <v>30</v>
      </c>
      <c r="J29" s="268">
        <f t="shared" si="1"/>
        <v>7500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45401</v>
      </c>
      <c r="D30" s="196" t="s">
        <v>23</v>
      </c>
      <c r="E30" s="196" t="s">
        <v>24</v>
      </c>
      <c r="F30" s="197">
        <v>72600</v>
      </c>
      <c r="G30" s="197">
        <v>72400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45401</v>
      </c>
      <c r="D31" s="196" t="s">
        <v>23</v>
      </c>
      <c r="E31" s="196" t="s">
        <v>22</v>
      </c>
      <c r="F31" s="197">
        <v>83200</v>
      </c>
      <c r="G31" s="197">
        <v>82945</v>
      </c>
      <c r="H31" s="196">
        <v>255</v>
      </c>
      <c r="I31" s="197">
        <v>30</v>
      </c>
      <c r="J31" s="268">
        <f t="shared" si="1"/>
        <v>7650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45404</v>
      </c>
      <c r="D32" s="196" t="s">
        <v>23</v>
      </c>
      <c r="E32" s="196" t="s">
        <v>24</v>
      </c>
      <c r="F32" s="197">
        <v>71940</v>
      </c>
      <c r="G32" s="197">
        <v>71740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45404</v>
      </c>
      <c r="D33" s="196" t="s">
        <v>23</v>
      </c>
      <c r="E33" s="196" t="s">
        <v>22</v>
      </c>
      <c r="F33" s="197">
        <v>81900</v>
      </c>
      <c r="G33" s="197">
        <v>81300</v>
      </c>
      <c r="H33" s="196"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45405</v>
      </c>
      <c r="D34" s="196" t="s">
        <v>23</v>
      </c>
      <c r="E34" s="196" t="s">
        <v>24</v>
      </c>
      <c r="F34" s="197">
        <v>70500</v>
      </c>
      <c r="G34" s="197">
        <v>70300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45405</v>
      </c>
      <c r="D35" s="196" t="s">
        <v>23</v>
      </c>
      <c r="E35" s="196" t="s">
        <v>22</v>
      </c>
      <c r="F35" s="197">
        <v>79700</v>
      </c>
      <c r="G35" s="197">
        <v>79500</v>
      </c>
      <c r="H35" s="196">
        <v>200</v>
      </c>
      <c r="I35" s="197">
        <v>30</v>
      </c>
      <c r="J35" s="268">
        <f t="shared" si="1"/>
        <v>6000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45406</v>
      </c>
      <c r="D36" s="196" t="s">
        <v>23</v>
      </c>
      <c r="E36" s="196" t="s">
        <v>24</v>
      </c>
      <c r="F36" s="197">
        <v>70920</v>
      </c>
      <c r="G36" s="197">
        <v>70750</v>
      </c>
      <c r="H36" s="196">
        <f>70920-70750</f>
        <v>170</v>
      </c>
      <c r="I36" s="197">
        <v>100</v>
      </c>
      <c r="J36" s="268">
        <f t="shared" si="1"/>
        <v>17000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45406</v>
      </c>
      <c r="D37" s="196" t="s">
        <v>23</v>
      </c>
      <c r="E37" s="196" t="s">
        <v>22</v>
      </c>
      <c r="F37" s="197">
        <v>80600</v>
      </c>
      <c r="G37" s="197">
        <v>80300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45407</v>
      </c>
      <c r="D38" s="196" t="s">
        <v>16</v>
      </c>
      <c r="E38" s="196" t="s">
        <v>24</v>
      </c>
      <c r="F38" s="197">
        <v>71100</v>
      </c>
      <c r="G38" s="197">
        <v>71300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45407</v>
      </c>
      <c r="D39" s="196" t="s">
        <v>16</v>
      </c>
      <c r="E39" s="196" t="s">
        <v>22</v>
      </c>
      <c r="F39" s="197">
        <v>80750</v>
      </c>
      <c r="G39" s="197">
        <v>81050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45408</v>
      </c>
      <c r="D40" s="196" t="s">
        <v>16</v>
      </c>
      <c r="E40" s="196" t="s">
        <v>24</v>
      </c>
      <c r="F40" s="197">
        <v>71500</v>
      </c>
      <c r="G40" s="197">
        <v>71700</v>
      </c>
      <c r="H40" s="196">
        <v>200</v>
      </c>
      <c r="I40" s="197">
        <v>100</v>
      </c>
      <c r="J40" s="268">
        <f t="shared" si="1"/>
        <v>20000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45408</v>
      </c>
      <c r="D41" s="196" t="s">
        <v>16</v>
      </c>
      <c r="E41" s="196" t="s">
        <v>22</v>
      </c>
      <c r="F41" s="197">
        <v>81300</v>
      </c>
      <c r="G41" s="197">
        <v>81400</v>
      </c>
      <c r="H41" s="196">
        <v>200</v>
      </c>
      <c r="I41" s="197">
        <v>30</v>
      </c>
      <c r="J41" s="268">
        <f t="shared" si="1"/>
        <v>6000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45411</v>
      </c>
      <c r="D42" s="196" t="s">
        <v>23</v>
      </c>
      <c r="E42" s="196" t="s">
        <v>24</v>
      </c>
      <c r="F42" s="197">
        <v>71570</v>
      </c>
      <c r="G42" s="197">
        <v>71370</v>
      </c>
      <c r="H42" s="196">
        <v>200</v>
      </c>
      <c r="I42" s="197">
        <v>100</v>
      </c>
      <c r="J42" s="268">
        <f t="shared" si="1"/>
        <v>20000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45411</v>
      </c>
      <c r="D43" s="196" t="s">
        <v>23</v>
      </c>
      <c r="E43" s="196" t="s">
        <v>22</v>
      </c>
      <c r="F43" s="197">
        <v>80850</v>
      </c>
      <c r="G43" s="197">
        <v>80550</v>
      </c>
      <c r="H43" s="196">
        <v>300</v>
      </c>
      <c r="I43" s="197">
        <v>30</v>
      </c>
      <c r="J43" s="268">
        <f t="shared" si="1"/>
        <v>9000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45412</v>
      </c>
      <c r="D44" s="196" t="s">
        <v>23</v>
      </c>
      <c r="E44" s="196" t="s">
        <v>24</v>
      </c>
      <c r="F44" s="197">
        <v>71080</v>
      </c>
      <c r="G44" s="197">
        <v>70880</v>
      </c>
      <c r="H44" s="196">
        <v>200</v>
      </c>
      <c r="I44" s="197">
        <v>100</v>
      </c>
      <c r="J44" s="268">
        <f t="shared" si="1"/>
        <v>20000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45412</v>
      </c>
      <c r="D45" s="196" t="s">
        <v>23</v>
      </c>
      <c r="E45" s="196" t="s">
        <v>22</v>
      </c>
      <c r="F45" s="197">
        <v>81400</v>
      </c>
      <c r="G45" s="197">
        <v>80800</v>
      </c>
      <c r="H45" s="196">
        <f>81400-80800</f>
        <v>600</v>
      </c>
      <c r="I45" s="197">
        <v>30</v>
      </c>
      <c r="J45" s="268">
        <f t="shared" si="1"/>
        <v>18000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516250</v>
      </c>
      <c r="K52" s="185"/>
      <c r="V52" s="183">
        <f>SUM(V6:V51)</f>
        <v>38</v>
      </c>
      <c r="W52" s="183">
        <f>SUM(W6:W51)</f>
        <v>2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45383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45383</v>
      </c>
      <c r="D60" s="192" t="s">
        <v>23</v>
      </c>
      <c r="E60" s="192" t="s">
        <v>25</v>
      </c>
      <c r="F60" s="193">
        <v>6940</v>
      </c>
      <c r="G60" s="193">
        <v>6901</v>
      </c>
      <c r="H60" s="192">
        <f>6940-6901</f>
        <v>39</v>
      </c>
      <c r="I60" s="193">
        <v>100</v>
      </c>
      <c r="J60" s="267">
        <f t="shared" ref="J60:J102" si="5">I60*H60</f>
        <v>3900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45383</v>
      </c>
      <c r="D61" s="196" t="s">
        <v>23</v>
      </c>
      <c r="E61" s="196" t="s">
        <v>939</v>
      </c>
      <c r="F61" s="222">
        <v>144.5</v>
      </c>
      <c r="G61" s="222">
        <v>147.5</v>
      </c>
      <c r="H61" s="222">
        <f>147.5-144.5</f>
        <v>3</v>
      </c>
      <c r="I61" s="197">
        <v>2000</v>
      </c>
      <c r="J61" s="268">
        <f t="shared" si="5"/>
        <v>6000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45384</v>
      </c>
      <c r="D62" s="196" t="s">
        <v>23</v>
      </c>
      <c r="E62" s="196" t="s">
        <v>25</v>
      </c>
      <c r="F62" s="197">
        <v>7110</v>
      </c>
      <c r="G62" s="197">
        <v>7075</v>
      </c>
      <c r="H62" s="222">
        <v>35</v>
      </c>
      <c r="I62" s="197">
        <v>100</v>
      </c>
      <c r="J62" s="268">
        <f t="shared" si="5"/>
        <v>3500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45384</v>
      </c>
      <c r="D63" s="196" t="s">
        <v>23</v>
      </c>
      <c r="E63" s="196" t="s">
        <v>939</v>
      </c>
      <c r="F63" s="222">
        <v>154</v>
      </c>
      <c r="G63" s="222">
        <v>149.80000000000001</v>
      </c>
      <c r="H63" s="222">
        <f>154-149.8</f>
        <v>4.1999999999999886</v>
      </c>
      <c r="I63" s="197">
        <v>2000</v>
      </c>
      <c r="J63" s="268">
        <f t="shared" si="5"/>
        <v>8399.9999999999782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45385</v>
      </c>
      <c r="D64" s="196" t="s">
        <v>23</v>
      </c>
      <c r="E64" s="196" t="s">
        <v>25</v>
      </c>
      <c r="F64" s="197">
        <v>7110</v>
      </c>
      <c r="G64" s="197">
        <v>7080</v>
      </c>
      <c r="H64" s="196">
        <f>7110-7080</f>
        <v>30</v>
      </c>
      <c r="I64" s="197">
        <v>100</v>
      </c>
      <c r="J64" s="268">
        <f t="shared" si="5"/>
        <v>3000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45385</v>
      </c>
      <c r="D65" s="196" t="s">
        <v>23</v>
      </c>
      <c r="E65" s="196" t="s">
        <v>939</v>
      </c>
      <c r="F65" s="222">
        <v>156.5</v>
      </c>
      <c r="G65" s="222">
        <v>159.5</v>
      </c>
      <c r="H65" s="196">
        <v>-3</v>
      </c>
      <c r="I65" s="197">
        <v>2000</v>
      </c>
      <c r="J65" s="268">
        <f t="shared" si="5"/>
        <v>-6000</v>
      </c>
      <c r="K65" s="185"/>
      <c r="V65" s="183">
        <f t="shared" si="6"/>
        <v>0</v>
      </c>
      <c r="W65" s="183">
        <f t="shared" si="7"/>
        <v>1</v>
      </c>
    </row>
    <row r="66" spans="1:23" x14ac:dyDescent="0.3">
      <c r="A66" s="184"/>
      <c r="B66" s="194">
        <v>7</v>
      </c>
      <c r="C66" s="195">
        <v>45386</v>
      </c>
      <c r="D66" s="196" t="s">
        <v>23</v>
      </c>
      <c r="E66" s="196" t="s">
        <v>25</v>
      </c>
      <c r="F66" s="222">
        <v>7110</v>
      </c>
      <c r="G66" s="222">
        <v>7085</v>
      </c>
      <c r="H66" s="196">
        <f>7110-7085</f>
        <v>25</v>
      </c>
      <c r="I66" s="197">
        <v>100</v>
      </c>
      <c r="J66" s="268">
        <f t="shared" si="5"/>
        <v>2500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45386</v>
      </c>
      <c r="D67" s="196" t="s">
        <v>23</v>
      </c>
      <c r="E67" s="196" t="s">
        <v>939</v>
      </c>
      <c r="F67" s="222">
        <v>155</v>
      </c>
      <c r="G67" s="197">
        <v>154</v>
      </c>
      <c r="H67" s="222">
        <v>1</v>
      </c>
      <c r="I67" s="197">
        <v>2000</v>
      </c>
      <c r="J67" s="268">
        <f t="shared" si="5"/>
        <v>2000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45387</v>
      </c>
      <c r="D68" s="196" t="s">
        <v>23</v>
      </c>
      <c r="E68" s="196" t="s">
        <v>25</v>
      </c>
      <c r="F68" s="197">
        <v>7200</v>
      </c>
      <c r="G68" s="197">
        <v>7240</v>
      </c>
      <c r="H68" s="196">
        <v>-40</v>
      </c>
      <c r="I68" s="197">
        <v>100</v>
      </c>
      <c r="J68" s="268">
        <f t="shared" si="5"/>
        <v>-4000</v>
      </c>
      <c r="K68" s="185"/>
      <c r="V68" s="183">
        <f t="shared" si="6"/>
        <v>0</v>
      </c>
      <c r="W68" s="183">
        <f t="shared" si="7"/>
        <v>1</v>
      </c>
    </row>
    <row r="69" spans="1:23" x14ac:dyDescent="0.3">
      <c r="A69" s="184"/>
      <c r="B69" s="194">
        <v>10</v>
      </c>
      <c r="C69" s="195">
        <v>45387</v>
      </c>
      <c r="D69" s="196" t="s">
        <v>23</v>
      </c>
      <c r="E69" s="196" t="s">
        <v>939</v>
      </c>
      <c r="F69" s="222">
        <v>149</v>
      </c>
      <c r="G69" s="197">
        <v>146</v>
      </c>
      <c r="H69" s="222">
        <v>3</v>
      </c>
      <c r="I69" s="197">
        <v>2000</v>
      </c>
      <c r="J69" s="268">
        <f t="shared" si="5"/>
        <v>6000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45390</v>
      </c>
      <c r="D70" s="196" t="s">
        <v>23</v>
      </c>
      <c r="E70" s="196" t="s">
        <v>25</v>
      </c>
      <c r="F70" s="197">
        <v>7190</v>
      </c>
      <c r="G70" s="197">
        <v>7165</v>
      </c>
      <c r="H70" s="196">
        <f>7190-7165</f>
        <v>25</v>
      </c>
      <c r="I70" s="197">
        <v>100</v>
      </c>
      <c r="J70" s="268">
        <f t="shared" si="5"/>
        <v>2500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45390</v>
      </c>
      <c r="D71" s="196" t="s">
        <v>23</v>
      </c>
      <c r="E71" s="196" t="s">
        <v>939</v>
      </c>
      <c r="F71" s="222">
        <v>148</v>
      </c>
      <c r="G71" s="222">
        <v>145</v>
      </c>
      <c r="H71" s="222">
        <v>3</v>
      </c>
      <c r="I71" s="197">
        <v>2000</v>
      </c>
      <c r="J71" s="268">
        <f t="shared" si="5"/>
        <v>6000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45391</v>
      </c>
      <c r="D72" s="196" t="s">
        <v>23</v>
      </c>
      <c r="E72" s="196" t="s">
        <v>25</v>
      </c>
      <c r="F72" s="197">
        <v>7230</v>
      </c>
      <c r="G72" s="197">
        <v>7180</v>
      </c>
      <c r="H72" s="196">
        <f>7230-7180</f>
        <v>50</v>
      </c>
      <c r="I72" s="197">
        <v>100</v>
      </c>
      <c r="J72" s="268">
        <f t="shared" si="5"/>
        <v>5000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45391</v>
      </c>
      <c r="D73" s="196" t="s">
        <v>23</v>
      </c>
      <c r="E73" s="196" t="s">
        <v>939</v>
      </c>
      <c r="F73" s="222">
        <v>156</v>
      </c>
      <c r="G73" s="222">
        <v>153</v>
      </c>
      <c r="H73" s="196">
        <v>3</v>
      </c>
      <c r="I73" s="197">
        <v>2000</v>
      </c>
      <c r="J73" s="268">
        <f t="shared" si="5"/>
        <v>6000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45392</v>
      </c>
      <c r="D74" s="196" t="s">
        <v>23</v>
      </c>
      <c r="E74" s="196" t="s">
        <v>25</v>
      </c>
      <c r="F74" s="197">
        <v>7120</v>
      </c>
      <c r="G74" s="197">
        <v>7090</v>
      </c>
      <c r="H74" s="196">
        <f>7120-7090</f>
        <v>30</v>
      </c>
      <c r="I74" s="197">
        <v>100</v>
      </c>
      <c r="J74" s="268">
        <f t="shared" si="5"/>
        <v>3000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45392</v>
      </c>
      <c r="D75" s="196" t="s">
        <v>23</v>
      </c>
      <c r="E75" s="196" t="s">
        <v>939</v>
      </c>
      <c r="F75" s="197">
        <v>160</v>
      </c>
      <c r="G75" s="197">
        <v>157</v>
      </c>
      <c r="H75" s="196">
        <v>3</v>
      </c>
      <c r="I75" s="197">
        <v>2000</v>
      </c>
      <c r="J75" s="268">
        <f t="shared" si="5"/>
        <v>6000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45394</v>
      </c>
      <c r="D76" s="196" t="s">
        <v>23</v>
      </c>
      <c r="E76" s="196" t="s">
        <v>25</v>
      </c>
      <c r="F76" s="197">
        <v>7170</v>
      </c>
      <c r="G76" s="197">
        <v>7210</v>
      </c>
      <c r="H76" s="196">
        <v>-40</v>
      </c>
      <c r="I76" s="197">
        <v>100</v>
      </c>
      <c r="J76" s="268">
        <f t="shared" si="5"/>
        <v>-4000</v>
      </c>
      <c r="K76" s="185"/>
      <c r="V76" s="183">
        <f t="shared" si="6"/>
        <v>0</v>
      </c>
      <c r="W76" s="183">
        <f t="shared" si="7"/>
        <v>1</v>
      </c>
    </row>
    <row r="77" spans="1:23" x14ac:dyDescent="0.3">
      <c r="A77" s="184"/>
      <c r="B77" s="194">
        <v>18</v>
      </c>
      <c r="C77" s="195">
        <v>45394</v>
      </c>
      <c r="D77" s="196" t="s">
        <v>23</v>
      </c>
      <c r="E77" s="196" t="s">
        <v>939</v>
      </c>
      <c r="F77" s="222">
        <v>148.5</v>
      </c>
      <c r="G77" s="222">
        <v>147.5</v>
      </c>
      <c r="H77" s="222">
        <v>1</v>
      </c>
      <c r="I77" s="197">
        <v>2000</v>
      </c>
      <c r="J77" s="268">
        <f t="shared" si="5"/>
        <v>2000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45397</v>
      </c>
      <c r="D78" s="196" t="s">
        <v>23</v>
      </c>
      <c r="E78" s="196" t="s">
        <v>25</v>
      </c>
      <c r="F78" s="197">
        <v>7070</v>
      </c>
      <c r="G78" s="197">
        <v>7049</v>
      </c>
      <c r="H78" s="196">
        <f>7070-7049</f>
        <v>21</v>
      </c>
      <c r="I78" s="197">
        <v>100</v>
      </c>
      <c r="J78" s="268">
        <f t="shared" si="5"/>
        <v>2100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45397</v>
      </c>
      <c r="D79" s="196" t="s">
        <v>23</v>
      </c>
      <c r="E79" s="196" t="s">
        <v>939</v>
      </c>
      <c r="F79" s="197">
        <v>148</v>
      </c>
      <c r="G79" s="197">
        <v>145</v>
      </c>
      <c r="H79" s="196">
        <v>3</v>
      </c>
      <c r="I79" s="197">
        <v>2000</v>
      </c>
      <c r="J79" s="268">
        <f t="shared" si="5"/>
        <v>6000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45398</v>
      </c>
      <c r="D80" s="196" t="s">
        <v>23</v>
      </c>
      <c r="E80" s="196" t="s">
        <v>25</v>
      </c>
      <c r="F80" s="197">
        <v>7145</v>
      </c>
      <c r="G80" s="197">
        <v>7101</v>
      </c>
      <c r="H80" s="196">
        <f>7145-7101</f>
        <v>44</v>
      </c>
      <c r="I80" s="197">
        <v>100</v>
      </c>
      <c r="J80" s="268">
        <f t="shared" si="5"/>
        <v>4400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45398</v>
      </c>
      <c r="D81" s="196" t="s">
        <v>23</v>
      </c>
      <c r="E81" s="196" t="s">
        <v>939</v>
      </c>
      <c r="F81" s="197">
        <v>142</v>
      </c>
      <c r="G81" s="197">
        <v>140</v>
      </c>
      <c r="H81" s="196">
        <v>2</v>
      </c>
      <c r="I81" s="197">
        <v>2000</v>
      </c>
      <c r="J81" s="268">
        <f t="shared" si="5"/>
        <v>4000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45400</v>
      </c>
      <c r="D82" s="196" t="s">
        <v>23</v>
      </c>
      <c r="E82" s="196" t="s">
        <v>25</v>
      </c>
      <c r="F82" s="197">
        <v>6840</v>
      </c>
      <c r="G82" s="197">
        <v>6794</v>
      </c>
      <c r="H82" s="196">
        <f>6840-6794</f>
        <v>46</v>
      </c>
      <c r="I82" s="197">
        <v>100</v>
      </c>
      <c r="J82" s="268">
        <f t="shared" si="5"/>
        <v>4600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45400</v>
      </c>
      <c r="D83" s="196" t="s">
        <v>23</v>
      </c>
      <c r="E83" s="196" t="s">
        <v>939</v>
      </c>
      <c r="F83" s="197">
        <v>147</v>
      </c>
      <c r="G83" s="222">
        <v>150</v>
      </c>
      <c r="H83" s="222">
        <v>-3</v>
      </c>
      <c r="I83" s="197">
        <v>2000</v>
      </c>
      <c r="J83" s="268">
        <f t="shared" si="5"/>
        <v>-6000</v>
      </c>
      <c r="K83" s="185"/>
      <c r="V83" s="183">
        <f t="shared" si="6"/>
        <v>0</v>
      </c>
      <c r="W83" s="183">
        <f t="shared" si="7"/>
        <v>1</v>
      </c>
    </row>
    <row r="84" spans="1:23" x14ac:dyDescent="0.3">
      <c r="A84" s="184"/>
      <c r="B84" s="194">
        <v>25</v>
      </c>
      <c r="C84" s="195">
        <v>45401</v>
      </c>
      <c r="D84" s="196" t="s">
        <v>23</v>
      </c>
      <c r="E84" s="196" t="s">
        <v>25</v>
      </c>
      <c r="F84" s="197">
        <v>6900</v>
      </c>
      <c r="G84" s="222">
        <v>6830</v>
      </c>
      <c r="H84" s="222">
        <f>6900-6830</f>
        <v>70</v>
      </c>
      <c r="I84" s="197">
        <v>100</v>
      </c>
      <c r="J84" s="268">
        <f t="shared" si="5"/>
        <v>7000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45401</v>
      </c>
      <c r="D85" s="196" t="s">
        <v>23</v>
      </c>
      <c r="E85" s="196" t="s">
        <v>939</v>
      </c>
      <c r="F85" s="197">
        <v>146</v>
      </c>
      <c r="G85" s="222">
        <v>145</v>
      </c>
      <c r="H85" s="196">
        <v>1</v>
      </c>
      <c r="I85" s="197">
        <v>2000</v>
      </c>
      <c r="J85" s="268">
        <f t="shared" si="5"/>
        <v>2000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45404</v>
      </c>
      <c r="D86" s="196" t="s">
        <v>23</v>
      </c>
      <c r="E86" s="196" t="s">
        <v>25</v>
      </c>
      <c r="F86" s="197">
        <v>6815</v>
      </c>
      <c r="G86" s="197">
        <v>6797</v>
      </c>
      <c r="H86" s="196">
        <v>18</v>
      </c>
      <c r="I86" s="197">
        <v>100</v>
      </c>
      <c r="J86" s="268">
        <f t="shared" si="5"/>
        <v>1800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45404</v>
      </c>
      <c r="D87" s="196" t="s">
        <v>23</v>
      </c>
      <c r="E87" s="196" t="s">
        <v>939</v>
      </c>
      <c r="F87" s="197">
        <v>146</v>
      </c>
      <c r="G87" s="222">
        <v>144</v>
      </c>
      <c r="H87" s="222">
        <v>2</v>
      </c>
      <c r="I87" s="197">
        <v>2000</v>
      </c>
      <c r="J87" s="268">
        <f t="shared" si="5"/>
        <v>4000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45405</v>
      </c>
      <c r="D88" s="196" t="s">
        <v>23</v>
      </c>
      <c r="E88" s="196" t="s">
        <v>25</v>
      </c>
      <c r="F88" s="197">
        <v>6910</v>
      </c>
      <c r="G88" s="197">
        <v>6840</v>
      </c>
      <c r="H88" s="196">
        <f>6910-6840</f>
        <v>70</v>
      </c>
      <c r="I88" s="197">
        <v>100</v>
      </c>
      <c r="J88" s="268">
        <f t="shared" si="5"/>
        <v>7000</v>
      </c>
      <c r="K88" s="185"/>
      <c r="V88" s="183">
        <f t="shared" si="6"/>
        <v>1</v>
      </c>
      <c r="W88" s="183">
        <f t="shared" si="7"/>
        <v>0</v>
      </c>
    </row>
    <row r="89" spans="1:23" x14ac:dyDescent="0.3">
      <c r="A89" s="184"/>
      <c r="B89" s="194">
        <v>30</v>
      </c>
      <c r="C89" s="195">
        <v>45405</v>
      </c>
      <c r="D89" s="196" t="s">
        <v>23</v>
      </c>
      <c r="E89" s="196" t="s">
        <v>939</v>
      </c>
      <c r="F89" s="222">
        <v>149</v>
      </c>
      <c r="G89" s="222">
        <v>146</v>
      </c>
      <c r="H89" s="196">
        <v>3</v>
      </c>
      <c r="I89" s="197">
        <v>2000</v>
      </c>
      <c r="J89" s="268">
        <f t="shared" si="5"/>
        <v>6000</v>
      </c>
      <c r="K89" s="185"/>
      <c r="V89" s="183">
        <f t="shared" si="6"/>
        <v>1</v>
      </c>
      <c r="W89" s="183">
        <f t="shared" si="7"/>
        <v>0</v>
      </c>
    </row>
    <row r="90" spans="1:23" x14ac:dyDescent="0.3">
      <c r="A90" s="184"/>
      <c r="B90" s="194">
        <v>31</v>
      </c>
      <c r="C90" s="195">
        <v>45406</v>
      </c>
      <c r="D90" s="196" t="s">
        <v>23</v>
      </c>
      <c r="E90" s="196" t="s">
        <v>25</v>
      </c>
      <c r="F90" s="197">
        <v>6950</v>
      </c>
      <c r="G90" s="197">
        <v>6920</v>
      </c>
      <c r="H90" s="196">
        <v>30</v>
      </c>
      <c r="I90" s="197">
        <v>100</v>
      </c>
      <c r="J90" s="268">
        <f t="shared" si="5"/>
        <v>3000</v>
      </c>
      <c r="K90" s="185"/>
      <c r="V90" s="183">
        <f t="shared" si="6"/>
        <v>1</v>
      </c>
      <c r="W90" s="183">
        <f t="shared" si="7"/>
        <v>0</v>
      </c>
    </row>
    <row r="91" spans="1:23" x14ac:dyDescent="0.3">
      <c r="A91" s="184"/>
      <c r="B91" s="194">
        <v>32</v>
      </c>
      <c r="C91" s="195">
        <v>45406</v>
      </c>
      <c r="D91" s="196" t="s">
        <v>23</v>
      </c>
      <c r="E91" s="196" t="s">
        <v>939</v>
      </c>
      <c r="F91" s="197">
        <v>151</v>
      </c>
      <c r="G91" s="222">
        <v>150</v>
      </c>
      <c r="H91" s="222">
        <v>1</v>
      </c>
      <c r="I91" s="197">
        <v>2000</v>
      </c>
      <c r="J91" s="268">
        <f t="shared" si="5"/>
        <v>2000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45407</v>
      </c>
      <c r="D92" s="196" t="s">
        <v>16</v>
      </c>
      <c r="E92" s="196" t="s">
        <v>25</v>
      </c>
      <c r="F92" s="197">
        <v>6915</v>
      </c>
      <c r="G92" s="197">
        <v>6945</v>
      </c>
      <c r="H92" s="196">
        <f>6945-6915</f>
        <v>30</v>
      </c>
      <c r="I92" s="197">
        <v>100</v>
      </c>
      <c r="J92" s="268">
        <f t="shared" si="5"/>
        <v>3000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45407</v>
      </c>
      <c r="D93" s="196" t="s">
        <v>23</v>
      </c>
      <c r="E93" s="196" t="s">
        <v>939</v>
      </c>
      <c r="F93" s="222">
        <v>135</v>
      </c>
      <c r="G93" s="222">
        <v>133.80000000000001</v>
      </c>
      <c r="H93" s="222">
        <f>135-133.8</f>
        <v>1.1999999999999886</v>
      </c>
      <c r="I93" s="197">
        <v>2000</v>
      </c>
      <c r="J93" s="268">
        <f t="shared" si="5"/>
        <v>2399.9999999999773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45408</v>
      </c>
      <c r="D94" s="196" t="s">
        <v>16</v>
      </c>
      <c r="E94" s="196" t="s">
        <v>25</v>
      </c>
      <c r="F94" s="197">
        <v>6995</v>
      </c>
      <c r="G94" s="197">
        <v>7040</v>
      </c>
      <c r="H94" s="196">
        <f>7040-6995</f>
        <v>45</v>
      </c>
      <c r="I94" s="197">
        <v>100</v>
      </c>
      <c r="J94" s="268">
        <f t="shared" si="5"/>
        <v>4500</v>
      </c>
      <c r="K94" s="185"/>
      <c r="V94" s="183">
        <f t="shared" si="6"/>
        <v>1</v>
      </c>
      <c r="W94" s="183">
        <f t="shared" si="7"/>
        <v>0</v>
      </c>
    </row>
    <row r="95" spans="1:23" x14ac:dyDescent="0.3">
      <c r="A95" s="184"/>
      <c r="B95" s="194">
        <v>36</v>
      </c>
      <c r="C95" s="195">
        <v>45408</v>
      </c>
      <c r="D95" s="196" t="s">
        <v>16</v>
      </c>
      <c r="E95" s="196" t="s">
        <v>939</v>
      </c>
      <c r="F95" s="197">
        <v>166</v>
      </c>
      <c r="G95" s="197">
        <v>163</v>
      </c>
      <c r="H95" s="196">
        <v>-3</v>
      </c>
      <c r="I95" s="197">
        <v>2000</v>
      </c>
      <c r="J95" s="268">
        <f t="shared" si="5"/>
        <v>-6000</v>
      </c>
      <c r="K95" s="185"/>
      <c r="V95" s="183">
        <f t="shared" si="6"/>
        <v>0</v>
      </c>
      <c r="W95" s="183">
        <f t="shared" si="7"/>
        <v>1</v>
      </c>
    </row>
    <row r="96" spans="1:23" x14ac:dyDescent="0.3">
      <c r="A96" s="184"/>
      <c r="B96" s="194">
        <v>37</v>
      </c>
      <c r="C96" s="195">
        <v>45411</v>
      </c>
      <c r="D96" s="196" t="s">
        <v>23</v>
      </c>
      <c r="E96" s="196" t="s">
        <v>25</v>
      </c>
      <c r="F96" s="197">
        <v>6980</v>
      </c>
      <c r="G96" s="197">
        <v>6940</v>
      </c>
      <c r="H96" s="196">
        <v>40</v>
      </c>
      <c r="I96" s="197">
        <v>100</v>
      </c>
      <c r="J96" s="268">
        <f t="shared" si="5"/>
        <v>4000</v>
      </c>
      <c r="K96" s="185"/>
      <c r="V96" s="183">
        <f t="shared" si="6"/>
        <v>1</v>
      </c>
      <c r="W96" s="183">
        <f t="shared" si="7"/>
        <v>0</v>
      </c>
    </row>
    <row r="97" spans="1:23" x14ac:dyDescent="0.3">
      <c r="A97" s="255"/>
      <c r="B97" s="194">
        <v>38</v>
      </c>
      <c r="C97" s="195">
        <v>45411</v>
      </c>
      <c r="D97" s="196" t="s">
        <v>23</v>
      </c>
      <c r="E97" s="196" t="s">
        <v>939</v>
      </c>
      <c r="F97" s="197">
        <v>164</v>
      </c>
      <c r="G97" s="197">
        <v>161</v>
      </c>
      <c r="H97" s="196">
        <v>3</v>
      </c>
      <c r="I97" s="197">
        <v>2000</v>
      </c>
      <c r="J97" s="268">
        <f t="shared" si="5"/>
        <v>6000</v>
      </c>
      <c r="K97" s="185"/>
      <c r="V97" s="183">
        <f t="shared" si="6"/>
        <v>1</v>
      </c>
      <c r="W97" s="183">
        <f t="shared" si="7"/>
        <v>0</v>
      </c>
    </row>
    <row r="98" spans="1:23" x14ac:dyDescent="0.3">
      <c r="A98" s="184"/>
      <c r="B98" s="194">
        <v>39</v>
      </c>
      <c r="C98" s="195">
        <v>45412</v>
      </c>
      <c r="D98" s="196" t="s">
        <v>23</v>
      </c>
      <c r="E98" s="196" t="s">
        <v>25</v>
      </c>
      <c r="F98" s="197">
        <v>6920</v>
      </c>
      <c r="G98" s="222">
        <v>6863</v>
      </c>
      <c r="H98" s="196">
        <f>6920-6863</f>
        <v>57</v>
      </c>
      <c r="I98" s="197">
        <v>100</v>
      </c>
      <c r="J98" s="268">
        <f t="shared" si="5"/>
        <v>5700</v>
      </c>
      <c r="K98" s="185"/>
      <c r="V98" s="183">
        <f t="shared" si="6"/>
        <v>1</v>
      </c>
      <c r="W98" s="183">
        <f t="shared" si="7"/>
        <v>0</v>
      </c>
    </row>
    <row r="99" spans="1:23" x14ac:dyDescent="0.3">
      <c r="A99" s="184"/>
      <c r="B99" s="194">
        <v>40</v>
      </c>
      <c r="C99" s="195">
        <v>45412</v>
      </c>
      <c r="D99" s="196" t="s">
        <v>23</v>
      </c>
      <c r="E99" s="196" t="s">
        <v>939</v>
      </c>
      <c r="F99" s="222">
        <v>174.5</v>
      </c>
      <c r="G99" s="222">
        <v>171.5</v>
      </c>
      <c r="H99" s="222">
        <v>3</v>
      </c>
      <c r="I99" s="197">
        <v>2000</v>
      </c>
      <c r="J99" s="268">
        <f t="shared" si="5"/>
        <v>6000</v>
      </c>
      <c r="K99" s="185"/>
      <c r="V99" s="183">
        <f t="shared" si="6"/>
        <v>1</v>
      </c>
      <c r="W99" s="183">
        <f t="shared" si="7"/>
        <v>0</v>
      </c>
    </row>
    <row r="100" spans="1:23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5"/>
        <v>0</v>
      </c>
      <c r="K100" s="185"/>
      <c r="V100" s="183">
        <f t="shared" si="6"/>
        <v>0</v>
      </c>
      <c r="W100" s="183">
        <f t="shared" si="7"/>
        <v>0</v>
      </c>
    </row>
    <row r="101" spans="1:23" x14ac:dyDescent="0.3">
      <c r="A101" s="184"/>
      <c r="B101" s="194">
        <v>42</v>
      </c>
      <c r="C101" s="195"/>
      <c r="D101" s="196"/>
      <c r="E101" s="196"/>
      <c r="F101" s="197"/>
      <c r="G101" s="197"/>
      <c r="H101" s="196"/>
      <c r="I101" s="197"/>
      <c r="J101" s="268">
        <f t="shared" si="5"/>
        <v>0</v>
      </c>
      <c r="K101" s="185"/>
      <c r="V101" s="183">
        <f t="shared" si="6"/>
        <v>0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8" t="s">
        <v>879</v>
      </c>
      <c r="C103" s="305"/>
      <c r="D103" s="305"/>
      <c r="E103" s="305"/>
      <c r="F103" s="305"/>
      <c r="G103" s="305"/>
      <c r="H103" s="306"/>
      <c r="I103" s="203" t="s">
        <v>880</v>
      </c>
      <c r="J103" s="204">
        <f>SUM(J60:J102)</f>
        <v>125299.99999999994</v>
      </c>
      <c r="K103" s="185"/>
      <c r="V103" s="183">
        <f>SUM(V60:V102)</f>
        <v>35</v>
      </c>
      <c r="W103" s="183">
        <f>SUM(W60:W102)</f>
        <v>5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07" t="s">
        <v>873</v>
      </c>
      <c r="C107" s="308"/>
      <c r="D107" s="308"/>
      <c r="E107" s="308"/>
      <c r="F107" s="308"/>
      <c r="G107" s="308"/>
      <c r="H107" s="308"/>
      <c r="I107" s="308"/>
      <c r="J107" s="309"/>
      <c r="K107" s="185"/>
    </row>
    <row r="108" spans="1:23" ht="16.2" thickBot="1" x14ac:dyDescent="0.35">
      <c r="A108" s="184"/>
      <c r="B108" s="310">
        <v>45383</v>
      </c>
      <c r="C108" s="311"/>
      <c r="D108" s="311"/>
      <c r="E108" s="311"/>
      <c r="F108" s="311"/>
      <c r="G108" s="311"/>
      <c r="H108" s="311"/>
      <c r="I108" s="311"/>
      <c r="J108" s="312"/>
      <c r="K108" s="185"/>
    </row>
    <row r="109" spans="1:23" ht="16.2" thickBot="1" x14ac:dyDescent="0.35">
      <c r="A109" s="184"/>
      <c r="B109" s="313" t="s">
        <v>882</v>
      </c>
      <c r="C109" s="314"/>
      <c r="D109" s="314"/>
      <c r="E109" s="314"/>
      <c r="F109" s="314"/>
      <c r="G109" s="314"/>
      <c r="H109" s="314"/>
      <c r="I109" s="314"/>
      <c r="J109" s="315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45383</v>
      </c>
      <c r="D111" s="216" t="s">
        <v>23</v>
      </c>
      <c r="E111" s="256" t="s">
        <v>28</v>
      </c>
      <c r="F111" s="256">
        <v>217.7</v>
      </c>
      <c r="G111" s="256">
        <v>218.7</v>
      </c>
      <c r="H111" s="256">
        <v>-1</v>
      </c>
      <c r="I111" s="218">
        <v>5000</v>
      </c>
      <c r="J111" s="273">
        <f>I111*H111</f>
        <v>-5000</v>
      </c>
      <c r="K111" s="185"/>
      <c r="V111" s="183">
        <f>IF($J111&gt;0,1,0)</f>
        <v>0</v>
      </c>
      <c r="W111" s="183">
        <f>IF($J111&lt;0,1,0)</f>
        <v>1</v>
      </c>
    </row>
    <row r="112" spans="1:23" x14ac:dyDescent="0.3">
      <c r="A112" s="184"/>
      <c r="B112" s="194">
        <v>2</v>
      </c>
      <c r="C112" s="195">
        <v>45384</v>
      </c>
      <c r="D112" s="196" t="s">
        <v>23</v>
      </c>
      <c r="E112" s="222" t="s">
        <v>28</v>
      </c>
      <c r="F112" s="222">
        <v>221</v>
      </c>
      <c r="G112" s="222">
        <v>222</v>
      </c>
      <c r="H112" s="222">
        <v>-1</v>
      </c>
      <c r="I112" s="197">
        <v>5000</v>
      </c>
      <c r="J112" s="268">
        <f t="shared" ref="J112:J132" si="8">I112*H112</f>
        <v>-5000</v>
      </c>
      <c r="K112" s="185"/>
      <c r="V112" s="183">
        <f t="shared" ref="V112:V131" si="9">IF($J112&gt;0,1,0)</f>
        <v>0</v>
      </c>
      <c r="W112" s="183">
        <f t="shared" ref="W112:W131" si="10">IF($J112&lt;0,1,0)</f>
        <v>1</v>
      </c>
    </row>
    <row r="113" spans="1:23" x14ac:dyDescent="0.3">
      <c r="A113" s="184"/>
      <c r="B113" s="194">
        <v>3</v>
      </c>
      <c r="C113" s="195">
        <v>45385</v>
      </c>
      <c r="D113" s="196" t="s">
        <v>23</v>
      </c>
      <c r="E113" s="222" t="s">
        <v>28</v>
      </c>
      <c r="F113" s="222">
        <v>219.6</v>
      </c>
      <c r="G113" s="222">
        <v>218.6</v>
      </c>
      <c r="H113" s="222">
        <v>1</v>
      </c>
      <c r="I113" s="197">
        <v>5000</v>
      </c>
      <c r="J113" s="268">
        <f t="shared" si="8"/>
        <v>5000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45386</v>
      </c>
      <c r="D114" s="196" t="s">
        <v>23</v>
      </c>
      <c r="E114" s="222" t="s">
        <v>28</v>
      </c>
      <c r="F114" s="222">
        <v>228</v>
      </c>
      <c r="G114" s="222">
        <v>229</v>
      </c>
      <c r="H114" s="222">
        <v>-1</v>
      </c>
      <c r="I114" s="197">
        <v>5000</v>
      </c>
      <c r="J114" s="268">
        <f t="shared" si="8"/>
        <v>-5000</v>
      </c>
      <c r="K114" s="185"/>
      <c r="V114" s="183">
        <f t="shared" si="9"/>
        <v>0</v>
      </c>
      <c r="W114" s="183">
        <f t="shared" si="10"/>
        <v>1</v>
      </c>
    </row>
    <row r="115" spans="1:23" x14ac:dyDescent="0.3">
      <c r="A115" s="184"/>
      <c r="B115" s="194">
        <v>5</v>
      </c>
      <c r="C115" s="195">
        <v>45387</v>
      </c>
      <c r="D115" s="196" t="s">
        <v>23</v>
      </c>
      <c r="E115" s="222" t="s">
        <v>28</v>
      </c>
      <c r="F115" s="222">
        <v>233.6</v>
      </c>
      <c r="G115" s="222">
        <v>232</v>
      </c>
      <c r="H115" s="222">
        <v>5</v>
      </c>
      <c r="I115" s="197">
        <v>5000</v>
      </c>
      <c r="J115" s="268">
        <f t="shared" si="8"/>
        <v>25000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6</v>
      </c>
      <c r="C116" s="195">
        <v>45390</v>
      </c>
      <c r="D116" s="196" t="s">
        <v>23</v>
      </c>
      <c r="E116" s="222" t="s">
        <v>28</v>
      </c>
      <c r="F116" s="222">
        <v>235</v>
      </c>
      <c r="G116" s="222">
        <v>234.45</v>
      </c>
      <c r="H116" s="222">
        <f>235-234.45</f>
        <v>0.55000000000001137</v>
      </c>
      <c r="I116" s="197">
        <v>5000</v>
      </c>
      <c r="J116" s="268">
        <f t="shared" si="8"/>
        <v>2750.0000000000568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45391</v>
      </c>
      <c r="D117" s="196" t="s">
        <v>23</v>
      </c>
      <c r="E117" s="222" t="s">
        <v>28</v>
      </c>
      <c r="F117" s="222">
        <v>239.5</v>
      </c>
      <c r="G117" s="222">
        <v>238.5</v>
      </c>
      <c r="H117" s="274">
        <v>1</v>
      </c>
      <c r="I117" s="197">
        <v>5000</v>
      </c>
      <c r="J117" s="268">
        <f t="shared" si="8"/>
        <v>5000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8</v>
      </c>
      <c r="C118" s="195">
        <v>45392</v>
      </c>
      <c r="D118" s="196" t="s">
        <v>23</v>
      </c>
      <c r="E118" s="222" t="s">
        <v>28</v>
      </c>
      <c r="F118" s="222">
        <v>244.5</v>
      </c>
      <c r="G118" s="222">
        <v>242.5</v>
      </c>
      <c r="H118" s="222">
        <v>2</v>
      </c>
      <c r="I118" s="197">
        <v>5000</v>
      </c>
      <c r="J118" s="268">
        <f t="shared" si="8"/>
        <v>10000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45394</v>
      </c>
      <c r="D119" s="196" t="s">
        <v>23</v>
      </c>
      <c r="E119" s="222" t="s">
        <v>28</v>
      </c>
      <c r="F119" s="222">
        <v>249.6</v>
      </c>
      <c r="G119" s="222">
        <v>248.6</v>
      </c>
      <c r="H119" s="222">
        <v>1</v>
      </c>
      <c r="I119" s="197">
        <v>5000</v>
      </c>
      <c r="J119" s="268">
        <f t="shared" si="8"/>
        <v>5000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45397</v>
      </c>
      <c r="D120" s="196" t="s">
        <v>23</v>
      </c>
      <c r="E120" s="222" t="s">
        <v>28</v>
      </c>
      <c r="F120" s="222">
        <v>247</v>
      </c>
      <c r="G120" s="222">
        <v>246.55</v>
      </c>
      <c r="H120" s="222">
        <f>247-246.55</f>
        <v>0.44999999999998863</v>
      </c>
      <c r="I120" s="197">
        <v>5000</v>
      </c>
      <c r="J120" s="268">
        <f t="shared" si="8"/>
        <v>2249.9999999999432</v>
      </c>
      <c r="K120" s="185"/>
      <c r="V120" s="183">
        <f t="shared" si="9"/>
        <v>1</v>
      </c>
      <c r="W120" s="183">
        <f t="shared" si="10"/>
        <v>0</v>
      </c>
    </row>
    <row r="121" spans="1:23" x14ac:dyDescent="0.3">
      <c r="A121" s="184"/>
      <c r="B121" s="194">
        <v>11</v>
      </c>
      <c r="C121" s="195">
        <v>45398</v>
      </c>
      <c r="D121" s="196" t="s">
        <v>23</v>
      </c>
      <c r="E121" s="222" t="s">
        <v>28</v>
      </c>
      <c r="F121" s="222">
        <v>241</v>
      </c>
      <c r="G121" s="222">
        <v>240</v>
      </c>
      <c r="H121" s="274">
        <v>1</v>
      </c>
      <c r="I121" s="197">
        <v>5000</v>
      </c>
      <c r="J121" s="268">
        <f t="shared" si="8"/>
        <v>5000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45400</v>
      </c>
      <c r="D122" s="196" t="s">
        <v>23</v>
      </c>
      <c r="E122" s="222" t="s">
        <v>28</v>
      </c>
      <c r="F122" s="222">
        <v>248.6</v>
      </c>
      <c r="G122" s="222">
        <v>246.6</v>
      </c>
      <c r="H122" s="274">
        <v>2</v>
      </c>
      <c r="I122" s="197">
        <v>5000</v>
      </c>
      <c r="J122" s="268">
        <f t="shared" si="8"/>
        <v>10000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45401</v>
      </c>
      <c r="D123" s="196" t="s">
        <v>23</v>
      </c>
      <c r="E123" s="222" t="s">
        <v>28</v>
      </c>
      <c r="F123" s="222">
        <v>249.8</v>
      </c>
      <c r="G123" s="222">
        <v>249.4</v>
      </c>
      <c r="H123" s="274">
        <v>0.4</v>
      </c>
      <c r="I123" s="197">
        <v>5000</v>
      </c>
      <c r="J123" s="268">
        <f t="shared" si="8"/>
        <v>2000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45404</v>
      </c>
      <c r="D124" s="196" t="s">
        <v>23</v>
      </c>
      <c r="E124" s="222" t="s">
        <v>28</v>
      </c>
      <c r="F124" s="222">
        <v>249</v>
      </c>
      <c r="G124" s="222">
        <v>247.65</v>
      </c>
      <c r="H124" s="274">
        <f>249-247.65</f>
        <v>1.3499999999999943</v>
      </c>
      <c r="I124" s="197">
        <v>5000</v>
      </c>
      <c r="J124" s="268">
        <f t="shared" si="8"/>
        <v>6749.9999999999718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45405</v>
      </c>
      <c r="D125" s="196" t="s">
        <v>23</v>
      </c>
      <c r="E125" s="196" t="s">
        <v>28</v>
      </c>
      <c r="F125" s="222">
        <v>245.5</v>
      </c>
      <c r="G125" s="222">
        <v>245</v>
      </c>
      <c r="H125" s="222">
        <v>0.5</v>
      </c>
      <c r="I125" s="197">
        <v>5000</v>
      </c>
      <c r="J125" s="268">
        <f t="shared" si="8"/>
        <v>2500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45406</v>
      </c>
      <c r="D126" s="196" t="s">
        <v>23</v>
      </c>
      <c r="E126" s="196" t="s">
        <v>28</v>
      </c>
      <c r="F126" s="222">
        <v>248.6</v>
      </c>
      <c r="G126" s="222">
        <v>248.1</v>
      </c>
      <c r="H126" s="222">
        <v>0.5</v>
      </c>
      <c r="I126" s="197">
        <v>5000</v>
      </c>
      <c r="J126" s="268">
        <f t="shared" si="8"/>
        <v>2500</v>
      </c>
      <c r="K126" s="185"/>
      <c r="V126" s="183">
        <f t="shared" si="9"/>
        <v>1</v>
      </c>
      <c r="W126" s="183">
        <f t="shared" si="10"/>
        <v>0</v>
      </c>
    </row>
    <row r="127" spans="1:23" x14ac:dyDescent="0.3">
      <c r="A127" s="184"/>
      <c r="B127" s="194">
        <v>17</v>
      </c>
      <c r="C127" s="195">
        <v>45407</v>
      </c>
      <c r="D127" s="196" t="s">
        <v>16</v>
      </c>
      <c r="E127" s="196" t="s">
        <v>28</v>
      </c>
      <c r="F127" s="222">
        <v>251</v>
      </c>
      <c r="G127" s="274">
        <v>253</v>
      </c>
      <c r="H127" s="274">
        <v>2</v>
      </c>
      <c r="I127" s="197">
        <v>5000</v>
      </c>
      <c r="J127" s="268">
        <f t="shared" si="8"/>
        <v>10000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45408</v>
      </c>
      <c r="D128" s="196" t="s">
        <v>16</v>
      </c>
      <c r="E128" s="196" t="s">
        <v>28</v>
      </c>
      <c r="F128" s="222">
        <v>255</v>
      </c>
      <c r="G128" s="222">
        <v>256</v>
      </c>
      <c r="H128" s="274">
        <v>1</v>
      </c>
      <c r="I128" s="197">
        <v>5000</v>
      </c>
      <c r="J128" s="268">
        <f t="shared" si="8"/>
        <v>5000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>
        <v>45411</v>
      </c>
      <c r="D129" s="196" t="s">
        <v>23</v>
      </c>
      <c r="E129" s="196" t="s">
        <v>28</v>
      </c>
      <c r="F129" s="222">
        <v>254.8</v>
      </c>
      <c r="G129" s="222">
        <v>254.2</v>
      </c>
      <c r="H129" s="274">
        <f>254.8-254.2</f>
        <v>0.60000000000002274</v>
      </c>
      <c r="I129" s="197">
        <v>5000</v>
      </c>
      <c r="J129" s="268">
        <f t="shared" si="8"/>
        <v>3000.0000000001137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20</v>
      </c>
      <c r="C130" s="195">
        <v>45412</v>
      </c>
      <c r="D130" s="196" t="s">
        <v>23</v>
      </c>
      <c r="E130" s="196" t="s">
        <v>28</v>
      </c>
      <c r="F130" s="222">
        <v>259.8</v>
      </c>
      <c r="G130" s="222">
        <v>258.2</v>
      </c>
      <c r="H130" s="274">
        <f>259.8-258.2</f>
        <v>1.6000000000000227</v>
      </c>
      <c r="I130" s="197">
        <v>5000</v>
      </c>
      <c r="J130" s="268">
        <f t="shared" si="8"/>
        <v>8000.0000000001137</v>
      </c>
      <c r="K130" s="185"/>
      <c r="V130" s="183">
        <f t="shared" si="9"/>
        <v>1</v>
      </c>
      <c r="W130" s="183">
        <f t="shared" si="10"/>
        <v>0</v>
      </c>
    </row>
    <row r="131" spans="1:23" hidden="1" x14ac:dyDescent="0.3">
      <c r="A131" s="184"/>
      <c r="B131" s="194">
        <v>21</v>
      </c>
      <c r="C131" s="195"/>
      <c r="D131" s="196"/>
      <c r="E131" s="222"/>
      <c r="F131" s="222"/>
      <c r="G131" s="222"/>
      <c r="H131" s="274"/>
      <c r="I131" s="197"/>
      <c r="J131" s="268">
        <f t="shared" si="8"/>
        <v>0</v>
      </c>
      <c r="K131" s="185"/>
      <c r="V131" s="183">
        <f t="shared" si="9"/>
        <v>0</v>
      </c>
      <c r="W131" s="183">
        <f t="shared" si="10"/>
        <v>0</v>
      </c>
    </row>
    <row r="132" spans="1:23" hidden="1" x14ac:dyDescent="0.3">
      <c r="A132" s="184"/>
      <c r="B132" s="194">
        <v>22</v>
      </c>
      <c r="C132" s="195"/>
      <c r="D132" s="196"/>
      <c r="E132" s="222"/>
      <c r="F132" s="222"/>
      <c r="G132" s="222"/>
      <c r="H132" s="274"/>
      <c r="I132" s="197"/>
      <c r="J132" s="268">
        <f t="shared" si="8"/>
        <v>0</v>
      </c>
      <c r="K132" s="185"/>
      <c r="V132" s="183">
        <f>IF($J132&gt;0,1,0)</f>
        <v>0</v>
      </c>
      <c r="W132" s="183">
        <f>IF($J132&lt;0,1,0)</f>
        <v>0</v>
      </c>
    </row>
    <row r="133" spans="1:23" hidden="1" x14ac:dyDescent="0.3">
      <c r="A133" s="184"/>
      <c r="B133" s="194">
        <v>23</v>
      </c>
      <c r="C133" s="195"/>
      <c r="D133" s="196"/>
      <c r="E133" s="222"/>
      <c r="F133" s="222"/>
      <c r="G133" s="222"/>
      <c r="H133" s="222"/>
      <c r="I133" s="197"/>
      <c r="J133" s="268">
        <f>I133*H133</f>
        <v>0</v>
      </c>
      <c r="K133" s="185"/>
      <c r="V133" s="183">
        <f>IF($J133&gt;0,1,0)</f>
        <v>0</v>
      </c>
      <c r="W133" s="183">
        <f>IF($J133&lt;0,1,0)</f>
        <v>0</v>
      </c>
    </row>
    <row r="134" spans="1:23" ht="15" thickBot="1" x14ac:dyDescent="0.35">
      <c r="A134" s="184"/>
      <c r="B134" s="194">
        <v>24</v>
      </c>
      <c r="C134" s="220"/>
      <c r="D134" s="221"/>
      <c r="E134" s="221"/>
      <c r="F134" s="222"/>
      <c r="G134" s="222"/>
      <c r="H134" s="222"/>
      <c r="I134" s="211"/>
      <c r="J134" s="272">
        <f>I134*H134</f>
        <v>0</v>
      </c>
      <c r="K134" s="185"/>
      <c r="V134" s="183">
        <f>IF($J134&gt;0,1,0)</f>
        <v>0</v>
      </c>
      <c r="W134" s="183">
        <f>IF($J134&lt;0,1,0)</f>
        <v>0</v>
      </c>
    </row>
    <row r="135" spans="1:23" ht="24" thickBot="1" x14ac:dyDescent="0.5">
      <c r="A135" s="184"/>
      <c r="B135" s="316" t="s">
        <v>879</v>
      </c>
      <c r="C135" s="317"/>
      <c r="D135" s="317"/>
      <c r="E135" s="317"/>
      <c r="F135" s="317"/>
      <c r="G135" s="317"/>
      <c r="H135" s="318"/>
      <c r="I135" s="212" t="s">
        <v>880</v>
      </c>
      <c r="J135" s="213">
        <f>SUM(J111:J134)</f>
        <v>94750.000000000204</v>
      </c>
      <c r="K135" s="185"/>
      <c r="V135" s="183">
        <f>SUM(V111:V134)</f>
        <v>17</v>
      </c>
      <c r="W135" s="183">
        <f>SUM(W111:W134)</f>
        <v>3</v>
      </c>
    </row>
    <row r="136" spans="1:23" ht="30" customHeight="1" thickBot="1" x14ac:dyDescent="0.35">
      <c r="A136" s="205"/>
      <c r="B136" s="206"/>
      <c r="C136" s="206"/>
      <c r="D136" s="206"/>
      <c r="E136" s="206"/>
      <c r="F136" s="206"/>
      <c r="G136" s="206"/>
      <c r="H136" s="261"/>
      <c r="I136" s="206"/>
      <c r="J136" s="261"/>
      <c r="K136" s="207"/>
      <c r="L136" s="183" t="s">
        <v>926</v>
      </c>
    </row>
    <row r="137" spans="1:23" ht="15" thickBot="1" x14ac:dyDescent="0.35"/>
    <row r="138" spans="1:23" ht="30" customHeight="1" thickBot="1" x14ac:dyDescent="0.35">
      <c r="A138" s="180"/>
      <c r="B138" s="181"/>
      <c r="C138" s="181"/>
      <c r="D138" s="181"/>
      <c r="E138" s="181"/>
      <c r="F138" s="181"/>
      <c r="G138" s="181"/>
      <c r="H138" s="259"/>
      <c r="I138" s="181"/>
      <c r="J138" s="259"/>
      <c r="K138" s="182"/>
    </row>
    <row r="139" spans="1:23" ht="25.2" thickBot="1" x14ac:dyDescent="0.35">
      <c r="A139" s="184" t="s">
        <v>0</v>
      </c>
      <c r="B139" s="307" t="s">
        <v>873</v>
      </c>
      <c r="C139" s="308"/>
      <c r="D139" s="308"/>
      <c r="E139" s="308"/>
      <c r="F139" s="308"/>
      <c r="G139" s="308"/>
      <c r="H139" s="308"/>
      <c r="I139" s="308"/>
      <c r="J139" s="309"/>
      <c r="K139" s="185"/>
    </row>
    <row r="140" spans="1:23" ht="16.2" thickBot="1" x14ac:dyDescent="0.35">
      <c r="A140" s="184"/>
      <c r="B140" s="310">
        <v>45383</v>
      </c>
      <c r="C140" s="311"/>
      <c r="D140" s="311"/>
      <c r="E140" s="311"/>
      <c r="F140" s="311"/>
      <c r="G140" s="311"/>
      <c r="H140" s="311"/>
      <c r="I140" s="311"/>
      <c r="J140" s="312"/>
      <c r="K140" s="185"/>
    </row>
    <row r="141" spans="1:23" ht="16.2" thickBot="1" x14ac:dyDescent="0.35">
      <c r="A141" s="184"/>
      <c r="B141" s="313" t="s">
        <v>905</v>
      </c>
      <c r="C141" s="314"/>
      <c r="D141" s="314"/>
      <c r="E141" s="314"/>
      <c r="F141" s="314"/>
      <c r="G141" s="314"/>
      <c r="H141" s="314"/>
      <c r="I141" s="314"/>
      <c r="J141" s="315"/>
      <c r="K141" s="185"/>
    </row>
    <row r="142" spans="1:23" ht="15" thickBot="1" x14ac:dyDescent="0.35">
      <c r="A142" s="208"/>
      <c r="B142" s="186" t="s">
        <v>876</v>
      </c>
      <c r="C142" s="187" t="s">
        <v>1</v>
      </c>
      <c r="D142" s="188" t="s">
        <v>2</v>
      </c>
      <c r="E142" s="188" t="s">
        <v>3</v>
      </c>
      <c r="F142" s="189" t="s">
        <v>4</v>
      </c>
      <c r="G142" s="189" t="s">
        <v>5</v>
      </c>
      <c r="H142" s="260" t="s">
        <v>720</v>
      </c>
      <c r="I142" s="189" t="s">
        <v>6</v>
      </c>
      <c r="J142" s="266" t="s">
        <v>7</v>
      </c>
      <c r="K142" s="209"/>
      <c r="L142" s="198"/>
      <c r="V142" s="183" t="s">
        <v>254</v>
      </c>
      <c r="W142" s="183" t="s">
        <v>255</v>
      </c>
    </row>
    <row r="143" spans="1:23" x14ac:dyDescent="0.3">
      <c r="A143" s="184"/>
      <c r="B143" s="214">
        <v>1</v>
      </c>
      <c r="C143" s="215">
        <v>45383</v>
      </c>
      <c r="D143" s="216" t="s">
        <v>16</v>
      </c>
      <c r="E143" s="256" t="s">
        <v>931</v>
      </c>
      <c r="F143" s="256">
        <v>195</v>
      </c>
      <c r="G143" s="256">
        <v>215</v>
      </c>
      <c r="H143" s="256">
        <f>215-195</f>
        <v>20</v>
      </c>
      <c r="I143" s="218">
        <v>100</v>
      </c>
      <c r="J143" s="273">
        <f>I143*H143</f>
        <v>2000</v>
      </c>
      <c r="K143" s="185"/>
      <c r="V143" s="183">
        <f>IF($J143&gt;0,1,0)</f>
        <v>1</v>
      </c>
      <c r="W143" s="183">
        <f>IF($J143&lt;0,1,0)</f>
        <v>0</v>
      </c>
    </row>
    <row r="144" spans="1:23" x14ac:dyDescent="0.3">
      <c r="A144" s="184"/>
      <c r="B144" s="194">
        <v>2</v>
      </c>
      <c r="C144" s="195">
        <v>45384</v>
      </c>
      <c r="D144" s="196" t="s">
        <v>16</v>
      </c>
      <c r="E144" s="222" t="s">
        <v>933</v>
      </c>
      <c r="F144" s="222">
        <v>215</v>
      </c>
      <c r="G144" s="222">
        <v>235</v>
      </c>
      <c r="H144" s="222">
        <f>235-215</f>
        <v>20</v>
      </c>
      <c r="I144" s="218">
        <v>100</v>
      </c>
      <c r="J144" s="268">
        <f t="shared" ref="J144:J163" si="11">I144*H144</f>
        <v>2000</v>
      </c>
      <c r="K144" s="185"/>
      <c r="V144" s="183">
        <f t="shared" ref="V144:V165" si="12">IF($J144&gt;0,1,0)</f>
        <v>1</v>
      </c>
      <c r="W144" s="183">
        <f t="shared" ref="W144:W165" si="13">IF($J144&lt;0,1,0)</f>
        <v>0</v>
      </c>
    </row>
    <row r="145" spans="1:23" x14ac:dyDescent="0.3">
      <c r="A145" s="184"/>
      <c r="B145" s="194">
        <v>3</v>
      </c>
      <c r="C145" s="195">
        <v>45385</v>
      </c>
      <c r="D145" s="196" t="s">
        <v>16</v>
      </c>
      <c r="E145" s="222" t="s">
        <v>933</v>
      </c>
      <c r="F145" s="222">
        <v>215</v>
      </c>
      <c r="G145" s="222">
        <v>230</v>
      </c>
      <c r="H145" s="222">
        <v>15</v>
      </c>
      <c r="I145" s="218">
        <v>100</v>
      </c>
      <c r="J145" s="268">
        <f t="shared" si="11"/>
        <v>1500</v>
      </c>
      <c r="K145" s="185"/>
      <c r="M145" s="183" t="s">
        <v>870</v>
      </c>
      <c r="V145" s="183">
        <f t="shared" si="12"/>
        <v>1</v>
      </c>
      <c r="W145" s="183">
        <f t="shared" si="13"/>
        <v>0</v>
      </c>
    </row>
    <row r="146" spans="1:23" x14ac:dyDescent="0.3">
      <c r="A146" s="184"/>
      <c r="B146" s="194">
        <v>4</v>
      </c>
      <c r="C146" s="195">
        <v>45386</v>
      </c>
      <c r="D146" s="196" t="s">
        <v>16</v>
      </c>
      <c r="E146" s="222" t="s">
        <v>933</v>
      </c>
      <c r="F146" s="222">
        <v>200</v>
      </c>
      <c r="G146" s="222">
        <v>214.8</v>
      </c>
      <c r="H146" s="222">
        <v>14.8</v>
      </c>
      <c r="I146" s="218">
        <v>100</v>
      </c>
      <c r="J146" s="268">
        <f t="shared" si="11"/>
        <v>1480</v>
      </c>
      <c r="K146" s="185"/>
      <c r="V146" s="183">
        <f t="shared" si="12"/>
        <v>1</v>
      </c>
      <c r="W146" s="183">
        <f t="shared" si="13"/>
        <v>0</v>
      </c>
    </row>
    <row r="147" spans="1:23" x14ac:dyDescent="0.3">
      <c r="A147" s="184"/>
      <c r="B147" s="194">
        <v>5</v>
      </c>
      <c r="C147" s="195">
        <v>45387</v>
      </c>
      <c r="D147" s="196" t="s">
        <v>16</v>
      </c>
      <c r="E147" s="222" t="s">
        <v>934</v>
      </c>
      <c r="F147" s="222">
        <v>230</v>
      </c>
      <c r="G147" s="222">
        <v>250</v>
      </c>
      <c r="H147" s="222">
        <v>20</v>
      </c>
      <c r="I147" s="218">
        <v>100</v>
      </c>
      <c r="J147" s="268">
        <f t="shared" si="11"/>
        <v>2000</v>
      </c>
      <c r="K147" s="185"/>
      <c r="V147" s="183">
        <f t="shared" si="12"/>
        <v>1</v>
      </c>
      <c r="W147" s="183">
        <f t="shared" si="13"/>
        <v>0</v>
      </c>
    </row>
    <row r="148" spans="1:23" x14ac:dyDescent="0.3">
      <c r="A148" s="184"/>
      <c r="B148" s="194">
        <v>6</v>
      </c>
      <c r="C148" s="195">
        <v>45390</v>
      </c>
      <c r="D148" s="196" t="s">
        <v>16</v>
      </c>
      <c r="E148" s="222" t="s">
        <v>934</v>
      </c>
      <c r="F148" s="222">
        <v>205</v>
      </c>
      <c r="G148" s="222">
        <v>224</v>
      </c>
      <c r="H148" s="222">
        <f>224-205</f>
        <v>19</v>
      </c>
      <c r="I148" s="218">
        <v>100</v>
      </c>
      <c r="J148" s="268">
        <f t="shared" si="11"/>
        <v>1900</v>
      </c>
      <c r="K148" s="185"/>
      <c r="V148" s="183">
        <f t="shared" si="12"/>
        <v>1</v>
      </c>
      <c r="W148" s="183">
        <f t="shared" si="13"/>
        <v>0</v>
      </c>
    </row>
    <row r="149" spans="1:23" x14ac:dyDescent="0.3">
      <c r="A149" s="184"/>
      <c r="B149" s="194">
        <v>7</v>
      </c>
      <c r="C149" s="195">
        <v>45391</v>
      </c>
      <c r="D149" s="196" t="s">
        <v>16</v>
      </c>
      <c r="E149" s="222" t="s">
        <v>934</v>
      </c>
      <c r="F149" s="222">
        <v>170</v>
      </c>
      <c r="G149" s="222">
        <v>197</v>
      </c>
      <c r="H149" s="274">
        <f>197-170</f>
        <v>27</v>
      </c>
      <c r="I149" s="218">
        <v>100</v>
      </c>
      <c r="J149" s="268">
        <f t="shared" si="11"/>
        <v>2700</v>
      </c>
      <c r="K149" s="185"/>
      <c r="M149" s="183" t="s">
        <v>942</v>
      </c>
      <c r="V149" s="183">
        <f t="shared" si="12"/>
        <v>1</v>
      </c>
      <c r="W149" s="183">
        <f t="shared" si="13"/>
        <v>0</v>
      </c>
    </row>
    <row r="150" spans="1:23" x14ac:dyDescent="0.3">
      <c r="A150" s="184"/>
      <c r="B150" s="194">
        <v>8</v>
      </c>
      <c r="C150" s="195">
        <v>45392</v>
      </c>
      <c r="D150" s="196" t="s">
        <v>16</v>
      </c>
      <c r="E150" s="222" t="s">
        <v>934</v>
      </c>
      <c r="F150" s="222">
        <v>230</v>
      </c>
      <c r="G150" s="222">
        <v>250</v>
      </c>
      <c r="H150" s="222">
        <v>20</v>
      </c>
      <c r="I150" s="218">
        <v>100</v>
      </c>
      <c r="J150" s="268">
        <f t="shared" si="11"/>
        <v>2000</v>
      </c>
      <c r="K150" s="185"/>
      <c r="V150" s="183">
        <f t="shared" si="12"/>
        <v>1</v>
      </c>
      <c r="W150" s="183">
        <f t="shared" si="13"/>
        <v>0</v>
      </c>
    </row>
    <row r="151" spans="1:23" x14ac:dyDescent="0.3">
      <c r="A151" s="184"/>
      <c r="B151" s="194">
        <v>9</v>
      </c>
      <c r="C151" s="195">
        <v>45394</v>
      </c>
      <c r="D151" s="196" t="s">
        <v>16</v>
      </c>
      <c r="E151" s="222" t="s">
        <v>934</v>
      </c>
      <c r="F151" s="222">
        <v>195</v>
      </c>
      <c r="G151" s="222">
        <v>175</v>
      </c>
      <c r="H151" s="222">
        <v>-20</v>
      </c>
      <c r="I151" s="218">
        <v>100</v>
      </c>
      <c r="J151" s="268">
        <f t="shared" si="11"/>
        <v>-2000</v>
      </c>
      <c r="K151" s="185"/>
      <c r="V151" s="183">
        <f t="shared" si="12"/>
        <v>0</v>
      </c>
      <c r="W151" s="183">
        <f t="shared" si="13"/>
        <v>1</v>
      </c>
    </row>
    <row r="152" spans="1:23" x14ac:dyDescent="0.3">
      <c r="A152" s="184"/>
      <c r="B152" s="194">
        <v>10</v>
      </c>
      <c r="C152" s="195">
        <v>45397</v>
      </c>
      <c r="D152" s="196" t="s">
        <v>16</v>
      </c>
      <c r="E152" s="222" t="s">
        <v>933</v>
      </c>
      <c r="F152" s="222">
        <v>180</v>
      </c>
      <c r="G152" s="222">
        <v>188</v>
      </c>
      <c r="H152" s="222">
        <v>8</v>
      </c>
      <c r="I152" s="218">
        <v>100</v>
      </c>
      <c r="J152" s="268">
        <f t="shared" si="11"/>
        <v>800</v>
      </c>
      <c r="K152" s="185"/>
      <c r="V152" s="183">
        <f t="shared" si="12"/>
        <v>1</v>
      </c>
      <c r="W152" s="183">
        <f t="shared" si="13"/>
        <v>0</v>
      </c>
    </row>
    <row r="153" spans="1:23" x14ac:dyDescent="0.3">
      <c r="A153" s="184"/>
      <c r="B153" s="194">
        <v>11</v>
      </c>
      <c r="C153" s="195">
        <v>45398</v>
      </c>
      <c r="D153" s="196" t="s">
        <v>16</v>
      </c>
      <c r="E153" s="222" t="s">
        <v>934</v>
      </c>
      <c r="F153" s="222">
        <v>197</v>
      </c>
      <c r="G153" s="222">
        <v>224</v>
      </c>
      <c r="H153" s="274">
        <f>224-197</f>
        <v>27</v>
      </c>
      <c r="I153" s="218">
        <v>100</v>
      </c>
      <c r="J153" s="268">
        <f t="shared" si="11"/>
        <v>2700</v>
      </c>
      <c r="K153" s="185"/>
      <c r="V153" s="183">
        <f t="shared" si="12"/>
        <v>1</v>
      </c>
      <c r="W153" s="183">
        <f t="shared" si="13"/>
        <v>0</v>
      </c>
    </row>
    <row r="154" spans="1:23" x14ac:dyDescent="0.3">
      <c r="A154" s="184"/>
      <c r="B154" s="194">
        <v>12</v>
      </c>
      <c r="C154" s="195">
        <v>45400</v>
      </c>
      <c r="D154" s="196" t="s">
        <v>16</v>
      </c>
      <c r="E154" s="222" t="s">
        <v>928</v>
      </c>
      <c r="F154" s="222">
        <v>227</v>
      </c>
      <c r="G154" s="222">
        <v>240</v>
      </c>
      <c r="H154" s="274">
        <f>240-227</f>
        <v>13</v>
      </c>
      <c r="I154" s="218">
        <v>100</v>
      </c>
      <c r="J154" s="268">
        <f t="shared" si="11"/>
        <v>1300</v>
      </c>
      <c r="K154" s="185"/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13</v>
      </c>
      <c r="C155" s="195">
        <v>45401</v>
      </c>
      <c r="D155" s="196" t="s">
        <v>16</v>
      </c>
      <c r="E155" s="222" t="s">
        <v>928</v>
      </c>
      <c r="F155" s="222">
        <v>190</v>
      </c>
      <c r="G155" s="222">
        <v>230</v>
      </c>
      <c r="H155" s="274">
        <f>230-190</f>
        <v>40</v>
      </c>
      <c r="I155" s="218">
        <v>100</v>
      </c>
      <c r="J155" s="268">
        <f t="shared" si="11"/>
        <v>4000</v>
      </c>
      <c r="K155" s="185"/>
      <c r="V155" s="183">
        <f t="shared" si="12"/>
        <v>1</v>
      </c>
      <c r="W155" s="183">
        <f t="shared" si="13"/>
        <v>0</v>
      </c>
    </row>
    <row r="156" spans="1:23" x14ac:dyDescent="0.3">
      <c r="A156" s="184"/>
      <c r="B156" s="194">
        <v>14</v>
      </c>
      <c r="C156" s="195">
        <v>45404</v>
      </c>
      <c r="D156" s="196" t="s">
        <v>16</v>
      </c>
      <c r="E156" s="222" t="s">
        <v>928</v>
      </c>
      <c r="F156" s="222">
        <v>200</v>
      </c>
      <c r="G156" s="222">
        <v>207</v>
      </c>
      <c r="H156" s="274">
        <v>7</v>
      </c>
      <c r="I156" s="218">
        <v>100</v>
      </c>
      <c r="J156" s="268">
        <f t="shared" si="11"/>
        <v>700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15</v>
      </c>
      <c r="C157" s="195">
        <v>45405</v>
      </c>
      <c r="D157" s="196" t="s">
        <v>16</v>
      </c>
      <c r="E157" s="196" t="s">
        <v>922</v>
      </c>
      <c r="F157" s="222">
        <v>195</v>
      </c>
      <c r="G157" s="222">
        <v>235</v>
      </c>
      <c r="H157" s="222">
        <f>235-195</f>
        <v>40</v>
      </c>
      <c r="I157" s="218">
        <v>100</v>
      </c>
      <c r="J157" s="268">
        <f t="shared" si="11"/>
        <v>4000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16</v>
      </c>
      <c r="C158" s="195">
        <v>45406</v>
      </c>
      <c r="D158" s="196" t="s">
        <v>16</v>
      </c>
      <c r="E158" s="196" t="s">
        <v>922</v>
      </c>
      <c r="F158" s="222">
        <v>170</v>
      </c>
      <c r="G158" s="274">
        <v>187</v>
      </c>
      <c r="H158" s="274">
        <v>17</v>
      </c>
      <c r="I158" s="218">
        <v>100</v>
      </c>
      <c r="J158" s="268">
        <f t="shared" si="11"/>
        <v>1700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17</v>
      </c>
      <c r="C159" s="195">
        <v>45407</v>
      </c>
      <c r="D159" s="196" t="s">
        <v>16</v>
      </c>
      <c r="E159" s="196" t="s">
        <v>930</v>
      </c>
      <c r="F159" s="222">
        <v>190</v>
      </c>
      <c r="G159" s="222">
        <v>208</v>
      </c>
      <c r="H159" s="263">
        <f>208-190</f>
        <v>18</v>
      </c>
      <c r="I159" s="218">
        <v>100</v>
      </c>
      <c r="J159" s="268">
        <f t="shared" si="11"/>
        <v>1800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18</v>
      </c>
      <c r="C160" s="195">
        <v>45408</v>
      </c>
      <c r="D160" s="196" t="s">
        <v>16</v>
      </c>
      <c r="E160" s="196" t="s">
        <v>930</v>
      </c>
      <c r="F160" s="222">
        <v>220</v>
      </c>
      <c r="G160" s="222">
        <v>250</v>
      </c>
      <c r="H160" s="274">
        <v>30</v>
      </c>
      <c r="I160" s="218">
        <v>100</v>
      </c>
      <c r="J160" s="268">
        <f t="shared" si="11"/>
        <v>3000</v>
      </c>
      <c r="K160" s="185"/>
      <c r="V160" s="183">
        <f t="shared" si="12"/>
        <v>1</v>
      </c>
      <c r="W160" s="183">
        <f t="shared" si="13"/>
        <v>0</v>
      </c>
    </row>
    <row r="161" spans="1:23" x14ac:dyDescent="0.3">
      <c r="A161" s="184"/>
      <c r="B161" s="194">
        <v>19</v>
      </c>
      <c r="C161" s="195">
        <v>45411</v>
      </c>
      <c r="D161" s="196" t="s">
        <v>16</v>
      </c>
      <c r="E161" s="196" t="s">
        <v>931</v>
      </c>
      <c r="F161" s="222">
        <v>175</v>
      </c>
      <c r="G161" s="222">
        <v>190</v>
      </c>
      <c r="H161" s="274">
        <f>190-175</f>
        <v>15</v>
      </c>
      <c r="I161" s="218">
        <v>100</v>
      </c>
      <c r="J161" s="268">
        <f t="shared" si="11"/>
        <v>1500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20</v>
      </c>
      <c r="C162" s="195">
        <v>45412</v>
      </c>
      <c r="D162" s="196" t="s">
        <v>16</v>
      </c>
      <c r="E162" s="222" t="s">
        <v>931</v>
      </c>
      <c r="F162" s="222">
        <v>195</v>
      </c>
      <c r="G162" s="222">
        <v>203</v>
      </c>
      <c r="H162" s="274">
        <f>203-195</f>
        <v>8</v>
      </c>
      <c r="I162" s="218">
        <v>100</v>
      </c>
      <c r="J162" s="268">
        <f t="shared" si="11"/>
        <v>800</v>
      </c>
      <c r="K162" s="185"/>
      <c r="V162" s="183">
        <f t="shared" si="12"/>
        <v>1</v>
      </c>
      <c r="W162" s="183">
        <f t="shared" si="13"/>
        <v>0</v>
      </c>
    </row>
    <row r="163" spans="1:23" hidden="1" x14ac:dyDescent="0.3">
      <c r="A163" s="184"/>
      <c r="B163" s="194">
        <v>21</v>
      </c>
      <c r="C163" s="195"/>
      <c r="D163" s="196"/>
      <c r="E163" s="222"/>
      <c r="F163" s="222"/>
      <c r="G163" s="222"/>
      <c r="H163" s="274"/>
      <c r="I163" s="218"/>
      <c r="J163" s="268">
        <f t="shared" si="11"/>
        <v>0</v>
      </c>
      <c r="K163" s="185"/>
      <c r="V163" s="183">
        <f t="shared" si="12"/>
        <v>0</v>
      </c>
      <c r="W163" s="183">
        <f t="shared" si="13"/>
        <v>0</v>
      </c>
    </row>
    <row r="164" spans="1:23" hidden="1" x14ac:dyDescent="0.3">
      <c r="A164" s="184"/>
      <c r="B164" s="194">
        <v>22</v>
      </c>
      <c r="C164" s="195"/>
      <c r="D164" s="196"/>
      <c r="E164" s="222"/>
      <c r="F164" s="222"/>
      <c r="G164" s="222"/>
      <c r="H164" s="222"/>
      <c r="I164" s="218"/>
      <c r="J164" s="268">
        <f>I164*H164</f>
        <v>0</v>
      </c>
      <c r="K164" s="185"/>
      <c r="V164" s="183">
        <f t="shared" si="12"/>
        <v>0</v>
      </c>
      <c r="W164" s="183">
        <f t="shared" si="13"/>
        <v>0</v>
      </c>
    </row>
    <row r="165" spans="1:23" ht="15" thickBot="1" x14ac:dyDescent="0.35">
      <c r="A165" s="184"/>
      <c r="B165" s="199">
        <v>23</v>
      </c>
      <c r="C165" s="200"/>
      <c r="D165" s="201"/>
      <c r="E165" s="201"/>
      <c r="F165" s="284"/>
      <c r="G165" s="284"/>
      <c r="H165" s="284"/>
      <c r="I165" s="285"/>
      <c r="J165" s="269">
        <f>I165*H165</f>
        <v>0</v>
      </c>
      <c r="K165" s="185"/>
      <c r="V165" s="183">
        <f t="shared" si="12"/>
        <v>0</v>
      </c>
      <c r="W165" s="183">
        <f t="shared" si="13"/>
        <v>0</v>
      </c>
    </row>
    <row r="166" spans="1:23" ht="24" thickBot="1" x14ac:dyDescent="0.5">
      <c r="A166" s="184"/>
      <c r="B166" s="304" t="s">
        <v>879</v>
      </c>
      <c r="C166" s="305"/>
      <c r="D166" s="305"/>
      <c r="E166" s="305"/>
      <c r="F166" s="305"/>
      <c r="G166" s="305"/>
      <c r="H166" s="306"/>
      <c r="I166" s="203" t="s">
        <v>880</v>
      </c>
      <c r="J166" s="204">
        <f>SUM(J143:J165)</f>
        <v>35880</v>
      </c>
      <c r="K166" s="185"/>
      <c r="V166" s="183">
        <f>SUM(V143:V165)</f>
        <v>19</v>
      </c>
      <c r="W166" s="183">
        <f>SUM(W143:W165)</f>
        <v>1</v>
      </c>
    </row>
    <row r="167" spans="1:23" ht="30" customHeight="1" thickBot="1" x14ac:dyDescent="0.35">
      <c r="A167" s="205"/>
      <c r="B167" s="286"/>
      <c r="C167" s="286"/>
      <c r="D167" s="286"/>
      <c r="E167" s="286"/>
      <c r="F167" s="286"/>
      <c r="G167" s="286"/>
      <c r="H167" s="287"/>
      <c r="I167" s="286"/>
      <c r="J167" s="287"/>
      <c r="K167" s="207"/>
    </row>
  </sheetData>
  <mergeCells count="54">
    <mergeCell ref="M10:M11"/>
    <mergeCell ref="B140:J140"/>
    <mergeCell ref="B141:J141"/>
    <mergeCell ref="B166:H166"/>
    <mergeCell ref="B103:H103"/>
    <mergeCell ref="B107:J107"/>
    <mergeCell ref="B108:J108"/>
    <mergeCell ref="B109:J109"/>
    <mergeCell ref="B135:H135"/>
    <mergeCell ref="B139:J13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3A8A324-28E4-411B-BA18-E328126DFA84}"/>
    <hyperlink ref="B103" r:id="rId2" xr:uid="{79DF48A3-735C-48AA-B7D0-C9EFBE93119F}"/>
    <hyperlink ref="M4:M5" location="'MARCH 2024'!A1" display="BULLION" xr:uid="{C1217C05-0C20-4416-9681-E5FAA1C5F488}"/>
    <hyperlink ref="B135" r:id="rId3" xr:uid="{21CA0073-C969-4BFC-92CA-04E587E51401}"/>
    <hyperlink ref="M8:M9" location="'MARCH 2024'!A86" display="BASE METAL" xr:uid="{AE2ADC2C-8360-4E9E-B3B8-FE3E80190839}"/>
    <hyperlink ref="M1" location="MASTER!A1" display="Back" xr:uid="{B34357DD-F615-4AC1-B51D-E2B5642AFFF3}"/>
    <hyperlink ref="M6:M7" location="'MARCH 2024'!A55" display="ENERGY" xr:uid="{D06BA56C-1CAD-4F88-938A-A49D0E317418}"/>
    <hyperlink ref="B166" r:id="rId4" xr:uid="{C8FA2F36-4AFE-4D14-B17A-1DABD01DC18C}"/>
    <hyperlink ref="M10:M11" location="'MARCH 2024'!A117" display="CRUDEOIL OPTION" xr:uid="{6A66E8D6-D0A7-4899-B86C-B91D68035297}"/>
  </hyperlinks>
  <pageMargins left="0" right="0" top="0" bottom="0" header="0" footer="0"/>
  <pageSetup paperSize="9" orientation="portrait" r:id="rId5"/>
  <drawing r:id="rId6"/>
  <legacyDrawing r:id="rId7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B7D3B-4831-4D90-896E-966F4C669EB4}">
  <dimension ref="A1:X172"/>
  <sheetViews>
    <sheetView topLeftCell="A74" zoomScaleNormal="100" workbookViewId="0">
      <selection activeCell="B146" sqref="B146:J14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45413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35</v>
      </c>
      <c r="P4" s="369">
        <f>W52</f>
        <v>7</v>
      </c>
      <c r="Q4" s="349">
        <f>N4-O4-P4</f>
        <v>0</v>
      </c>
      <c r="R4" s="343">
        <f>O4/N4</f>
        <v>0.83333333333333337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45414</v>
      </c>
      <c r="D6" s="192" t="s">
        <v>23</v>
      </c>
      <c r="E6" s="192" t="s">
        <v>24</v>
      </c>
      <c r="F6" s="193">
        <v>70730</v>
      </c>
      <c r="G6" s="193">
        <v>70556</v>
      </c>
      <c r="H6" s="192">
        <v>174</v>
      </c>
      <c r="I6" s="193">
        <v>100</v>
      </c>
      <c r="J6" s="267">
        <f>H6*I6</f>
        <v>17400</v>
      </c>
      <c r="K6" s="185"/>
      <c r="M6" s="364" t="s">
        <v>258</v>
      </c>
      <c r="N6" s="347">
        <f>COUNT(C60:C102)</f>
        <v>42</v>
      </c>
      <c r="O6" s="348">
        <f>V103</f>
        <v>36</v>
      </c>
      <c r="P6" s="348">
        <f>W103</f>
        <v>6</v>
      </c>
      <c r="Q6" s="349">
        <v>0</v>
      </c>
      <c r="R6" s="345">
        <f t="shared" ref="R6" si="0">O6/N6</f>
        <v>0.8571428571428571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45414</v>
      </c>
      <c r="D7" s="196" t="s">
        <v>23</v>
      </c>
      <c r="E7" s="196" t="s">
        <v>22</v>
      </c>
      <c r="F7" s="197">
        <v>81100</v>
      </c>
      <c r="G7" s="197">
        <v>80500</v>
      </c>
      <c r="H7" s="196">
        <f>81100-80500</f>
        <v>600</v>
      </c>
      <c r="I7" s="197">
        <v>30</v>
      </c>
      <c r="J7" s="268">
        <f t="shared" ref="J7:J51" si="1">H7*I7</f>
        <v>18000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45415</v>
      </c>
      <c r="D8" s="196" t="s">
        <v>23</v>
      </c>
      <c r="E8" s="196" t="s">
        <v>24</v>
      </c>
      <c r="F8" s="197">
        <v>70600</v>
      </c>
      <c r="G8" s="197">
        <v>70520</v>
      </c>
      <c r="H8" s="196">
        <f>70600-70520</f>
        <v>80</v>
      </c>
      <c r="I8" s="197">
        <v>100</v>
      </c>
      <c r="J8" s="268">
        <f t="shared" si="1"/>
        <v>8000</v>
      </c>
      <c r="K8" s="185"/>
      <c r="M8" s="362" t="s">
        <v>877</v>
      </c>
      <c r="N8" s="347">
        <f>COUNT(C111:C139)</f>
        <v>21</v>
      </c>
      <c r="O8" s="348">
        <f>V140</f>
        <v>18</v>
      </c>
      <c r="P8" s="348">
        <f>W140</f>
        <v>1</v>
      </c>
      <c r="Q8" s="349">
        <f>N8-O8-P8</f>
        <v>2</v>
      </c>
      <c r="R8" s="345">
        <f t="shared" ref="R8" si="4">O8/N8</f>
        <v>0.8571428571428571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45415</v>
      </c>
      <c r="D9" s="196" t="s">
        <v>23</v>
      </c>
      <c r="E9" s="196" t="s">
        <v>22</v>
      </c>
      <c r="F9" s="197">
        <v>81200</v>
      </c>
      <c r="G9" s="197">
        <v>81000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45418</v>
      </c>
      <c r="D10" s="196" t="s">
        <v>23</v>
      </c>
      <c r="E10" s="196" t="s">
        <v>24</v>
      </c>
      <c r="F10" s="197">
        <v>71230</v>
      </c>
      <c r="G10" s="197">
        <v>71100</v>
      </c>
      <c r="H10" s="196">
        <f>71230-71100</f>
        <v>130</v>
      </c>
      <c r="I10" s="197">
        <v>100</v>
      </c>
      <c r="J10" s="268">
        <f t="shared" si="1"/>
        <v>13000</v>
      </c>
      <c r="K10" s="185"/>
      <c r="M10" s="364" t="s">
        <v>906</v>
      </c>
      <c r="N10" s="347">
        <f>COUNT(C148:C170)</f>
        <v>21</v>
      </c>
      <c r="O10" s="348">
        <f>V171</f>
        <v>18</v>
      </c>
      <c r="P10" s="348">
        <f>W171</f>
        <v>3</v>
      </c>
      <c r="Q10" s="349">
        <f>N10-O10-P10</f>
        <v>0</v>
      </c>
      <c r="R10" s="345">
        <f>O10/N10</f>
        <v>0.8571428571428571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45418</v>
      </c>
      <c r="D11" s="196" t="s">
        <v>23</v>
      </c>
      <c r="E11" s="196" t="s">
        <v>22</v>
      </c>
      <c r="F11" s="197">
        <v>82400</v>
      </c>
      <c r="G11" s="197">
        <v>82250</v>
      </c>
      <c r="H11" s="196">
        <f>82400-82250</f>
        <v>150</v>
      </c>
      <c r="I11" s="197">
        <v>30</v>
      </c>
      <c r="J11" s="268">
        <f t="shared" si="1"/>
        <v>4500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45419</v>
      </c>
      <c r="D12" s="196" t="s">
        <v>23</v>
      </c>
      <c r="E12" s="196" t="s">
        <v>24</v>
      </c>
      <c r="F12" s="197">
        <v>71280</v>
      </c>
      <c r="G12" s="197">
        <v>71100</v>
      </c>
      <c r="H12" s="196">
        <f>71280-71100</f>
        <v>180</v>
      </c>
      <c r="I12" s="197">
        <v>100</v>
      </c>
      <c r="J12" s="268">
        <f t="shared" si="1"/>
        <v>18000</v>
      </c>
      <c r="K12" s="185"/>
      <c r="M12" s="319" t="s">
        <v>300</v>
      </c>
      <c r="N12" s="371">
        <f>SUM(N4:N11)</f>
        <v>126</v>
      </c>
      <c r="O12" s="371">
        <f>SUM(O4:O11)</f>
        <v>107</v>
      </c>
      <c r="P12" s="371">
        <f>SUM(P4:P11)</f>
        <v>17</v>
      </c>
      <c r="Q12" s="371">
        <f>SUM(Q4:Q11)</f>
        <v>2</v>
      </c>
      <c r="R12" s="343">
        <f>O12/N12</f>
        <v>0.84920634920634919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45419</v>
      </c>
      <c r="D13" s="196" t="s">
        <v>23</v>
      </c>
      <c r="E13" s="196" t="s">
        <v>22</v>
      </c>
      <c r="F13" s="197">
        <v>82700</v>
      </c>
      <c r="G13" s="197">
        <v>82514</v>
      </c>
      <c r="H13" s="196">
        <f>82700-82514</f>
        <v>186</v>
      </c>
      <c r="I13" s="197">
        <v>30</v>
      </c>
      <c r="J13" s="268">
        <f t="shared" si="1"/>
        <v>5580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45420</v>
      </c>
      <c r="D14" s="196" t="s">
        <v>23</v>
      </c>
      <c r="E14" s="196" t="s">
        <v>24</v>
      </c>
      <c r="F14" s="197">
        <v>71000</v>
      </c>
      <c r="G14" s="197">
        <v>71100</v>
      </c>
      <c r="H14" s="196">
        <v>-100</v>
      </c>
      <c r="I14" s="197">
        <v>100</v>
      </c>
      <c r="J14" s="268">
        <f t="shared" si="1"/>
        <v>-10000</v>
      </c>
      <c r="K14" s="185"/>
      <c r="M14" s="323" t="s">
        <v>878</v>
      </c>
      <c r="N14" s="324"/>
      <c r="O14" s="325"/>
      <c r="P14" s="332">
        <f>R12</f>
        <v>0.84920634920634919</v>
      </c>
      <c r="Q14" s="333"/>
      <c r="R14" s="334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45420</v>
      </c>
      <c r="D15" s="196" t="s">
        <v>23</v>
      </c>
      <c r="E15" s="196" t="s">
        <v>22</v>
      </c>
      <c r="F15" s="197">
        <v>82500</v>
      </c>
      <c r="G15" s="197">
        <v>82850</v>
      </c>
      <c r="H15" s="196">
        <v>-300</v>
      </c>
      <c r="I15" s="197">
        <v>30</v>
      </c>
      <c r="J15" s="268">
        <f t="shared" si="1"/>
        <v>-9000</v>
      </c>
      <c r="K15" s="185"/>
      <c r="M15" s="326"/>
      <c r="N15" s="327"/>
      <c r="O15" s="328"/>
      <c r="P15" s="335"/>
      <c r="Q15" s="336"/>
      <c r="R15" s="337"/>
      <c r="V15" s="183">
        <f t="shared" si="2"/>
        <v>0</v>
      </c>
      <c r="W15" s="183">
        <f t="shared" si="3"/>
        <v>1</v>
      </c>
    </row>
    <row r="16" spans="1:23" ht="15" thickBot="1" x14ac:dyDescent="0.35">
      <c r="A16" s="184"/>
      <c r="B16" s="194">
        <v>11</v>
      </c>
      <c r="C16" s="195">
        <v>45421</v>
      </c>
      <c r="D16" s="196" t="s">
        <v>23</v>
      </c>
      <c r="E16" s="196" t="s">
        <v>24</v>
      </c>
      <c r="F16" s="197">
        <v>71030</v>
      </c>
      <c r="G16" s="197">
        <v>70877</v>
      </c>
      <c r="H16" s="196">
        <f>71030-70877</f>
        <v>153</v>
      </c>
      <c r="I16" s="197">
        <v>100</v>
      </c>
      <c r="J16" s="268">
        <f t="shared" si="1"/>
        <v>15300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45421</v>
      </c>
      <c r="D17" s="196" t="s">
        <v>23</v>
      </c>
      <c r="E17" s="196" t="s">
        <v>22</v>
      </c>
      <c r="F17" s="197">
        <v>83400</v>
      </c>
      <c r="G17" s="197">
        <v>83350</v>
      </c>
      <c r="H17" s="196">
        <v>50</v>
      </c>
      <c r="I17" s="197">
        <v>30</v>
      </c>
      <c r="J17" s="268">
        <f t="shared" si="1"/>
        <v>1500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45422</v>
      </c>
      <c r="D18" s="196" t="s">
        <v>23</v>
      </c>
      <c r="E18" s="196" t="s">
        <v>24</v>
      </c>
      <c r="F18" s="197">
        <v>72500</v>
      </c>
      <c r="G18" s="197">
        <v>72600</v>
      </c>
      <c r="H18" s="196">
        <v>-100</v>
      </c>
      <c r="I18" s="197">
        <v>100</v>
      </c>
      <c r="J18" s="268">
        <f t="shared" si="1"/>
        <v>-10000</v>
      </c>
      <c r="K18" s="185"/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45422</v>
      </c>
      <c r="D19" s="196" t="s">
        <v>23</v>
      </c>
      <c r="E19" s="196" t="s">
        <v>22</v>
      </c>
      <c r="F19" s="197">
        <v>85500</v>
      </c>
      <c r="G19" s="197">
        <v>85800</v>
      </c>
      <c r="H19" s="196">
        <v>-300</v>
      </c>
      <c r="I19" s="197">
        <v>30</v>
      </c>
      <c r="J19" s="268">
        <f t="shared" si="1"/>
        <v>-9000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45425</v>
      </c>
      <c r="D20" s="196" t="s">
        <v>23</v>
      </c>
      <c r="E20" s="196" t="s">
        <v>24</v>
      </c>
      <c r="F20" s="197">
        <v>72030</v>
      </c>
      <c r="G20" s="197">
        <v>71900</v>
      </c>
      <c r="H20" s="196">
        <v>130</v>
      </c>
      <c r="I20" s="197">
        <v>100</v>
      </c>
      <c r="J20" s="268">
        <f t="shared" si="1"/>
        <v>13000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45425</v>
      </c>
      <c r="D21" s="196" t="s">
        <v>23</v>
      </c>
      <c r="E21" s="196" t="s">
        <v>22</v>
      </c>
      <c r="F21" s="197">
        <v>84650</v>
      </c>
      <c r="G21" s="197">
        <v>84527</v>
      </c>
      <c r="H21" s="196">
        <f>84650-84527</f>
        <v>123</v>
      </c>
      <c r="I21" s="197">
        <v>30</v>
      </c>
      <c r="J21" s="268">
        <f t="shared" si="1"/>
        <v>3690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45426</v>
      </c>
      <c r="D22" s="196" t="s">
        <v>23</v>
      </c>
      <c r="E22" s="196" t="s">
        <v>24</v>
      </c>
      <c r="F22" s="197">
        <v>71900</v>
      </c>
      <c r="G22" s="197">
        <v>72000</v>
      </c>
      <c r="H22" s="196">
        <v>-200</v>
      </c>
      <c r="I22" s="197">
        <v>100</v>
      </c>
      <c r="J22" s="268">
        <f t="shared" si="1"/>
        <v>-20000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45426</v>
      </c>
      <c r="D23" s="196" t="s">
        <v>23</v>
      </c>
      <c r="E23" s="196" t="s">
        <v>22</v>
      </c>
      <c r="F23" s="197">
        <v>85150</v>
      </c>
      <c r="G23" s="197">
        <v>84800</v>
      </c>
      <c r="H23" s="196">
        <f>85150-84800</f>
        <v>350</v>
      </c>
      <c r="I23" s="197">
        <v>30</v>
      </c>
      <c r="J23" s="268">
        <f t="shared" si="1"/>
        <v>10500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45427</v>
      </c>
      <c r="D24" s="196" t="s">
        <v>23</v>
      </c>
      <c r="E24" s="196" t="s">
        <v>24</v>
      </c>
      <c r="F24" s="197">
        <v>72750</v>
      </c>
      <c r="G24" s="197">
        <v>72550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45427</v>
      </c>
      <c r="D25" s="196" t="s">
        <v>23</v>
      </c>
      <c r="E25" s="196" t="s">
        <v>22</v>
      </c>
      <c r="F25" s="197">
        <v>85800</v>
      </c>
      <c r="G25" s="197">
        <v>85680</v>
      </c>
      <c r="H25" s="196">
        <f>85800-85680</f>
        <v>120</v>
      </c>
      <c r="I25" s="197">
        <v>30</v>
      </c>
      <c r="J25" s="268">
        <f t="shared" si="1"/>
        <v>3600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45428</v>
      </c>
      <c r="D26" s="196" t="s">
        <v>23</v>
      </c>
      <c r="E26" s="196" t="s">
        <v>24</v>
      </c>
      <c r="F26" s="197">
        <v>73120</v>
      </c>
      <c r="G26" s="197">
        <v>72920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45428</v>
      </c>
      <c r="D27" s="196" t="s">
        <v>23</v>
      </c>
      <c r="E27" s="196" t="s">
        <v>22</v>
      </c>
      <c r="F27" s="197">
        <v>87150</v>
      </c>
      <c r="G27" s="197">
        <v>87000</v>
      </c>
      <c r="H27" s="196"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45429</v>
      </c>
      <c r="D28" s="196" t="s">
        <v>23</v>
      </c>
      <c r="E28" s="196" t="s">
        <v>24</v>
      </c>
      <c r="F28" s="197">
        <v>72900</v>
      </c>
      <c r="G28" s="197">
        <v>72880</v>
      </c>
      <c r="H28" s="196">
        <v>20</v>
      </c>
      <c r="I28" s="197">
        <v>100</v>
      </c>
      <c r="J28" s="268">
        <f t="shared" si="1"/>
        <v>2000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45429</v>
      </c>
      <c r="D29" s="196" t="s">
        <v>23</v>
      </c>
      <c r="E29" s="196" t="s">
        <v>22</v>
      </c>
      <c r="F29" s="197">
        <v>87600</v>
      </c>
      <c r="G29" s="197">
        <v>87450</v>
      </c>
      <c r="H29" s="196">
        <v>150</v>
      </c>
      <c r="I29" s="197">
        <v>30</v>
      </c>
      <c r="J29" s="268">
        <f t="shared" si="1"/>
        <v>4500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45433</v>
      </c>
      <c r="D30" s="196" t="s">
        <v>23</v>
      </c>
      <c r="E30" s="196" t="s">
        <v>24</v>
      </c>
      <c r="F30" s="197">
        <v>73950</v>
      </c>
      <c r="G30" s="197">
        <v>73850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45433</v>
      </c>
      <c r="D31" s="196" t="s">
        <v>23</v>
      </c>
      <c r="E31" s="196" t="s">
        <v>22</v>
      </c>
      <c r="F31" s="197">
        <v>94200</v>
      </c>
      <c r="G31" s="197">
        <v>93900</v>
      </c>
      <c r="H31" s="196">
        <v>300</v>
      </c>
      <c r="I31" s="197">
        <v>30</v>
      </c>
      <c r="J31" s="268">
        <f t="shared" si="1"/>
        <v>9000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45434</v>
      </c>
      <c r="D32" s="196" t="s">
        <v>23</v>
      </c>
      <c r="E32" s="196" t="s">
        <v>24</v>
      </c>
      <c r="F32" s="197">
        <v>73840</v>
      </c>
      <c r="G32" s="197">
        <v>73660</v>
      </c>
      <c r="H32" s="196">
        <f>73840-73660</f>
        <v>180</v>
      </c>
      <c r="I32" s="197">
        <v>100</v>
      </c>
      <c r="J32" s="268">
        <f t="shared" si="1"/>
        <v>18000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45434</v>
      </c>
      <c r="D33" s="196" t="s">
        <v>23</v>
      </c>
      <c r="E33" s="196" t="s">
        <v>22</v>
      </c>
      <c r="F33" s="197">
        <v>94400</v>
      </c>
      <c r="G33" s="197">
        <v>93800</v>
      </c>
      <c r="H33" s="196">
        <f>94400-93800</f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45435</v>
      </c>
      <c r="D34" s="196" t="s">
        <v>23</v>
      </c>
      <c r="E34" s="196" t="s">
        <v>24</v>
      </c>
      <c r="F34" s="197">
        <v>72130</v>
      </c>
      <c r="G34" s="197">
        <v>72250</v>
      </c>
      <c r="H34" s="196">
        <f>72250-72130</f>
        <v>120</v>
      </c>
      <c r="I34" s="197">
        <v>100</v>
      </c>
      <c r="J34" s="268">
        <f t="shared" si="1"/>
        <v>12000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45435</v>
      </c>
      <c r="D35" s="196" t="s">
        <v>23</v>
      </c>
      <c r="E35" s="196" t="s">
        <v>22</v>
      </c>
      <c r="F35" s="197">
        <v>90700</v>
      </c>
      <c r="G35" s="197">
        <v>91000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>
        <v>45436</v>
      </c>
      <c r="D36" s="196" t="s">
        <v>23</v>
      </c>
      <c r="E36" s="196" t="s">
        <v>24</v>
      </c>
      <c r="F36" s="197">
        <v>71550</v>
      </c>
      <c r="G36" s="197">
        <v>71500</v>
      </c>
      <c r="H36" s="196">
        <v>50</v>
      </c>
      <c r="I36" s="197">
        <v>100</v>
      </c>
      <c r="J36" s="268">
        <f t="shared" si="1"/>
        <v>5000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45436</v>
      </c>
      <c r="D37" s="196" t="s">
        <v>23</v>
      </c>
      <c r="E37" s="196" t="s">
        <v>22</v>
      </c>
      <c r="F37" s="197">
        <v>91200</v>
      </c>
      <c r="G37" s="197">
        <v>90900</v>
      </c>
      <c r="H37" s="196">
        <f>91200-90900</f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45439</v>
      </c>
      <c r="D38" s="196" t="s">
        <v>23</v>
      </c>
      <c r="E38" s="196" t="s">
        <v>24</v>
      </c>
      <c r="F38" s="197">
        <v>71680</v>
      </c>
      <c r="G38" s="197">
        <v>71780</v>
      </c>
      <c r="H38" s="196">
        <v>-100</v>
      </c>
      <c r="I38" s="197">
        <v>100</v>
      </c>
      <c r="J38" s="268">
        <f t="shared" si="1"/>
        <v>-10000</v>
      </c>
      <c r="K38" s="185"/>
      <c r="V38" s="183">
        <f t="shared" si="2"/>
        <v>0</v>
      </c>
      <c r="W38" s="183">
        <f t="shared" si="3"/>
        <v>1</v>
      </c>
    </row>
    <row r="39" spans="1:23" x14ac:dyDescent="0.3">
      <c r="A39" s="184"/>
      <c r="B39" s="194">
        <v>34</v>
      </c>
      <c r="C39" s="195">
        <v>45439</v>
      </c>
      <c r="D39" s="196" t="s">
        <v>23</v>
      </c>
      <c r="E39" s="196" t="s">
        <v>22</v>
      </c>
      <c r="F39" s="197">
        <v>92100</v>
      </c>
      <c r="G39" s="197">
        <v>91980</v>
      </c>
      <c r="H39" s="196">
        <f>92100-91980</f>
        <v>120</v>
      </c>
      <c r="I39" s="197">
        <v>30</v>
      </c>
      <c r="J39" s="268">
        <f t="shared" si="1"/>
        <v>3600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45440</v>
      </c>
      <c r="D40" s="196" t="s">
        <v>23</v>
      </c>
      <c r="E40" s="196" t="s">
        <v>24</v>
      </c>
      <c r="F40" s="197">
        <v>71850</v>
      </c>
      <c r="G40" s="197">
        <v>71750</v>
      </c>
      <c r="H40" s="196">
        <v>100</v>
      </c>
      <c r="I40" s="197">
        <v>100</v>
      </c>
      <c r="J40" s="268">
        <f t="shared" si="1"/>
        <v>10000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45440</v>
      </c>
      <c r="D41" s="196" t="s">
        <v>23</v>
      </c>
      <c r="E41" s="196" t="s">
        <v>22</v>
      </c>
      <c r="F41" s="197">
        <v>94300</v>
      </c>
      <c r="G41" s="197">
        <v>94100</v>
      </c>
      <c r="H41" s="196">
        <v>200</v>
      </c>
      <c r="I41" s="197">
        <v>30</v>
      </c>
      <c r="J41" s="268">
        <f t="shared" si="1"/>
        <v>6000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45441</v>
      </c>
      <c r="D42" s="196" t="s">
        <v>23</v>
      </c>
      <c r="E42" s="196" t="s">
        <v>24</v>
      </c>
      <c r="F42" s="197">
        <v>72200</v>
      </c>
      <c r="G42" s="197">
        <v>72020</v>
      </c>
      <c r="H42" s="196">
        <v>200</v>
      </c>
      <c r="I42" s="197">
        <v>100</v>
      </c>
      <c r="J42" s="268">
        <f t="shared" si="1"/>
        <v>20000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45441</v>
      </c>
      <c r="D43" s="196" t="s">
        <v>23</v>
      </c>
      <c r="E43" s="196" t="s">
        <v>22</v>
      </c>
      <c r="F43" s="197">
        <v>95900</v>
      </c>
      <c r="G43" s="197">
        <v>95500</v>
      </c>
      <c r="H43" s="196">
        <v>400</v>
      </c>
      <c r="I43" s="197">
        <v>30</v>
      </c>
      <c r="J43" s="268">
        <f t="shared" si="1"/>
        <v>12000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45442</v>
      </c>
      <c r="D44" s="196" t="s">
        <v>23</v>
      </c>
      <c r="E44" s="196" t="s">
        <v>24</v>
      </c>
      <c r="F44" s="197">
        <v>72030</v>
      </c>
      <c r="G44" s="197">
        <v>71900</v>
      </c>
      <c r="H44" s="196">
        <f>72030-71900</f>
        <v>130</v>
      </c>
      <c r="I44" s="197">
        <v>100</v>
      </c>
      <c r="J44" s="268">
        <f t="shared" si="1"/>
        <v>13000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45442</v>
      </c>
      <c r="D45" s="196" t="s">
        <v>23</v>
      </c>
      <c r="E45" s="196" t="s">
        <v>22</v>
      </c>
      <c r="F45" s="197">
        <v>94400</v>
      </c>
      <c r="G45" s="197">
        <v>93800</v>
      </c>
      <c r="H45" s="196">
        <f>94400-93800</f>
        <v>600</v>
      </c>
      <c r="I45" s="197">
        <v>30</v>
      </c>
      <c r="J45" s="268">
        <f t="shared" si="1"/>
        <v>18000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45443</v>
      </c>
      <c r="D46" s="196" t="s">
        <v>23</v>
      </c>
      <c r="E46" s="196" t="s">
        <v>24</v>
      </c>
      <c r="F46" s="197">
        <v>72300</v>
      </c>
      <c r="G46" s="197">
        <v>72253</v>
      </c>
      <c r="H46" s="196">
        <f>72300-72253</f>
        <v>47</v>
      </c>
      <c r="I46" s="197">
        <v>100</v>
      </c>
      <c r="J46" s="268">
        <f t="shared" si="1"/>
        <v>4700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45443</v>
      </c>
      <c r="D47" s="196" t="s">
        <v>23</v>
      </c>
      <c r="E47" s="196" t="s">
        <v>22</v>
      </c>
      <c r="F47" s="197">
        <v>93900</v>
      </c>
      <c r="G47" s="197">
        <v>93750</v>
      </c>
      <c r="H47" s="196">
        <f>93900-93750</f>
        <v>150</v>
      </c>
      <c r="I47" s="197">
        <v>30</v>
      </c>
      <c r="J47" s="268">
        <f t="shared" si="1"/>
        <v>4500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284870</v>
      </c>
      <c r="K52" s="185"/>
      <c r="V52" s="183">
        <f>SUM(V6:V51)</f>
        <v>35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45413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45414</v>
      </c>
      <c r="D60" s="192" t="s">
        <v>23</v>
      </c>
      <c r="E60" s="192" t="s">
        <v>25</v>
      </c>
      <c r="F60" s="193">
        <v>6660</v>
      </c>
      <c r="G60" s="193">
        <v>6601</v>
      </c>
      <c r="H60" s="192">
        <f>6660-6601</f>
        <v>59</v>
      </c>
      <c r="I60" s="193">
        <v>100</v>
      </c>
      <c r="J60" s="267">
        <f t="shared" ref="J60:J102" si="5">I60*H60</f>
        <v>5900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45414</v>
      </c>
      <c r="D61" s="196" t="s">
        <v>23</v>
      </c>
      <c r="E61" s="196" t="s">
        <v>939</v>
      </c>
      <c r="F61" s="222">
        <v>165.5</v>
      </c>
      <c r="G61" s="222">
        <v>164.4</v>
      </c>
      <c r="H61" s="222">
        <f>165.5-164.4</f>
        <v>1.0999999999999943</v>
      </c>
      <c r="I61" s="197">
        <v>2000</v>
      </c>
      <c r="J61" s="268">
        <f t="shared" si="5"/>
        <v>2199.9999999999886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45415</v>
      </c>
      <c r="D62" s="196" t="s">
        <v>23</v>
      </c>
      <c r="E62" s="196" t="s">
        <v>25</v>
      </c>
      <c r="F62" s="197">
        <v>6610</v>
      </c>
      <c r="G62" s="197">
        <v>6588</v>
      </c>
      <c r="H62" s="222">
        <f>6610-6588</f>
        <v>22</v>
      </c>
      <c r="I62" s="197">
        <v>100</v>
      </c>
      <c r="J62" s="268">
        <f t="shared" si="5"/>
        <v>2200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45415</v>
      </c>
      <c r="D63" s="196" t="s">
        <v>23</v>
      </c>
      <c r="E63" s="196" t="s">
        <v>939</v>
      </c>
      <c r="F63" s="222">
        <v>170.5</v>
      </c>
      <c r="G63" s="222">
        <v>169.5</v>
      </c>
      <c r="H63" s="222">
        <v>1</v>
      </c>
      <c r="I63" s="197">
        <v>2000</v>
      </c>
      <c r="J63" s="268">
        <f t="shared" si="5"/>
        <v>2000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45418</v>
      </c>
      <c r="D64" s="196" t="s">
        <v>23</v>
      </c>
      <c r="E64" s="196" t="s">
        <v>25</v>
      </c>
      <c r="F64" s="197">
        <v>6590</v>
      </c>
      <c r="G64" s="197">
        <v>6575</v>
      </c>
      <c r="H64" s="196">
        <f>6590-6575</f>
        <v>15</v>
      </c>
      <c r="I64" s="197">
        <v>100</v>
      </c>
      <c r="J64" s="268">
        <f t="shared" si="5"/>
        <v>1500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45418</v>
      </c>
      <c r="D65" s="196" t="s">
        <v>23</v>
      </c>
      <c r="E65" s="196" t="s">
        <v>939</v>
      </c>
      <c r="F65" s="222">
        <v>179</v>
      </c>
      <c r="G65" s="222">
        <v>182</v>
      </c>
      <c r="H65" s="196">
        <f>182-179</f>
        <v>3</v>
      </c>
      <c r="I65" s="197">
        <v>2000</v>
      </c>
      <c r="J65" s="268">
        <f t="shared" si="5"/>
        <v>6000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45419</v>
      </c>
      <c r="D66" s="196" t="s">
        <v>23</v>
      </c>
      <c r="E66" s="196" t="s">
        <v>25</v>
      </c>
      <c r="F66" s="222">
        <v>6570</v>
      </c>
      <c r="G66" s="222">
        <v>6540</v>
      </c>
      <c r="H66" s="196">
        <v>30</v>
      </c>
      <c r="I66" s="197">
        <v>100</v>
      </c>
      <c r="J66" s="268">
        <f t="shared" si="5"/>
        <v>3000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45419</v>
      </c>
      <c r="D67" s="196" t="s">
        <v>23</v>
      </c>
      <c r="E67" s="196" t="s">
        <v>939</v>
      </c>
      <c r="F67" s="222">
        <v>181.5</v>
      </c>
      <c r="G67" s="222">
        <v>179.5</v>
      </c>
      <c r="H67" s="222">
        <f>181.5-179.5</f>
        <v>2</v>
      </c>
      <c r="I67" s="197">
        <v>2000</v>
      </c>
      <c r="J67" s="268">
        <f t="shared" si="5"/>
        <v>4000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45420</v>
      </c>
      <c r="D68" s="196" t="s">
        <v>23</v>
      </c>
      <c r="E68" s="196" t="s">
        <v>25</v>
      </c>
      <c r="F68" s="197">
        <v>6455</v>
      </c>
      <c r="G68" s="197">
        <v>6434</v>
      </c>
      <c r="H68" s="196">
        <f>6455-6434</f>
        <v>21</v>
      </c>
      <c r="I68" s="197">
        <v>100</v>
      </c>
      <c r="J68" s="268">
        <f t="shared" si="5"/>
        <v>2100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45420</v>
      </c>
      <c r="D69" s="196" t="s">
        <v>23</v>
      </c>
      <c r="E69" s="196" t="s">
        <v>939</v>
      </c>
      <c r="F69" s="222">
        <v>185.5</v>
      </c>
      <c r="G69" s="222">
        <v>188.5</v>
      </c>
      <c r="H69" s="222">
        <v>-3</v>
      </c>
      <c r="I69" s="197">
        <v>2000</v>
      </c>
      <c r="J69" s="268">
        <f t="shared" si="5"/>
        <v>-6000</v>
      </c>
      <c r="K69" s="185"/>
      <c r="V69" s="183">
        <f t="shared" si="6"/>
        <v>0</v>
      </c>
      <c r="W69" s="183">
        <f t="shared" si="7"/>
        <v>1</v>
      </c>
    </row>
    <row r="70" spans="1:23" x14ac:dyDescent="0.3">
      <c r="A70" s="184"/>
      <c r="B70" s="194">
        <v>11</v>
      </c>
      <c r="C70" s="195">
        <v>45421</v>
      </c>
      <c r="D70" s="196" t="s">
        <v>23</v>
      </c>
      <c r="E70" s="196" t="s">
        <v>25</v>
      </c>
      <c r="F70" s="197">
        <v>6655</v>
      </c>
      <c r="G70" s="222">
        <v>6643</v>
      </c>
      <c r="H70" s="196">
        <f>6655-6643</f>
        <v>12</v>
      </c>
      <c r="I70" s="197">
        <v>100</v>
      </c>
      <c r="J70" s="268">
        <f t="shared" si="5"/>
        <v>1200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45421</v>
      </c>
      <c r="D71" s="196" t="s">
        <v>23</v>
      </c>
      <c r="E71" s="196" t="s">
        <v>939</v>
      </c>
      <c r="F71" s="222">
        <v>183</v>
      </c>
      <c r="G71" s="222">
        <v>180.7</v>
      </c>
      <c r="H71" s="222">
        <f>183-180.7</f>
        <v>2.3000000000000114</v>
      </c>
      <c r="I71" s="197">
        <v>2000</v>
      </c>
      <c r="J71" s="268">
        <f t="shared" si="5"/>
        <v>4600.0000000000227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45422</v>
      </c>
      <c r="D72" s="196" t="s">
        <v>23</v>
      </c>
      <c r="E72" s="196" t="s">
        <v>25</v>
      </c>
      <c r="F72" s="197">
        <v>6660</v>
      </c>
      <c r="G72" s="222">
        <v>6635</v>
      </c>
      <c r="H72" s="196">
        <f>6660-6635</f>
        <v>25</v>
      </c>
      <c r="I72" s="197">
        <v>100</v>
      </c>
      <c r="J72" s="268">
        <f t="shared" si="5"/>
        <v>2500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45422</v>
      </c>
      <c r="D73" s="196" t="s">
        <v>23</v>
      </c>
      <c r="E73" s="196" t="s">
        <v>939</v>
      </c>
      <c r="F73" s="222">
        <v>194</v>
      </c>
      <c r="G73" s="222">
        <v>191</v>
      </c>
      <c r="H73" s="196">
        <v>3</v>
      </c>
      <c r="I73" s="197">
        <v>2000</v>
      </c>
      <c r="J73" s="268">
        <f t="shared" si="5"/>
        <v>6000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45425</v>
      </c>
      <c r="D74" s="196" t="s">
        <v>23</v>
      </c>
      <c r="E74" s="196" t="s">
        <v>25</v>
      </c>
      <c r="F74" s="197">
        <v>6570</v>
      </c>
      <c r="G74" s="222">
        <v>6550</v>
      </c>
      <c r="H74" s="196">
        <v>20</v>
      </c>
      <c r="I74" s="197">
        <v>100</v>
      </c>
      <c r="J74" s="268">
        <f t="shared" si="5"/>
        <v>2000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45425</v>
      </c>
      <c r="D75" s="196" t="s">
        <v>23</v>
      </c>
      <c r="E75" s="196" t="s">
        <v>939</v>
      </c>
      <c r="F75" s="197">
        <v>192</v>
      </c>
      <c r="G75" s="222">
        <v>189</v>
      </c>
      <c r="H75" s="196">
        <v>3</v>
      </c>
      <c r="I75" s="197">
        <v>2000</v>
      </c>
      <c r="J75" s="268">
        <f t="shared" si="5"/>
        <v>6000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45426</v>
      </c>
      <c r="D76" s="196" t="s">
        <v>23</v>
      </c>
      <c r="E76" s="196" t="s">
        <v>25</v>
      </c>
      <c r="F76" s="197">
        <v>6595</v>
      </c>
      <c r="G76" s="197">
        <v>6530</v>
      </c>
      <c r="H76" s="196">
        <v>65</v>
      </c>
      <c r="I76" s="197">
        <v>100</v>
      </c>
      <c r="J76" s="268">
        <f t="shared" si="5"/>
        <v>6500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45426</v>
      </c>
      <c r="D77" s="196" t="s">
        <v>23</v>
      </c>
      <c r="E77" s="196" t="s">
        <v>939</v>
      </c>
      <c r="F77" s="222">
        <v>195</v>
      </c>
      <c r="G77" s="222">
        <v>193.5</v>
      </c>
      <c r="H77" s="222">
        <f>195-193.5</f>
        <v>1.5</v>
      </c>
      <c r="I77" s="197">
        <v>2000</v>
      </c>
      <c r="J77" s="268">
        <f t="shared" si="5"/>
        <v>3000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45427</v>
      </c>
      <c r="D78" s="196" t="s">
        <v>23</v>
      </c>
      <c r="E78" s="196" t="s">
        <v>25</v>
      </c>
      <c r="F78" s="197">
        <v>6560</v>
      </c>
      <c r="G78" s="197">
        <v>6490</v>
      </c>
      <c r="H78" s="196">
        <f>6560-6490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45427</v>
      </c>
      <c r="D79" s="196" t="s">
        <v>23</v>
      </c>
      <c r="E79" s="196" t="s">
        <v>939</v>
      </c>
      <c r="F79" s="197">
        <v>197.5</v>
      </c>
      <c r="G79" s="197">
        <v>196.4</v>
      </c>
      <c r="H79" s="196">
        <v>2</v>
      </c>
      <c r="I79" s="197">
        <v>2000</v>
      </c>
      <c r="J79" s="268">
        <f t="shared" si="5"/>
        <v>4000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45428</v>
      </c>
      <c r="D80" s="196" t="s">
        <v>23</v>
      </c>
      <c r="E80" s="196" t="s">
        <v>25</v>
      </c>
      <c r="F80" s="197">
        <v>6585</v>
      </c>
      <c r="G80" s="197">
        <v>6530</v>
      </c>
      <c r="H80" s="196">
        <f>6585-6530</f>
        <v>55</v>
      </c>
      <c r="I80" s="197">
        <v>100</v>
      </c>
      <c r="J80" s="268">
        <f t="shared" si="5"/>
        <v>5500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45428</v>
      </c>
      <c r="D81" s="196" t="s">
        <v>23</v>
      </c>
      <c r="E81" s="196" t="s">
        <v>939</v>
      </c>
      <c r="F81" s="197">
        <v>201</v>
      </c>
      <c r="G81" s="197">
        <v>200</v>
      </c>
      <c r="H81" s="196">
        <v>1</v>
      </c>
      <c r="I81" s="197">
        <v>2000</v>
      </c>
      <c r="J81" s="268">
        <f t="shared" si="5"/>
        <v>2000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45429</v>
      </c>
      <c r="D82" s="196" t="s">
        <v>23</v>
      </c>
      <c r="E82" s="196" t="s">
        <v>25</v>
      </c>
      <c r="F82" s="197">
        <v>6610</v>
      </c>
      <c r="G82" s="197">
        <v>6590</v>
      </c>
      <c r="H82" s="196">
        <f>6610-6590</f>
        <v>20</v>
      </c>
      <c r="I82" s="197">
        <v>100</v>
      </c>
      <c r="J82" s="268">
        <f t="shared" si="5"/>
        <v>2000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45429</v>
      </c>
      <c r="D83" s="196" t="s">
        <v>23</v>
      </c>
      <c r="E83" s="196" t="s">
        <v>939</v>
      </c>
      <c r="F83" s="197">
        <v>210</v>
      </c>
      <c r="G83" s="222">
        <v>208</v>
      </c>
      <c r="H83" s="222">
        <v>2</v>
      </c>
      <c r="I83" s="197">
        <v>2000</v>
      </c>
      <c r="J83" s="268">
        <f t="shared" si="5"/>
        <v>4000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184"/>
      <c r="B84" s="194">
        <v>25</v>
      </c>
      <c r="C84" s="195">
        <v>45433</v>
      </c>
      <c r="D84" s="196" t="s">
        <v>23</v>
      </c>
      <c r="E84" s="196" t="s">
        <v>25</v>
      </c>
      <c r="F84" s="197">
        <v>6560</v>
      </c>
      <c r="G84" s="222">
        <v>6490</v>
      </c>
      <c r="H84" s="222">
        <v>30</v>
      </c>
      <c r="I84" s="197">
        <v>100</v>
      </c>
      <c r="J84" s="268">
        <f t="shared" si="5"/>
        <v>3000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45433</v>
      </c>
      <c r="D85" s="196" t="s">
        <v>23</v>
      </c>
      <c r="E85" s="196" t="s">
        <v>939</v>
      </c>
      <c r="F85" s="222">
        <v>230.5</v>
      </c>
      <c r="G85" s="222">
        <v>224.5</v>
      </c>
      <c r="H85" s="196">
        <f>230.5-224.5</f>
        <v>6</v>
      </c>
      <c r="I85" s="197">
        <v>2000</v>
      </c>
      <c r="J85" s="268">
        <f t="shared" si="5"/>
        <v>12000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45434</v>
      </c>
      <c r="D86" s="196" t="s">
        <v>23</v>
      </c>
      <c r="E86" s="196" t="s">
        <v>25</v>
      </c>
      <c r="F86" s="197">
        <v>6480</v>
      </c>
      <c r="G86" s="197">
        <v>6455</v>
      </c>
      <c r="H86" s="196">
        <f>6480-6455</f>
        <v>25</v>
      </c>
      <c r="I86" s="197">
        <v>100</v>
      </c>
      <c r="J86" s="268">
        <f t="shared" si="5"/>
        <v>2500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45434</v>
      </c>
      <c r="D87" s="196" t="s">
        <v>23</v>
      </c>
      <c r="E87" s="196" t="s">
        <v>939</v>
      </c>
      <c r="F87" s="197">
        <v>220</v>
      </c>
      <c r="G87" s="222">
        <v>219</v>
      </c>
      <c r="H87" s="222">
        <v>1</v>
      </c>
      <c r="I87" s="197">
        <v>2000</v>
      </c>
      <c r="J87" s="268">
        <f t="shared" si="5"/>
        <v>2000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45435</v>
      </c>
      <c r="D88" s="196" t="s">
        <v>23</v>
      </c>
      <c r="E88" s="196" t="s">
        <v>25</v>
      </c>
      <c r="F88" s="197">
        <v>6480</v>
      </c>
      <c r="G88" s="197">
        <v>6530</v>
      </c>
      <c r="H88" s="196">
        <v>-40</v>
      </c>
      <c r="I88" s="197">
        <v>100</v>
      </c>
      <c r="J88" s="268">
        <f t="shared" si="5"/>
        <v>-4000</v>
      </c>
      <c r="K88" s="185"/>
      <c r="V88" s="183">
        <f t="shared" si="6"/>
        <v>0</v>
      </c>
      <c r="W88" s="183">
        <f t="shared" si="7"/>
        <v>1</v>
      </c>
    </row>
    <row r="89" spans="1:23" x14ac:dyDescent="0.3">
      <c r="A89" s="184"/>
      <c r="B89" s="194">
        <v>30</v>
      </c>
      <c r="C89" s="195">
        <v>45435</v>
      </c>
      <c r="D89" s="196" t="s">
        <v>23</v>
      </c>
      <c r="E89" s="196" t="s">
        <v>939</v>
      </c>
      <c r="F89" s="222">
        <v>233</v>
      </c>
      <c r="G89" s="222">
        <v>236</v>
      </c>
      <c r="H89" s="196">
        <v>-3</v>
      </c>
      <c r="I89" s="197">
        <v>2000</v>
      </c>
      <c r="J89" s="268">
        <f t="shared" si="5"/>
        <v>-6000</v>
      </c>
      <c r="K89" s="185"/>
      <c r="V89" s="183">
        <f t="shared" si="6"/>
        <v>0</v>
      </c>
      <c r="W89" s="183">
        <f t="shared" si="7"/>
        <v>1</v>
      </c>
    </row>
    <row r="90" spans="1:23" x14ac:dyDescent="0.3">
      <c r="A90" s="184"/>
      <c r="B90" s="194">
        <v>31</v>
      </c>
      <c r="C90" s="195">
        <v>45436</v>
      </c>
      <c r="D90" s="196" t="s">
        <v>23</v>
      </c>
      <c r="E90" s="196" t="s">
        <v>25</v>
      </c>
      <c r="F90" s="197">
        <v>6375</v>
      </c>
      <c r="G90" s="197">
        <v>6350</v>
      </c>
      <c r="H90" s="196">
        <v>25</v>
      </c>
      <c r="I90" s="197">
        <v>100</v>
      </c>
      <c r="J90" s="268">
        <f t="shared" si="5"/>
        <v>2500</v>
      </c>
      <c r="K90" s="185"/>
      <c r="V90" s="183">
        <f t="shared" si="6"/>
        <v>1</v>
      </c>
      <c r="W90" s="183">
        <f t="shared" si="7"/>
        <v>0</v>
      </c>
    </row>
    <row r="91" spans="1:23" x14ac:dyDescent="0.3">
      <c r="A91" s="184"/>
      <c r="B91" s="194">
        <v>32</v>
      </c>
      <c r="C91" s="195">
        <v>45436</v>
      </c>
      <c r="D91" s="196" t="s">
        <v>23</v>
      </c>
      <c r="E91" s="196" t="s">
        <v>939</v>
      </c>
      <c r="F91" s="197">
        <v>223</v>
      </c>
      <c r="G91" s="222">
        <v>217</v>
      </c>
      <c r="H91" s="222">
        <v>6</v>
      </c>
      <c r="I91" s="197">
        <v>2000</v>
      </c>
      <c r="J91" s="268">
        <f t="shared" si="5"/>
        <v>12000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45439</v>
      </c>
      <c r="D92" s="196" t="s">
        <v>23</v>
      </c>
      <c r="E92" s="196" t="s">
        <v>25</v>
      </c>
      <c r="F92" s="197">
        <v>6480</v>
      </c>
      <c r="G92" s="197">
        <v>6530</v>
      </c>
      <c r="H92" s="196">
        <v>-40</v>
      </c>
      <c r="I92" s="197">
        <v>100</v>
      </c>
      <c r="J92" s="268">
        <f t="shared" si="5"/>
        <v>-4000</v>
      </c>
      <c r="K92" s="185"/>
      <c r="V92" s="183">
        <f t="shared" si="6"/>
        <v>0</v>
      </c>
      <c r="W92" s="183">
        <f t="shared" si="7"/>
        <v>1</v>
      </c>
    </row>
    <row r="93" spans="1:23" x14ac:dyDescent="0.3">
      <c r="A93" s="184"/>
      <c r="B93" s="194">
        <v>34</v>
      </c>
      <c r="C93" s="195">
        <v>45439</v>
      </c>
      <c r="D93" s="196" t="s">
        <v>23</v>
      </c>
      <c r="E93" s="196" t="s">
        <v>939</v>
      </c>
      <c r="F93" s="222">
        <v>210</v>
      </c>
      <c r="G93" s="222">
        <v>208.8</v>
      </c>
      <c r="H93" s="222">
        <f>210-208.8</f>
        <v>1.1999999999999886</v>
      </c>
      <c r="I93" s="197">
        <v>2000</v>
      </c>
      <c r="J93" s="268">
        <f t="shared" si="5"/>
        <v>2399.9999999999773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45440</v>
      </c>
      <c r="D94" s="196" t="s">
        <v>23</v>
      </c>
      <c r="E94" s="196" t="s">
        <v>25</v>
      </c>
      <c r="F94" s="197">
        <v>6570</v>
      </c>
      <c r="G94" s="197">
        <v>6610</v>
      </c>
      <c r="H94" s="196">
        <v>-40</v>
      </c>
      <c r="I94" s="197">
        <v>100</v>
      </c>
      <c r="J94" s="268">
        <f t="shared" si="5"/>
        <v>-4000</v>
      </c>
      <c r="K94" s="185"/>
      <c r="V94" s="183">
        <f t="shared" si="6"/>
        <v>0</v>
      </c>
      <c r="W94" s="183">
        <f t="shared" si="7"/>
        <v>1</v>
      </c>
    </row>
    <row r="95" spans="1:23" x14ac:dyDescent="0.3">
      <c r="A95" s="184"/>
      <c r="B95" s="194">
        <v>36</v>
      </c>
      <c r="C95" s="195">
        <v>45440</v>
      </c>
      <c r="D95" s="196" t="s">
        <v>23</v>
      </c>
      <c r="E95" s="196" t="s">
        <v>939</v>
      </c>
      <c r="F95" s="197">
        <v>209</v>
      </c>
      <c r="G95" s="197">
        <v>208</v>
      </c>
      <c r="H95" s="196">
        <v>-1</v>
      </c>
      <c r="I95" s="197">
        <v>2000</v>
      </c>
      <c r="J95" s="268">
        <f t="shared" si="5"/>
        <v>-2000</v>
      </c>
      <c r="K95" s="185"/>
      <c r="V95" s="183">
        <f t="shared" si="6"/>
        <v>0</v>
      </c>
      <c r="W95" s="183">
        <f t="shared" si="7"/>
        <v>1</v>
      </c>
    </row>
    <row r="96" spans="1:23" x14ac:dyDescent="0.3">
      <c r="A96" s="184"/>
      <c r="B96" s="194">
        <v>37</v>
      </c>
      <c r="C96" s="195">
        <v>45441</v>
      </c>
      <c r="D96" s="196" t="s">
        <v>23</v>
      </c>
      <c r="E96" s="196" t="s">
        <v>25</v>
      </c>
      <c r="F96" s="197">
        <v>6700</v>
      </c>
      <c r="G96" s="197">
        <v>6665</v>
      </c>
      <c r="H96" s="196">
        <f>6700-6665</f>
        <v>35</v>
      </c>
      <c r="I96" s="197">
        <v>100</v>
      </c>
      <c r="J96" s="268">
        <f t="shared" si="5"/>
        <v>3500</v>
      </c>
      <c r="K96" s="185"/>
      <c r="V96" s="183">
        <f t="shared" si="6"/>
        <v>1</v>
      </c>
      <c r="W96" s="183">
        <f t="shared" si="7"/>
        <v>0</v>
      </c>
    </row>
    <row r="97" spans="1:23" x14ac:dyDescent="0.3">
      <c r="A97" s="255"/>
      <c r="B97" s="194">
        <v>38</v>
      </c>
      <c r="C97" s="195">
        <v>45441</v>
      </c>
      <c r="D97" s="196" t="s">
        <v>23</v>
      </c>
      <c r="E97" s="196" t="s">
        <v>939</v>
      </c>
      <c r="F97" s="197">
        <v>236</v>
      </c>
      <c r="G97" s="197">
        <v>231.1</v>
      </c>
      <c r="H97" s="196">
        <f>236-231.1</f>
        <v>4.9000000000000057</v>
      </c>
      <c r="I97" s="197">
        <v>2000</v>
      </c>
      <c r="J97" s="268">
        <f t="shared" si="5"/>
        <v>9800.0000000000109</v>
      </c>
      <c r="K97" s="185"/>
      <c r="V97" s="183">
        <f t="shared" si="6"/>
        <v>1</v>
      </c>
      <c r="W97" s="183">
        <f t="shared" si="7"/>
        <v>0</v>
      </c>
    </row>
    <row r="98" spans="1:23" x14ac:dyDescent="0.3">
      <c r="A98" s="184"/>
      <c r="B98" s="194">
        <v>39</v>
      </c>
      <c r="C98" s="195">
        <v>45442</v>
      </c>
      <c r="D98" s="196" t="s">
        <v>23</v>
      </c>
      <c r="E98" s="196" t="s">
        <v>25</v>
      </c>
      <c r="F98" s="197">
        <v>6600</v>
      </c>
      <c r="G98" s="222">
        <v>6573</v>
      </c>
      <c r="H98" s="196">
        <f>6600-6573</f>
        <v>27</v>
      </c>
      <c r="I98" s="197">
        <v>100</v>
      </c>
      <c r="J98" s="268">
        <f t="shared" si="5"/>
        <v>2700</v>
      </c>
      <c r="K98" s="185"/>
      <c r="V98" s="183">
        <f t="shared" si="6"/>
        <v>1</v>
      </c>
      <c r="W98" s="183">
        <f t="shared" si="7"/>
        <v>0</v>
      </c>
    </row>
    <row r="99" spans="1:23" x14ac:dyDescent="0.3">
      <c r="A99" s="184"/>
      <c r="B99" s="194">
        <v>40</v>
      </c>
      <c r="C99" s="195">
        <v>45442</v>
      </c>
      <c r="D99" s="196" t="s">
        <v>23</v>
      </c>
      <c r="E99" s="196" t="s">
        <v>939</v>
      </c>
      <c r="F99" s="222">
        <v>222</v>
      </c>
      <c r="G99" s="222">
        <v>219</v>
      </c>
      <c r="H99" s="222">
        <v>3</v>
      </c>
      <c r="I99" s="197">
        <v>2000</v>
      </c>
      <c r="J99" s="268">
        <f t="shared" si="5"/>
        <v>6000</v>
      </c>
      <c r="K99" s="185"/>
      <c r="V99" s="183">
        <f t="shared" si="6"/>
        <v>1</v>
      </c>
      <c r="W99" s="183">
        <f t="shared" si="7"/>
        <v>0</v>
      </c>
    </row>
    <row r="100" spans="1:23" x14ac:dyDescent="0.3">
      <c r="A100" s="184"/>
      <c r="B100" s="194">
        <v>41</v>
      </c>
      <c r="C100" s="195">
        <v>45443</v>
      </c>
      <c r="D100" s="196" t="s">
        <v>23</v>
      </c>
      <c r="E100" s="196" t="s">
        <v>25</v>
      </c>
      <c r="F100" s="197">
        <v>6495</v>
      </c>
      <c r="G100" s="197">
        <v>6485</v>
      </c>
      <c r="H100" s="196">
        <v>10</v>
      </c>
      <c r="I100" s="197">
        <v>100</v>
      </c>
      <c r="J100" s="268">
        <f t="shared" si="5"/>
        <v>1000</v>
      </c>
      <c r="K100" s="185"/>
      <c r="V100" s="183">
        <f t="shared" si="6"/>
        <v>1</v>
      </c>
      <c r="W100" s="183">
        <f t="shared" si="7"/>
        <v>0</v>
      </c>
    </row>
    <row r="101" spans="1:23" x14ac:dyDescent="0.3">
      <c r="A101" s="184"/>
      <c r="B101" s="194">
        <v>42</v>
      </c>
      <c r="C101" s="195">
        <v>45443</v>
      </c>
      <c r="D101" s="196" t="s">
        <v>23</v>
      </c>
      <c r="E101" s="196" t="s">
        <v>939</v>
      </c>
      <c r="F101" s="197">
        <v>214</v>
      </c>
      <c r="G101" s="197">
        <v>217</v>
      </c>
      <c r="H101" s="196">
        <v>3</v>
      </c>
      <c r="I101" s="197">
        <v>2000</v>
      </c>
      <c r="J101" s="268">
        <f t="shared" si="5"/>
        <v>6000</v>
      </c>
      <c r="K101" s="185"/>
      <c r="V101" s="183">
        <f t="shared" si="6"/>
        <v>1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8" t="s">
        <v>879</v>
      </c>
      <c r="C103" s="305"/>
      <c r="D103" s="305"/>
      <c r="E103" s="305"/>
      <c r="F103" s="305"/>
      <c r="G103" s="305"/>
      <c r="H103" s="306"/>
      <c r="I103" s="203" t="s">
        <v>880</v>
      </c>
      <c r="J103" s="204">
        <f>SUM(J60:J102)</f>
        <v>124600</v>
      </c>
      <c r="K103" s="185"/>
      <c r="V103" s="183">
        <f>SUM(V60:V102)</f>
        <v>36</v>
      </c>
      <c r="W103" s="183">
        <f>SUM(W60:W102)</f>
        <v>6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07" t="s">
        <v>873</v>
      </c>
      <c r="C107" s="308"/>
      <c r="D107" s="308"/>
      <c r="E107" s="308"/>
      <c r="F107" s="308"/>
      <c r="G107" s="308"/>
      <c r="H107" s="308"/>
      <c r="I107" s="308"/>
      <c r="J107" s="309"/>
      <c r="K107" s="185"/>
    </row>
    <row r="108" spans="1:23" ht="16.2" thickBot="1" x14ac:dyDescent="0.35">
      <c r="A108" s="184"/>
      <c r="B108" s="310">
        <v>45413</v>
      </c>
      <c r="C108" s="311"/>
      <c r="D108" s="311"/>
      <c r="E108" s="311"/>
      <c r="F108" s="311"/>
      <c r="G108" s="311"/>
      <c r="H108" s="311"/>
      <c r="I108" s="311"/>
      <c r="J108" s="312"/>
      <c r="K108" s="185"/>
    </row>
    <row r="109" spans="1:23" ht="16.2" thickBot="1" x14ac:dyDescent="0.35">
      <c r="A109" s="184"/>
      <c r="B109" s="313" t="s">
        <v>882</v>
      </c>
      <c r="C109" s="314"/>
      <c r="D109" s="314"/>
      <c r="E109" s="314"/>
      <c r="F109" s="314"/>
      <c r="G109" s="314"/>
      <c r="H109" s="314"/>
      <c r="I109" s="314"/>
      <c r="J109" s="315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45414</v>
      </c>
      <c r="D111" s="216" t="s">
        <v>23</v>
      </c>
      <c r="E111" s="256" t="s">
        <v>28</v>
      </c>
      <c r="F111" s="256">
        <v>256.5</v>
      </c>
      <c r="G111" s="256">
        <v>254.5</v>
      </c>
      <c r="H111" s="256">
        <v>2</v>
      </c>
      <c r="I111" s="218">
        <v>5000</v>
      </c>
      <c r="J111" s="273">
        <f>I111*H111</f>
        <v>10000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</v>
      </c>
      <c r="C112" s="195">
        <v>45415</v>
      </c>
      <c r="D112" s="196" t="s">
        <v>23</v>
      </c>
      <c r="E112" s="222" t="s">
        <v>28</v>
      </c>
      <c r="F112" s="222">
        <v>257.8</v>
      </c>
      <c r="G112" s="222">
        <v>255.8</v>
      </c>
      <c r="H112" s="222">
        <v>2</v>
      </c>
      <c r="I112" s="197">
        <v>5000</v>
      </c>
      <c r="J112" s="268">
        <f t="shared" ref="J112:J137" si="8">I112*H112</f>
        <v>10000</v>
      </c>
      <c r="K112" s="185"/>
      <c r="V112" s="183">
        <f t="shared" ref="V112:V136" si="9">IF($J112&gt;0,1,0)</f>
        <v>1</v>
      </c>
      <c r="W112" s="183">
        <f t="shared" ref="W112:W136" si="10">IF($J112&lt;0,1,0)</f>
        <v>0</v>
      </c>
    </row>
    <row r="113" spans="1:23" x14ac:dyDescent="0.3">
      <c r="A113" s="184"/>
      <c r="B113" s="194">
        <v>3</v>
      </c>
      <c r="C113" s="195">
        <v>45418</v>
      </c>
      <c r="D113" s="196" t="s">
        <v>23</v>
      </c>
      <c r="E113" s="222" t="s">
        <v>28</v>
      </c>
      <c r="F113" s="222">
        <v>259.3</v>
      </c>
      <c r="G113" s="222">
        <v>258.3</v>
      </c>
      <c r="H113" s="222">
        <v>1</v>
      </c>
      <c r="I113" s="197">
        <v>5000</v>
      </c>
      <c r="J113" s="268">
        <f t="shared" si="8"/>
        <v>5000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45419</v>
      </c>
      <c r="D114" s="196" t="s">
        <v>23</v>
      </c>
      <c r="E114" s="222" t="s">
        <v>28</v>
      </c>
      <c r="F114" s="222">
        <v>259.39999999999998</v>
      </c>
      <c r="G114" s="222">
        <v>258.89999999999998</v>
      </c>
      <c r="H114" s="222">
        <f>259.4-258.9</f>
        <v>0.5</v>
      </c>
      <c r="I114" s="197">
        <v>5000</v>
      </c>
      <c r="J114" s="268">
        <f t="shared" si="8"/>
        <v>2500</v>
      </c>
      <c r="K114" s="185"/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5</v>
      </c>
      <c r="C115" s="195">
        <v>45420</v>
      </c>
      <c r="D115" s="196" t="s">
        <v>23</v>
      </c>
      <c r="E115" s="222" t="s">
        <v>28</v>
      </c>
      <c r="F115" s="222">
        <v>257.5</v>
      </c>
      <c r="G115" s="222">
        <v>255.3</v>
      </c>
      <c r="H115" s="222">
        <f>256.2-255.3</f>
        <v>0.89999999999997726</v>
      </c>
      <c r="I115" s="197">
        <v>5000</v>
      </c>
      <c r="J115" s="268">
        <f t="shared" si="8"/>
        <v>4499.9999999998863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6</v>
      </c>
      <c r="C116" s="195">
        <v>45421</v>
      </c>
      <c r="D116" s="196" t="s">
        <v>23</v>
      </c>
      <c r="E116" s="222" t="s">
        <v>28</v>
      </c>
      <c r="F116" s="222">
        <v>256.2</v>
      </c>
      <c r="G116" s="222">
        <v>255.3</v>
      </c>
      <c r="H116" s="222">
        <f>256.2-255.3</f>
        <v>0.89999999999997726</v>
      </c>
      <c r="I116" s="197">
        <v>5000</v>
      </c>
      <c r="J116" s="268">
        <f t="shared" si="8"/>
        <v>4499.9999999998863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45422</v>
      </c>
      <c r="D117" s="196" t="s">
        <v>23</v>
      </c>
      <c r="E117" s="222" t="s">
        <v>28</v>
      </c>
      <c r="F117" s="222">
        <v>261.2</v>
      </c>
      <c r="G117" s="222">
        <v>260.75</v>
      </c>
      <c r="H117" s="274">
        <f>261.2-260.75</f>
        <v>0.44999999999998863</v>
      </c>
      <c r="I117" s="197">
        <v>5000</v>
      </c>
      <c r="J117" s="268">
        <f t="shared" si="8"/>
        <v>2249.9999999999432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8</v>
      </c>
      <c r="C118" s="195">
        <v>45425</v>
      </c>
      <c r="D118" s="196" t="s">
        <v>23</v>
      </c>
      <c r="E118" s="222" t="s">
        <v>28</v>
      </c>
      <c r="F118" s="222">
        <v>263</v>
      </c>
      <c r="G118" s="222">
        <v>262</v>
      </c>
      <c r="H118" s="222">
        <v>1</v>
      </c>
      <c r="I118" s="197">
        <v>5000</v>
      </c>
      <c r="J118" s="268">
        <f t="shared" si="8"/>
        <v>5000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45426</v>
      </c>
      <c r="D119" s="196" t="s">
        <v>23</v>
      </c>
      <c r="E119" s="222" t="s">
        <v>28</v>
      </c>
      <c r="F119" s="222">
        <v>264.5</v>
      </c>
      <c r="G119" s="222">
        <v>263</v>
      </c>
      <c r="H119" s="222">
        <v>1.5</v>
      </c>
      <c r="I119" s="197">
        <v>5000</v>
      </c>
      <c r="J119" s="268">
        <f t="shared" si="8"/>
        <v>7500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45427</v>
      </c>
      <c r="D120" s="196" t="s">
        <v>23</v>
      </c>
      <c r="E120" s="222" t="s">
        <v>28</v>
      </c>
      <c r="F120" s="222">
        <v>265</v>
      </c>
      <c r="G120" s="222">
        <v>263.35000000000002</v>
      </c>
      <c r="H120" s="222">
        <f>265-263.35</f>
        <v>1.6499999999999773</v>
      </c>
      <c r="I120" s="197">
        <v>5000</v>
      </c>
      <c r="J120" s="268">
        <f t="shared" si="8"/>
        <v>8249.9999999998872</v>
      </c>
      <c r="K120" s="185"/>
      <c r="V120" s="183">
        <f t="shared" si="9"/>
        <v>1</v>
      </c>
      <c r="W120" s="183">
        <f t="shared" si="10"/>
        <v>0</v>
      </c>
    </row>
    <row r="121" spans="1:23" x14ac:dyDescent="0.3">
      <c r="A121" s="184"/>
      <c r="B121" s="194">
        <v>11</v>
      </c>
      <c r="C121" s="195">
        <v>45428</v>
      </c>
      <c r="D121" s="196" t="s">
        <v>23</v>
      </c>
      <c r="E121" s="222" t="s">
        <v>28</v>
      </c>
      <c r="F121" s="222">
        <v>262</v>
      </c>
      <c r="G121" s="222">
        <v>261</v>
      </c>
      <c r="H121" s="274">
        <v>1</v>
      </c>
      <c r="I121" s="197">
        <v>5000</v>
      </c>
      <c r="J121" s="268">
        <f t="shared" si="8"/>
        <v>5000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45429</v>
      </c>
      <c r="D122" s="196" t="s">
        <v>23</v>
      </c>
      <c r="E122" s="222" t="s">
        <v>28</v>
      </c>
      <c r="F122" s="222">
        <v>261.5</v>
      </c>
      <c r="G122" s="222">
        <v>260.5</v>
      </c>
      <c r="H122" s="274">
        <v>1</v>
      </c>
      <c r="I122" s="197">
        <v>5000</v>
      </c>
      <c r="J122" s="268">
        <f t="shared" si="8"/>
        <v>5000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45433</v>
      </c>
      <c r="D123" s="196" t="s">
        <v>23</v>
      </c>
      <c r="E123" s="222" t="s">
        <v>28</v>
      </c>
      <c r="F123" s="222">
        <v>275.8</v>
      </c>
      <c r="G123" s="222">
        <v>275</v>
      </c>
      <c r="H123" s="274">
        <v>0.8</v>
      </c>
      <c r="I123" s="197">
        <v>5000</v>
      </c>
      <c r="J123" s="268">
        <f t="shared" si="8"/>
        <v>4000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45434</v>
      </c>
      <c r="D124" s="196" t="s">
        <v>23</v>
      </c>
      <c r="E124" s="222" t="s">
        <v>28</v>
      </c>
      <c r="F124" s="222">
        <v>276.3</v>
      </c>
      <c r="G124" s="222">
        <v>274.3</v>
      </c>
      <c r="H124" s="274">
        <v>2</v>
      </c>
      <c r="I124" s="197">
        <v>5000</v>
      </c>
      <c r="J124" s="268">
        <f t="shared" si="8"/>
        <v>10000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45435</v>
      </c>
      <c r="D125" s="196" t="s">
        <v>23</v>
      </c>
      <c r="E125" s="196" t="s">
        <v>28</v>
      </c>
      <c r="F125" s="222">
        <v>268</v>
      </c>
      <c r="G125" s="222">
        <v>269</v>
      </c>
      <c r="H125" s="222">
        <v>-1</v>
      </c>
      <c r="I125" s="197">
        <v>5000</v>
      </c>
      <c r="J125" s="268">
        <f t="shared" si="8"/>
        <v>-5000</v>
      </c>
      <c r="K125" s="185"/>
      <c r="V125" s="183">
        <f t="shared" si="9"/>
        <v>0</v>
      </c>
      <c r="W125" s="183">
        <f t="shared" si="10"/>
        <v>1</v>
      </c>
    </row>
    <row r="126" spans="1:23" x14ac:dyDescent="0.3">
      <c r="A126" s="184"/>
      <c r="B126" s="194">
        <v>16</v>
      </c>
      <c r="C126" s="195">
        <v>45436</v>
      </c>
      <c r="D126" s="196" t="s">
        <v>23</v>
      </c>
      <c r="E126" s="196" t="s">
        <v>28</v>
      </c>
      <c r="F126" s="222">
        <v>273.2</v>
      </c>
      <c r="G126" s="222">
        <v>272.75</v>
      </c>
      <c r="H126" s="222">
        <f>273.2-272.75</f>
        <v>0.44999999999998863</v>
      </c>
      <c r="I126" s="197">
        <v>5000</v>
      </c>
      <c r="J126" s="268">
        <f t="shared" si="8"/>
        <v>2249.9999999999432</v>
      </c>
      <c r="K126" s="185"/>
      <c r="V126" s="183">
        <f t="shared" si="9"/>
        <v>1</v>
      </c>
      <c r="W126" s="183">
        <f t="shared" si="10"/>
        <v>0</v>
      </c>
    </row>
    <row r="127" spans="1:23" x14ac:dyDescent="0.3">
      <c r="A127" s="184"/>
      <c r="B127" s="194">
        <v>17</v>
      </c>
      <c r="C127" s="195">
        <v>45439</v>
      </c>
      <c r="D127" s="196" t="s">
        <v>23</v>
      </c>
      <c r="E127" s="196" t="s">
        <v>28</v>
      </c>
      <c r="F127" s="222">
        <v>273</v>
      </c>
      <c r="G127" s="274">
        <v>272.39999999999998</v>
      </c>
      <c r="H127" s="274">
        <f>273-272.4</f>
        <v>0.60000000000002274</v>
      </c>
      <c r="I127" s="197">
        <v>5000</v>
      </c>
      <c r="J127" s="268">
        <f t="shared" si="8"/>
        <v>3000.0000000001137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45440</v>
      </c>
      <c r="D128" s="196" t="s">
        <v>23</v>
      </c>
      <c r="E128" s="196" t="s">
        <v>28</v>
      </c>
      <c r="F128" s="222">
        <v>275.7</v>
      </c>
      <c r="G128" s="222">
        <v>275</v>
      </c>
      <c r="H128" s="274">
        <v>0.7</v>
      </c>
      <c r="I128" s="197">
        <v>5000</v>
      </c>
      <c r="J128" s="268">
        <f t="shared" si="8"/>
        <v>3500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>
        <v>45441</v>
      </c>
      <c r="D129" s="196" t="s">
        <v>23</v>
      </c>
      <c r="E129" s="196" t="s">
        <v>28</v>
      </c>
      <c r="F129" s="222">
        <v>278.60000000000002</v>
      </c>
      <c r="G129" s="222">
        <v>276.55</v>
      </c>
      <c r="H129" s="274">
        <f>278.6-276.55</f>
        <v>2.0500000000000114</v>
      </c>
      <c r="I129" s="197">
        <v>5000</v>
      </c>
      <c r="J129" s="268">
        <f t="shared" si="8"/>
        <v>10250.000000000056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20</v>
      </c>
      <c r="C130" s="195">
        <v>45442</v>
      </c>
      <c r="D130" s="196" t="s">
        <v>23</v>
      </c>
      <c r="E130" s="196" t="s">
        <v>28</v>
      </c>
      <c r="F130" s="222">
        <v>270.8</v>
      </c>
      <c r="G130" s="222">
        <v>269.8</v>
      </c>
      <c r="H130" s="274">
        <v>1</v>
      </c>
      <c r="I130" s="197">
        <v>5000</v>
      </c>
      <c r="J130" s="268">
        <f t="shared" si="8"/>
        <v>5000</v>
      </c>
      <c r="K130" s="185"/>
    </row>
    <row r="131" spans="1:23" x14ac:dyDescent="0.3">
      <c r="A131" s="184"/>
      <c r="B131" s="194">
        <v>21</v>
      </c>
      <c r="C131" s="195">
        <v>45443</v>
      </c>
      <c r="D131" s="196" t="s">
        <v>23</v>
      </c>
      <c r="E131" s="196" t="s">
        <v>28</v>
      </c>
      <c r="F131" s="222">
        <v>269</v>
      </c>
      <c r="G131" s="222">
        <v>268</v>
      </c>
      <c r="H131" s="274">
        <v>1</v>
      </c>
      <c r="I131" s="197">
        <v>5000</v>
      </c>
      <c r="J131" s="268">
        <f t="shared" si="8"/>
        <v>5000</v>
      </c>
      <c r="K131" s="185"/>
    </row>
    <row r="132" spans="1:23" x14ac:dyDescent="0.3">
      <c r="A132" s="184"/>
      <c r="B132" s="194">
        <v>22</v>
      </c>
      <c r="C132" s="195"/>
      <c r="D132" s="196"/>
      <c r="E132" s="196"/>
      <c r="F132" s="222"/>
      <c r="G132" s="222"/>
      <c r="H132" s="274"/>
      <c r="I132" s="197"/>
      <c r="J132" s="268">
        <f t="shared" si="8"/>
        <v>0</v>
      </c>
      <c r="K132" s="185"/>
    </row>
    <row r="133" spans="1:23" x14ac:dyDescent="0.3">
      <c r="A133" s="184"/>
      <c r="B133" s="194">
        <v>23</v>
      </c>
      <c r="C133" s="195"/>
      <c r="D133" s="196"/>
      <c r="E133" s="196"/>
      <c r="F133" s="222"/>
      <c r="G133" s="222"/>
      <c r="H133" s="274"/>
      <c r="I133" s="197"/>
      <c r="J133" s="268">
        <f t="shared" si="8"/>
        <v>0</v>
      </c>
      <c r="K133" s="185"/>
    </row>
    <row r="134" spans="1:23" x14ac:dyDescent="0.3">
      <c r="A134" s="184"/>
      <c r="B134" s="194">
        <v>24</v>
      </c>
      <c r="C134" s="195"/>
      <c r="D134" s="196"/>
      <c r="E134" s="196"/>
      <c r="F134" s="222"/>
      <c r="G134" s="222"/>
      <c r="H134" s="274"/>
      <c r="I134" s="197"/>
      <c r="J134" s="268">
        <f t="shared" si="8"/>
        <v>0</v>
      </c>
      <c r="K134" s="185"/>
    </row>
    <row r="135" spans="1:23" x14ac:dyDescent="0.3">
      <c r="A135" s="184"/>
      <c r="B135" s="194">
        <v>25</v>
      </c>
      <c r="C135" s="195"/>
      <c r="D135" s="196"/>
      <c r="E135" s="196"/>
      <c r="F135" s="222"/>
      <c r="G135" s="222"/>
      <c r="H135" s="274"/>
      <c r="I135" s="197"/>
      <c r="J135" s="268">
        <f t="shared" si="8"/>
        <v>0</v>
      </c>
      <c r="K135" s="185"/>
      <c r="V135" s="183">
        <f t="shared" si="9"/>
        <v>0</v>
      </c>
      <c r="W135" s="183">
        <f t="shared" si="10"/>
        <v>0</v>
      </c>
    </row>
    <row r="136" spans="1:23" hidden="1" x14ac:dyDescent="0.3">
      <c r="A136" s="184"/>
      <c r="B136" s="194">
        <v>21</v>
      </c>
      <c r="C136" s="195"/>
      <c r="D136" s="196"/>
      <c r="E136" s="222"/>
      <c r="F136" s="222"/>
      <c r="G136" s="222"/>
      <c r="H136" s="274"/>
      <c r="I136" s="197"/>
      <c r="J136" s="268">
        <f t="shared" si="8"/>
        <v>0</v>
      </c>
      <c r="K136" s="185"/>
      <c r="V136" s="183">
        <f t="shared" si="9"/>
        <v>0</v>
      </c>
      <c r="W136" s="183">
        <f t="shared" si="10"/>
        <v>0</v>
      </c>
    </row>
    <row r="137" spans="1:23" hidden="1" x14ac:dyDescent="0.3">
      <c r="A137" s="184"/>
      <c r="B137" s="194">
        <v>22</v>
      </c>
      <c r="C137" s="195"/>
      <c r="D137" s="196"/>
      <c r="E137" s="222"/>
      <c r="F137" s="222"/>
      <c r="G137" s="222"/>
      <c r="H137" s="274"/>
      <c r="I137" s="197"/>
      <c r="J137" s="268">
        <f t="shared" si="8"/>
        <v>0</v>
      </c>
      <c r="K137" s="185"/>
      <c r="V137" s="183">
        <f>IF($J137&gt;0,1,0)</f>
        <v>0</v>
      </c>
      <c r="W137" s="183">
        <f>IF($J137&lt;0,1,0)</f>
        <v>0</v>
      </c>
    </row>
    <row r="138" spans="1:23" hidden="1" x14ac:dyDescent="0.3">
      <c r="A138" s="184"/>
      <c r="B138" s="194">
        <v>23</v>
      </c>
      <c r="C138" s="195"/>
      <c r="D138" s="196"/>
      <c r="E138" s="222"/>
      <c r="F138" s="222"/>
      <c r="G138" s="222"/>
      <c r="H138" s="222"/>
      <c r="I138" s="197"/>
      <c r="J138" s="268">
        <f>I138*H138</f>
        <v>0</v>
      </c>
      <c r="K138" s="185"/>
      <c r="V138" s="183">
        <f>IF($J138&gt;0,1,0)</f>
        <v>0</v>
      </c>
      <c r="W138" s="183">
        <f>IF($J138&lt;0,1,0)</f>
        <v>0</v>
      </c>
    </row>
    <row r="139" spans="1:23" ht="15" thickBot="1" x14ac:dyDescent="0.35">
      <c r="A139" s="184"/>
      <c r="B139" s="194">
        <v>26</v>
      </c>
      <c r="C139" s="220"/>
      <c r="D139" s="221"/>
      <c r="E139" s="221"/>
      <c r="F139" s="222"/>
      <c r="G139" s="222"/>
      <c r="H139" s="222"/>
      <c r="I139" s="211"/>
      <c r="J139" s="272">
        <f>I139*H139</f>
        <v>0</v>
      </c>
      <c r="K139" s="185"/>
      <c r="V139" s="183">
        <f>IF($J139&gt;0,1,0)</f>
        <v>0</v>
      </c>
      <c r="W139" s="183">
        <f>IF($J139&lt;0,1,0)</f>
        <v>0</v>
      </c>
    </row>
    <row r="140" spans="1:23" ht="24" thickBot="1" x14ac:dyDescent="0.5">
      <c r="A140" s="184"/>
      <c r="B140" s="316" t="s">
        <v>879</v>
      </c>
      <c r="C140" s="317"/>
      <c r="D140" s="317"/>
      <c r="E140" s="317"/>
      <c r="F140" s="317"/>
      <c r="G140" s="317"/>
      <c r="H140" s="318"/>
      <c r="I140" s="212" t="s">
        <v>880</v>
      </c>
      <c r="J140" s="213">
        <f>SUM(J111:J139)</f>
        <v>107499.99999999972</v>
      </c>
      <c r="K140" s="185"/>
      <c r="V140" s="183">
        <f>SUM(V111:V139)</f>
        <v>18</v>
      </c>
      <c r="W140" s="183">
        <f>SUM(W111:W139)</f>
        <v>1</v>
      </c>
    </row>
    <row r="141" spans="1:23" ht="30" customHeight="1" thickBot="1" x14ac:dyDescent="0.35">
      <c r="A141" s="205"/>
      <c r="B141" s="206"/>
      <c r="C141" s="206"/>
      <c r="D141" s="206"/>
      <c r="E141" s="206"/>
      <c r="F141" s="206"/>
      <c r="G141" s="206"/>
      <c r="H141" s="261"/>
      <c r="I141" s="206"/>
      <c r="J141" s="261"/>
      <c r="K141" s="207"/>
      <c r="L141" s="183" t="s">
        <v>926</v>
      </c>
    </row>
    <row r="142" spans="1:23" ht="15" thickBot="1" x14ac:dyDescent="0.35"/>
    <row r="143" spans="1:23" ht="30" customHeight="1" thickBot="1" x14ac:dyDescent="0.35">
      <c r="A143" s="180"/>
      <c r="B143" s="181"/>
      <c r="C143" s="181"/>
      <c r="D143" s="181"/>
      <c r="E143" s="181"/>
      <c r="F143" s="181"/>
      <c r="G143" s="181"/>
      <c r="H143" s="259"/>
      <c r="I143" s="181"/>
      <c r="J143" s="259"/>
      <c r="K143" s="182"/>
    </row>
    <row r="144" spans="1:23" ht="25.2" thickBot="1" x14ac:dyDescent="0.35">
      <c r="A144" s="184" t="s">
        <v>0</v>
      </c>
      <c r="B144" s="307" t="s">
        <v>873</v>
      </c>
      <c r="C144" s="308"/>
      <c r="D144" s="308"/>
      <c r="E144" s="308"/>
      <c r="F144" s="308"/>
      <c r="G144" s="308"/>
      <c r="H144" s="308"/>
      <c r="I144" s="308"/>
      <c r="J144" s="309"/>
      <c r="K144" s="185"/>
    </row>
    <row r="145" spans="1:23" ht="16.2" thickBot="1" x14ac:dyDescent="0.35">
      <c r="A145" s="184"/>
      <c r="B145" s="310">
        <v>45413</v>
      </c>
      <c r="C145" s="311"/>
      <c r="D145" s="311"/>
      <c r="E145" s="311"/>
      <c r="F145" s="311"/>
      <c r="G145" s="311"/>
      <c r="H145" s="311"/>
      <c r="I145" s="311"/>
      <c r="J145" s="312"/>
      <c r="K145" s="185"/>
    </row>
    <row r="146" spans="1:23" ht="16.2" thickBot="1" x14ac:dyDescent="0.35">
      <c r="A146" s="184"/>
      <c r="B146" s="313" t="s">
        <v>905</v>
      </c>
      <c r="C146" s="314"/>
      <c r="D146" s="314"/>
      <c r="E146" s="314"/>
      <c r="F146" s="314"/>
      <c r="G146" s="314"/>
      <c r="H146" s="314"/>
      <c r="I146" s="314"/>
      <c r="J146" s="315"/>
      <c r="K146" s="185"/>
    </row>
    <row r="147" spans="1:23" ht="15" thickBot="1" x14ac:dyDescent="0.35">
      <c r="A147" s="208"/>
      <c r="B147" s="186" t="s">
        <v>876</v>
      </c>
      <c r="C147" s="187" t="s">
        <v>1</v>
      </c>
      <c r="D147" s="188" t="s">
        <v>2</v>
      </c>
      <c r="E147" s="188" t="s">
        <v>3</v>
      </c>
      <c r="F147" s="189" t="s">
        <v>4</v>
      </c>
      <c r="G147" s="189" t="s">
        <v>5</v>
      </c>
      <c r="H147" s="260" t="s">
        <v>720</v>
      </c>
      <c r="I147" s="189" t="s">
        <v>6</v>
      </c>
      <c r="J147" s="266" t="s">
        <v>7</v>
      </c>
      <c r="K147" s="209"/>
      <c r="L147" s="198"/>
      <c r="V147" s="183" t="s">
        <v>254</v>
      </c>
      <c r="W147" s="183" t="s">
        <v>255</v>
      </c>
    </row>
    <row r="148" spans="1:23" x14ac:dyDescent="0.3">
      <c r="A148" s="184"/>
      <c r="B148" s="214">
        <v>1</v>
      </c>
      <c r="C148" s="215">
        <v>45414</v>
      </c>
      <c r="D148" s="216" t="s">
        <v>16</v>
      </c>
      <c r="E148" s="256" t="s">
        <v>928</v>
      </c>
      <c r="F148" s="256">
        <v>225</v>
      </c>
      <c r="G148" s="256">
        <v>265</v>
      </c>
      <c r="H148" s="256">
        <v>40</v>
      </c>
      <c r="I148" s="218">
        <v>100</v>
      </c>
      <c r="J148" s="273">
        <f>I148*H148</f>
        <v>4000</v>
      </c>
      <c r="K148" s="185"/>
      <c r="V148" s="183">
        <f>IF($J148&gt;0,1,0)</f>
        <v>1</v>
      </c>
      <c r="W148" s="183">
        <f>IF($J148&lt;0,1,0)</f>
        <v>0</v>
      </c>
    </row>
    <row r="149" spans="1:23" x14ac:dyDescent="0.3">
      <c r="A149" s="184"/>
      <c r="B149" s="194">
        <v>2</v>
      </c>
      <c r="C149" s="195">
        <v>45415</v>
      </c>
      <c r="D149" s="196" t="s">
        <v>16</v>
      </c>
      <c r="E149" s="222" t="s">
        <v>914</v>
      </c>
      <c r="F149" s="222">
        <v>190</v>
      </c>
      <c r="G149" s="222">
        <v>204</v>
      </c>
      <c r="H149" s="222">
        <f>204-190</f>
        <v>14</v>
      </c>
      <c r="I149" s="218">
        <v>100</v>
      </c>
      <c r="J149" s="268">
        <f t="shared" ref="J149:J168" si="11">I149*H149</f>
        <v>1400</v>
      </c>
      <c r="K149" s="185"/>
      <c r="V149" s="183">
        <f t="shared" ref="V149:V170" si="12">IF($J149&gt;0,1,0)</f>
        <v>1</v>
      </c>
      <c r="W149" s="183">
        <f t="shared" ref="W149:W170" si="13">IF($J149&lt;0,1,0)</f>
        <v>0</v>
      </c>
    </row>
    <row r="150" spans="1:23" x14ac:dyDescent="0.3">
      <c r="A150" s="184"/>
      <c r="B150" s="194">
        <v>3</v>
      </c>
      <c r="C150" s="195">
        <v>45418</v>
      </c>
      <c r="D150" s="196" t="s">
        <v>16</v>
      </c>
      <c r="E150" s="222" t="s">
        <v>914</v>
      </c>
      <c r="F150" s="222">
        <v>190</v>
      </c>
      <c r="G150" s="222">
        <v>198</v>
      </c>
      <c r="H150" s="222">
        <v>8</v>
      </c>
      <c r="I150" s="218">
        <v>100</v>
      </c>
      <c r="J150" s="268">
        <f t="shared" si="11"/>
        <v>800</v>
      </c>
      <c r="K150" s="185"/>
      <c r="M150" s="183" t="s">
        <v>870</v>
      </c>
      <c r="V150" s="183">
        <f t="shared" si="12"/>
        <v>1</v>
      </c>
      <c r="W150" s="183">
        <f t="shared" si="13"/>
        <v>0</v>
      </c>
    </row>
    <row r="151" spans="1:23" x14ac:dyDescent="0.3">
      <c r="A151" s="184"/>
      <c r="B151" s="194">
        <v>4</v>
      </c>
      <c r="C151" s="195">
        <v>45419</v>
      </c>
      <c r="D151" s="196" t="s">
        <v>16</v>
      </c>
      <c r="E151" s="222" t="s">
        <v>914</v>
      </c>
      <c r="F151" s="222">
        <v>195</v>
      </c>
      <c r="G151" s="222">
        <v>215</v>
      </c>
      <c r="H151" s="222">
        <f>215-195</f>
        <v>20</v>
      </c>
      <c r="I151" s="218">
        <v>100</v>
      </c>
      <c r="J151" s="268">
        <f t="shared" si="11"/>
        <v>2000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5</v>
      </c>
      <c r="C152" s="195">
        <v>45420</v>
      </c>
      <c r="D152" s="196" t="s">
        <v>16</v>
      </c>
      <c r="E152" s="222" t="s">
        <v>912</v>
      </c>
      <c r="F152" s="222">
        <v>190</v>
      </c>
      <c r="G152" s="222">
        <v>210</v>
      </c>
      <c r="H152" s="222">
        <f>210-190</f>
        <v>20</v>
      </c>
      <c r="I152" s="218">
        <v>100</v>
      </c>
      <c r="J152" s="268">
        <f t="shared" si="11"/>
        <v>2000</v>
      </c>
      <c r="K152" s="185"/>
      <c r="V152" s="183">
        <f t="shared" si="12"/>
        <v>1</v>
      </c>
      <c r="W152" s="183">
        <f t="shared" si="13"/>
        <v>0</v>
      </c>
    </row>
    <row r="153" spans="1:23" x14ac:dyDescent="0.3">
      <c r="A153" s="184"/>
      <c r="B153" s="194">
        <v>6</v>
      </c>
      <c r="C153" s="195">
        <v>45421</v>
      </c>
      <c r="D153" s="196" t="s">
        <v>16</v>
      </c>
      <c r="E153" s="222" t="s">
        <v>928</v>
      </c>
      <c r="F153" s="222">
        <v>180</v>
      </c>
      <c r="G153" s="222">
        <v>196</v>
      </c>
      <c r="H153" s="222">
        <f>196-180</f>
        <v>16</v>
      </c>
      <c r="I153" s="218">
        <v>100</v>
      </c>
      <c r="J153" s="268">
        <f t="shared" si="11"/>
        <v>1600</v>
      </c>
      <c r="K153" s="185"/>
      <c r="V153" s="183">
        <f t="shared" si="12"/>
        <v>1</v>
      </c>
      <c r="W153" s="183">
        <f t="shared" si="13"/>
        <v>0</v>
      </c>
    </row>
    <row r="154" spans="1:23" x14ac:dyDescent="0.3">
      <c r="A154" s="184"/>
      <c r="B154" s="194">
        <v>7</v>
      </c>
      <c r="C154" s="195">
        <v>45422</v>
      </c>
      <c r="D154" s="196" t="s">
        <v>16</v>
      </c>
      <c r="E154" s="222" t="s">
        <v>928</v>
      </c>
      <c r="F154" s="222">
        <v>170</v>
      </c>
      <c r="G154" s="222">
        <v>190</v>
      </c>
      <c r="H154" s="274">
        <v>20</v>
      </c>
      <c r="I154" s="218">
        <v>100</v>
      </c>
      <c r="J154" s="268">
        <f t="shared" si="11"/>
        <v>2000</v>
      </c>
      <c r="K154" s="185"/>
      <c r="M154" s="183" t="s">
        <v>942</v>
      </c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8</v>
      </c>
      <c r="C155" s="195">
        <v>45425</v>
      </c>
      <c r="D155" s="196" t="s">
        <v>16</v>
      </c>
      <c r="E155" s="222" t="s">
        <v>928</v>
      </c>
      <c r="F155" s="222">
        <v>240</v>
      </c>
      <c r="G155" s="222">
        <v>260</v>
      </c>
      <c r="H155" s="222">
        <v>20</v>
      </c>
      <c r="I155" s="218">
        <v>100</v>
      </c>
      <c r="J155" s="268">
        <f t="shared" si="11"/>
        <v>2000</v>
      </c>
      <c r="K155" s="185"/>
      <c r="V155" s="183">
        <f t="shared" si="12"/>
        <v>1</v>
      </c>
      <c r="W155" s="183">
        <f t="shared" si="13"/>
        <v>0</v>
      </c>
    </row>
    <row r="156" spans="1:23" x14ac:dyDescent="0.3">
      <c r="A156" s="184"/>
      <c r="B156" s="194">
        <v>9</v>
      </c>
      <c r="C156" s="195">
        <v>45426</v>
      </c>
      <c r="D156" s="196" t="s">
        <v>16</v>
      </c>
      <c r="E156" s="222" t="s">
        <v>928</v>
      </c>
      <c r="F156" s="222">
        <v>210</v>
      </c>
      <c r="G156" s="222">
        <v>220</v>
      </c>
      <c r="H156" s="222">
        <v>10</v>
      </c>
      <c r="I156" s="218">
        <v>100</v>
      </c>
      <c r="J156" s="268">
        <f t="shared" si="11"/>
        <v>1000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10</v>
      </c>
      <c r="C157" s="195">
        <v>45427</v>
      </c>
      <c r="D157" s="196" t="s">
        <v>16</v>
      </c>
      <c r="E157" s="222" t="s">
        <v>913</v>
      </c>
      <c r="F157" s="222">
        <v>185</v>
      </c>
      <c r="G157" s="222">
        <v>225</v>
      </c>
      <c r="H157" s="222">
        <f>225-185</f>
        <v>40</v>
      </c>
      <c r="I157" s="218">
        <v>100</v>
      </c>
      <c r="J157" s="268">
        <f t="shared" si="11"/>
        <v>4000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11</v>
      </c>
      <c r="C158" s="195">
        <v>45428</v>
      </c>
      <c r="D158" s="196" t="s">
        <v>16</v>
      </c>
      <c r="E158" s="222" t="s">
        <v>913</v>
      </c>
      <c r="F158" s="222">
        <v>175</v>
      </c>
      <c r="G158" s="222">
        <v>203</v>
      </c>
      <c r="H158" s="274">
        <f>203-175</f>
        <v>28</v>
      </c>
      <c r="I158" s="218">
        <v>100</v>
      </c>
      <c r="J158" s="268">
        <f t="shared" si="11"/>
        <v>2800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12</v>
      </c>
      <c r="C159" s="195">
        <v>45429</v>
      </c>
      <c r="D159" s="196" t="s">
        <v>16</v>
      </c>
      <c r="E159" s="222" t="s">
        <v>912</v>
      </c>
      <c r="F159" s="222">
        <v>205</v>
      </c>
      <c r="G159" s="222">
        <v>219.7</v>
      </c>
      <c r="H159" s="274">
        <f>219.7-205</f>
        <v>14.699999999999989</v>
      </c>
      <c r="I159" s="218">
        <v>100</v>
      </c>
      <c r="J159" s="268">
        <f t="shared" si="11"/>
        <v>1469.9999999999989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13</v>
      </c>
      <c r="C160" s="195">
        <v>45433</v>
      </c>
      <c r="D160" s="196" t="s">
        <v>16</v>
      </c>
      <c r="E160" s="222" t="s">
        <v>912</v>
      </c>
      <c r="F160" s="222">
        <v>205</v>
      </c>
      <c r="G160" s="222">
        <v>245</v>
      </c>
      <c r="H160" s="274">
        <f>215-205</f>
        <v>10</v>
      </c>
      <c r="I160" s="218">
        <v>100</v>
      </c>
      <c r="J160" s="268">
        <f t="shared" si="11"/>
        <v>1000</v>
      </c>
      <c r="K160" s="185"/>
      <c r="V160" s="183">
        <f t="shared" si="12"/>
        <v>1</v>
      </c>
      <c r="W160" s="183">
        <f t="shared" si="13"/>
        <v>0</v>
      </c>
    </row>
    <row r="161" spans="1:23" x14ac:dyDescent="0.3">
      <c r="A161" s="184"/>
      <c r="B161" s="194">
        <v>14</v>
      </c>
      <c r="C161" s="195">
        <v>45434</v>
      </c>
      <c r="D161" s="196" t="s">
        <v>16</v>
      </c>
      <c r="E161" s="222" t="s">
        <v>913</v>
      </c>
      <c r="F161" s="222">
        <v>197</v>
      </c>
      <c r="G161" s="222">
        <v>204</v>
      </c>
      <c r="H161" s="274">
        <f>204-197</f>
        <v>7</v>
      </c>
      <c r="I161" s="218">
        <v>100</v>
      </c>
      <c r="J161" s="268">
        <f t="shared" si="11"/>
        <v>700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15</v>
      </c>
      <c r="C162" s="195">
        <v>45435</v>
      </c>
      <c r="D162" s="196" t="s">
        <v>16</v>
      </c>
      <c r="E162" s="196" t="s">
        <v>913</v>
      </c>
      <c r="F162" s="222">
        <v>185</v>
      </c>
      <c r="G162" s="222">
        <v>165</v>
      </c>
      <c r="H162" s="222">
        <v>-20</v>
      </c>
      <c r="I162" s="218">
        <v>100</v>
      </c>
      <c r="J162" s="268">
        <f t="shared" si="11"/>
        <v>-2000</v>
      </c>
      <c r="K162" s="185"/>
      <c r="V162" s="183">
        <f t="shared" si="12"/>
        <v>0</v>
      </c>
      <c r="W162" s="183">
        <f t="shared" si="13"/>
        <v>1</v>
      </c>
    </row>
    <row r="163" spans="1:23" x14ac:dyDescent="0.3">
      <c r="A163" s="184"/>
      <c r="B163" s="194">
        <v>16</v>
      </c>
      <c r="C163" s="195">
        <v>45436</v>
      </c>
      <c r="D163" s="196" t="s">
        <v>16</v>
      </c>
      <c r="E163" s="196" t="s">
        <v>910</v>
      </c>
      <c r="F163" s="222">
        <v>195</v>
      </c>
      <c r="G163" s="274">
        <v>219</v>
      </c>
      <c r="H163" s="274">
        <f>219-195</f>
        <v>24</v>
      </c>
      <c r="I163" s="218">
        <v>100</v>
      </c>
      <c r="J163" s="268">
        <f t="shared" si="11"/>
        <v>2400</v>
      </c>
      <c r="K163" s="185"/>
      <c r="V163" s="183">
        <f t="shared" si="12"/>
        <v>1</v>
      </c>
      <c r="W163" s="183">
        <f t="shared" si="13"/>
        <v>0</v>
      </c>
    </row>
    <row r="164" spans="1:23" x14ac:dyDescent="0.3">
      <c r="A164" s="184"/>
      <c r="B164" s="194">
        <v>17</v>
      </c>
      <c r="C164" s="195">
        <v>45439</v>
      </c>
      <c r="D164" s="196" t="s">
        <v>16</v>
      </c>
      <c r="E164" s="196" t="s">
        <v>913</v>
      </c>
      <c r="F164" s="222">
        <v>165</v>
      </c>
      <c r="G164" s="222">
        <v>145</v>
      </c>
      <c r="H164" s="263">
        <v>-20</v>
      </c>
      <c r="I164" s="218">
        <v>100</v>
      </c>
      <c r="J164" s="268">
        <f t="shared" si="11"/>
        <v>-2000</v>
      </c>
      <c r="K164" s="185"/>
      <c r="V164" s="183">
        <f t="shared" si="12"/>
        <v>0</v>
      </c>
      <c r="W164" s="183">
        <f t="shared" si="13"/>
        <v>1</v>
      </c>
    </row>
    <row r="165" spans="1:23" x14ac:dyDescent="0.3">
      <c r="A165" s="184"/>
      <c r="B165" s="194">
        <v>18</v>
      </c>
      <c r="C165" s="195">
        <v>45440</v>
      </c>
      <c r="D165" s="196" t="s">
        <v>16</v>
      </c>
      <c r="E165" s="196" t="s">
        <v>912</v>
      </c>
      <c r="F165" s="222">
        <v>175</v>
      </c>
      <c r="G165" s="222">
        <v>190</v>
      </c>
      <c r="H165" s="274">
        <f>190-175</f>
        <v>15</v>
      </c>
      <c r="I165" s="218">
        <v>100</v>
      </c>
      <c r="J165" s="268">
        <f t="shared" si="11"/>
        <v>1500</v>
      </c>
      <c r="K165" s="185"/>
      <c r="V165" s="183">
        <f t="shared" si="12"/>
        <v>1</v>
      </c>
      <c r="W165" s="183">
        <f t="shared" si="13"/>
        <v>0</v>
      </c>
    </row>
    <row r="166" spans="1:23" x14ac:dyDescent="0.3">
      <c r="A166" s="184"/>
      <c r="B166" s="194">
        <v>19</v>
      </c>
      <c r="C166" s="195">
        <v>45441</v>
      </c>
      <c r="D166" s="196" t="s">
        <v>16</v>
      </c>
      <c r="E166" s="196" t="s">
        <v>928</v>
      </c>
      <c r="F166" s="222">
        <v>200</v>
      </c>
      <c r="G166" s="222">
        <v>220</v>
      </c>
      <c r="H166" s="274">
        <v>20</v>
      </c>
      <c r="I166" s="218">
        <v>100</v>
      </c>
      <c r="J166" s="268">
        <f t="shared" si="11"/>
        <v>2000</v>
      </c>
      <c r="K166" s="185"/>
      <c r="V166" s="183">
        <f t="shared" si="12"/>
        <v>1</v>
      </c>
      <c r="W166" s="183">
        <f t="shared" si="13"/>
        <v>0</v>
      </c>
    </row>
    <row r="167" spans="1:23" x14ac:dyDescent="0.3">
      <c r="A167" s="184"/>
      <c r="B167" s="194">
        <v>20</v>
      </c>
      <c r="C167" s="195">
        <v>45442</v>
      </c>
      <c r="D167" s="196" t="s">
        <v>16</v>
      </c>
      <c r="E167" s="222" t="s">
        <v>914</v>
      </c>
      <c r="F167" s="222">
        <v>200</v>
      </c>
      <c r="G167" s="222">
        <v>220</v>
      </c>
      <c r="H167" s="274">
        <v>20</v>
      </c>
      <c r="I167" s="218">
        <v>100</v>
      </c>
      <c r="J167" s="268">
        <f t="shared" si="11"/>
        <v>2000</v>
      </c>
      <c r="K167" s="185"/>
      <c r="V167" s="183">
        <f t="shared" si="12"/>
        <v>1</v>
      </c>
      <c r="W167" s="183">
        <f t="shared" si="13"/>
        <v>0</v>
      </c>
    </row>
    <row r="168" spans="1:23" hidden="1" x14ac:dyDescent="0.3">
      <c r="A168" s="184"/>
      <c r="B168" s="194">
        <v>21</v>
      </c>
      <c r="C168" s="195"/>
      <c r="D168" s="196"/>
      <c r="E168" s="222"/>
      <c r="F168" s="222"/>
      <c r="G168" s="222"/>
      <c r="H168" s="274"/>
      <c r="I168" s="218"/>
      <c r="J168" s="268">
        <f t="shared" si="11"/>
        <v>0</v>
      </c>
      <c r="K168" s="185"/>
      <c r="V168" s="183">
        <f t="shared" si="12"/>
        <v>0</v>
      </c>
      <c r="W168" s="183">
        <f t="shared" si="13"/>
        <v>0</v>
      </c>
    </row>
    <row r="169" spans="1:23" hidden="1" x14ac:dyDescent="0.3">
      <c r="A169" s="184"/>
      <c r="B169" s="194">
        <v>22</v>
      </c>
      <c r="C169" s="195"/>
      <c r="D169" s="196"/>
      <c r="E169" s="222"/>
      <c r="F169" s="222"/>
      <c r="G169" s="222"/>
      <c r="H169" s="222"/>
      <c r="I169" s="218"/>
      <c r="J169" s="268">
        <f>I169*H169</f>
        <v>0</v>
      </c>
      <c r="K169" s="185"/>
      <c r="V169" s="183">
        <f t="shared" si="12"/>
        <v>0</v>
      </c>
      <c r="W169" s="183">
        <f t="shared" si="13"/>
        <v>0</v>
      </c>
    </row>
    <row r="170" spans="1:23" ht="15" thickBot="1" x14ac:dyDescent="0.35">
      <c r="A170" s="184"/>
      <c r="B170" s="199">
        <v>23</v>
      </c>
      <c r="C170" s="200">
        <v>45443</v>
      </c>
      <c r="D170" s="201" t="s">
        <v>16</v>
      </c>
      <c r="E170" s="201" t="s">
        <v>912</v>
      </c>
      <c r="F170" s="284">
        <v>215</v>
      </c>
      <c r="G170" s="284">
        <v>195</v>
      </c>
      <c r="H170" s="284">
        <v>-20</v>
      </c>
      <c r="I170" s="285">
        <v>100</v>
      </c>
      <c r="J170" s="269">
        <f>I170*H170</f>
        <v>-2000</v>
      </c>
      <c r="K170" s="185"/>
      <c r="V170" s="183">
        <f t="shared" si="12"/>
        <v>0</v>
      </c>
      <c r="W170" s="183">
        <f t="shared" si="13"/>
        <v>1</v>
      </c>
    </row>
    <row r="171" spans="1:23" ht="24" thickBot="1" x14ac:dyDescent="0.5">
      <c r="A171" s="184"/>
      <c r="B171" s="304" t="s">
        <v>879</v>
      </c>
      <c r="C171" s="305"/>
      <c r="D171" s="305"/>
      <c r="E171" s="305"/>
      <c r="F171" s="305"/>
      <c r="G171" s="305"/>
      <c r="H171" s="306"/>
      <c r="I171" s="203" t="s">
        <v>880</v>
      </c>
      <c r="J171" s="204">
        <f>SUM(J148:J170)</f>
        <v>28670</v>
      </c>
      <c r="K171" s="185"/>
      <c r="V171" s="183">
        <f>SUM(V148:V170)</f>
        <v>18</v>
      </c>
      <c r="W171" s="183">
        <f>SUM(W148:W170)</f>
        <v>3</v>
      </c>
    </row>
    <row r="172" spans="1:23" ht="30" customHeight="1" thickBot="1" x14ac:dyDescent="0.35">
      <c r="A172" s="205"/>
      <c r="B172" s="286"/>
      <c r="C172" s="286"/>
      <c r="D172" s="286"/>
      <c r="E172" s="286"/>
      <c r="F172" s="286"/>
      <c r="G172" s="286"/>
      <c r="H172" s="287"/>
      <c r="I172" s="286"/>
      <c r="J172" s="287"/>
      <c r="K172" s="207"/>
    </row>
  </sheetData>
  <mergeCells count="54">
    <mergeCell ref="M10:M11"/>
    <mergeCell ref="B145:J145"/>
    <mergeCell ref="B146:J146"/>
    <mergeCell ref="B171:H171"/>
    <mergeCell ref="B103:H103"/>
    <mergeCell ref="B107:J107"/>
    <mergeCell ref="B108:J108"/>
    <mergeCell ref="B109:J109"/>
    <mergeCell ref="B140:H140"/>
    <mergeCell ref="B144:J144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31BDB42A-EA4E-4E59-95F3-FAFEE3BB7342}"/>
    <hyperlink ref="B103" r:id="rId2" xr:uid="{B45173DD-B62E-43EA-AF8E-CA2169345F0D}"/>
    <hyperlink ref="M4:M5" location="'MAY 2024'!A1" display="BULLION" xr:uid="{CBE54672-6F30-484C-AB90-AFB356E3A99E}"/>
    <hyperlink ref="B140" r:id="rId3" xr:uid="{04A631E2-9B79-4B44-A183-8420156476BB}"/>
    <hyperlink ref="M8:M9" location="'MAY 2024'!A86" display="BASE METAL" xr:uid="{8D5354C5-867E-4115-B9A4-9A648E61094F}"/>
    <hyperlink ref="M1" location="MASTER!A1" display="Back" xr:uid="{F159196B-9C9B-43B4-BCD6-8E3CAC9BA56F}"/>
    <hyperlink ref="M6:M7" location="'MAY 2024'!A55" display="ENERGY" xr:uid="{C757C8F2-339D-416A-BCFF-1048875C4266}"/>
    <hyperlink ref="B171" r:id="rId4" xr:uid="{CA7991C7-155E-40A3-B460-B7B4B9FB0DCA}"/>
    <hyperlink ref="M10:M11" location="'MAY 2024'!A117" display="CRUDEOIL OPTION" xr:uid="{FB52E670-C235-496A-A6BB-A673570D517F}"/>
  </hyperlinks>
  <pageMargins left="0" right="0" top="0" bottom="0" header="0" footer="0"/>
  <pageSetup paperSize="9" orientation="portrait" r:id="rId5"/>
  <drawing r:id="rId6"/>
  <legacyDrawing r:id="rId7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7FBE6-8417-4D98-97B6-917DC8AAFD26}">
  <dimension ref="A1:X172"/>
  <sheetViews>
    <sheetView zoomScaleNormal="100" workbookViewId="0">
      <selection activeCell="P21" sqref="P2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45444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38</v>
      </c>
      <c r="O4" s="369">
        <f>V52</f>
        <v>28</v>
      </c>
      <c r="P4" s="369">
        <f>W52</f>
        <v>9</v>
      </c>
      <c r="Q4" s="349">
        <f>N4-O4-P4</f>
        <v>1</v>
      </c>
      <c r="R4" s="343">
        <f>O4/N4</f>
        <v>0.73684210526315785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45446</v>
      </c>
      <c r="D6" s="192" t="s">
        <v>23</v>
      </c>
      <c r="E6" s="192" t="s">
        <v>24</v>
      </c>
      <c r="F6" s="193">
        <v>71600</v>
      </c>
      <c r="G6" s="193">
        <v>71550</v>
      </c>
      <c r="H6" s="192">
        <v>50</v>
      </c>
      <c r="I6" s="193">
        <v>100</v>
      </c>
      <c r="J6" s="267">
        <f>H6*I6</f>
        <v>5000</v>
      </c>
      <c r="K6" s="185"/>
      <c r="M6" s="364" t="s">
        <v>258</v>
      </c>
      <c r="N6" s="347">
        <f>COUNT(C60:C102)</f>
        <v>38</v>
      </c>
      <c r="O6" s="348">
        <f>V103</f>
        <v>31</v>
      </c>
      <c r="P6" s="348">
        <f>W103</f>
        <v>7</v>
      </c>
      <c r="Q6" s="349">
        <v>0</v>
      </c>
      <c r="R6" s="345">
        <f t="shared" ref="R6" si="0">O6/N6</f>
        <v>0.81578947368421051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45446</v>
      </c>
      <c r="D7" s="196" t="s">
        <v>23</v>
      </c>
      <c r="E7" s="196" t="s">
        <v>22</v>
      </c>
      <c r="F7" s="197">
        <v>91000</v>
      </c>
      <c r="G7" s="197">
        <v>91300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45447</v>
      </c>
      <c r="D8" s="196" t="s">
        <v>23</v>
      </c>
      <c r="E8" s="196" t="s">
        <v>24</v>
      </c>
      <c r="F8" s="197">
        <v>72000</v>
      </c>
      <c r="G8" s="197">
        <v>71945</v>
      </c>
      <c r="H8" s="196">
        <f>72000-71945</f>
        <v>55</v>
      </c>
      <c r="I8" s="197">
        <v>100</v>
      </c>
      <c r="J8" s="268">
        <f t="shared" si="1"/>
        <v>5500</v>
      </c>
      <c r="K8" s="185"/>
      <c r="M8" s="362" t="s">
        <v>877</v>
      </c>
      <c r="N8" s="347">
        <f>COUNT(C111:C139)</f>
        <v>19</v>
      </c>
      <c r="O8" s="348">
        <f>V140</f>
        <v>18</v>
      </c>
      <c r="P8" s="348">
        <f>W140</f>
        <v>1</v>
      </c>
      <c r="Q8" s="349">
        <f>N8-O8-P8</f>
        <v>0</v>
      </c>
      <c r="R8" s="345">
        <f t="shared" ref="R8" si="4">O8/N8</f>
        <v>0.94736842105263153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45447</v>
      </c>
      <c r="D9" s="196" t="s">
        <v>23</v>
      </c>
      <c r="E9" s="196" t="s">
        <v>22</v>
      </c>
      <c r="F9" s="197">
        <v>90300</v>
      </c>
      <c r="G9" s="197">
        <v>89790</v>
      </c>
      <c r="H9" s="196">
        <f>90300-89790</f>
        <v>510</v>
      </c>
      <c r="I9" s="197">
        <v>30</v>
      </c>
      <c r="J9" s="268">
        <f t="shared" si="1"/>
        <v>15300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45448</v>
      </c>
      <c r="D10" s="196" t="s">
        <v>23</v>
      </c>
      <c r="E10" s="196" t="s">
        <v>24</v>
      </c>
      <c r="F10" s="197">
        <v>71880</v>
      </c>
      <c r="G10" s="197">
        <v>71820</v>
      </c>
      <c r="H10" s="196">
        <v>60</v>
      </c>
      <c r="I10" s="197">
        <v>100</v>
      </c>
      <c r="J10" s="268">
        <f t="shared" si="1"/>
        <v>6000</v>
      </c>
      <c r="K10" s="185"/>
      <c r="M10" s="364" t="s">
        <v>906</v>
      </c>
      <c r="N10" s="347">
        <f>COUNT(C148:C170)</f>
        <v>19</v>
      </c>
      <c r="O10" s="348">
        <f>V171</f>
        <v>16</v>
      </c>
      <c r="P10" s="348">
        <f>W171</f>
        <v>3</v>
      </c>
      <c r="Q10" s="349">
        <f>N10-O10-P10</f>
        <v>0</v>
      </c>
      <c r="R10" s="345">
        <f>O10/N10</f>
        <v>0.84210526315789469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45448</v>
      </c>
      <c r="D11" s="196" t="s">
        <v>23</v>
      </c>
      <c r="E11" s="196" t="s">
        <v>22</v>
      </c>
      <c r="F11" s="197">
        <v>89400</v>
      </c>
      <c r="G11" s="197">
        <v>89750</v>
      </c>
      <c r="H11" s="196">
        <f>89750-89400</f>
        <v>350</v>
      </c>
      <c r="I11" s="197">
        <v>30</v>
      </c>
      <c r="J11" s="268">
        <f t="shared" si="1"/>
        <v>10500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45449</v>
      </c>
      <c r="D12" s="196" t="s">
        <v>23</v>
      </c>
      <c r="E12" s="196" t="s">
        <v>24</v>
      </c>
      <c r="F12" s="197">
        <v>72750</v>
      </c>
      <c r="G12" s="197">
        <v>72850</v>
      </c>
      <c r="H12" s="196">
        <v>-100</v>
      </c>
      <c r="I12" s="197">
        <v>100</v>
      </c>
      <c r="J12" s="268">
        <f t="shared" si="1"/>
        <v>-10000</v>
      </c>
      <c r="K12" s="185"/>
      <c r="M12" s="319" t="s">
        <v>300</v>
      </c>
      <c r="N12" s="371">
        <f>SUM(N4:N11)</f>
        <v>114</v>
      </c>
      <c r="O12" s="371">
        <f>SUM(O4:O11)</f>
        <v>93</v>
      </c>
      <c r="P12" s="371">
        <f>SUM(P4:P11)</f>
        <v>20</v>
      </c>
      <c r="Q12" s="371">
        <f>SUM(Q4:Q11)</f>
        <v>1</v>
      </c>
      <c r="R12" s="343">
        <f>O12/N12</f>
        <v>0.81578947368421051</v>
      </c>
      <c r="V12" s="183">
        <f t="shared" si="2"/>
        <v>0</v>
      </c>
      <c r="W12" s="183">
        <f t="shared" si="3"/>
        <v>1</v>
      </c>
    </row>
    <row r="13" spans="1:23" ht="15" thickBot="1" x14ac:dyDescent="0.35">
      <c r="A13" s="184"/>
      <c r="B13" s="194">
        <v>8</v>
      </c>
      <c r="C13" s="195">
        <v>45449</v>
      </c>
      <c r="D13" s="196" t="s">
        <v>23</v>
      </c>
      <c r="E13" s="196" t="s">
        <v>22</v>
      </c>
      <c r="F13" s="197">
        <v>91500</v>
      </c>
      <c r="G13" s="197">
        <v>91350</v>
      </c>
      <c r="H13" s="196">
        <f>91500-91350</f>
        <v>150</v>
      </c>
      <c r="I13" s="197">
        <v>30</v>
      </c>
      <c r="J13" s="268">
        <f t="shared" si="1"/>
        <v>4500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45450</v>
      </c>
      <c r="D14" s="196" t="s">
        <v>23</v>
      </c>
      <c r="E14" s="196" t="s">
        <v>24</v>
      </c>
      <c r="F14" s="197">
        <v>72200</v>
      </c>
      <c r="G14" s="197">
        <v>72000</v>
      </c>
      <c r="H14" s="196">
        <v>200</v>
      </c>
      <c r="I14" s="197">
        <v>100</v>
      </c>
      <c r="J14" s="268">
        <f t="shared" si="1"/>
        <v>20000</v>
      </c>
      <c r="K14" s="185"/>
      <c r="M14" s="323" t="s">
        <v>878</v>
      </c>
      <c r="N14" s="324"/>
      <c r="O14" s="325"/>
      <c r="P14" s="332">
        <f>R12</f>
        <v>0.81578947368421051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45450</v>
      </c>
      <c r="D15" s="196" t="s">
        <v>23</v>
      </c>
      <c r="E15" s="196" t="s">
        <v>22</v>
      </c>
      <c r="F15" s="197">
        <v>92300</v>
      </c>
      <c r="G15" s="197">
        <v>91700</v>
      </c>
      <c r="H15" s="196">
        <f>92300-91700</f>
        <v>600</v>
      </c>
      <c r="I15" s="197">
        <v>30</v>
      </c>
      <c r="J15" s="268">
        <f t="shared" si="1"/>
        <v>18000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45453</v>
      </c>
      <c r="D16" s="196" t="s">
        <v>23</v>
      </c>
      <c r="E16" s="196" t="s">
        <v>24</v>
      </c>
      <c r="F16" s="197">
        <v>71000</v>
      </c>
      <c r="G16" s="197">
        <v>70965</v>
      </c>
      <c r="H16" s="196">
        <f>71000-70965</f>
        <v>35</v>
      </c>
      <c r="I16" s="197">
        <v>100</v>
      </c>
      <c r="J16" s="268">
        <f t="shared" si="1"/>
        <v>3500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45453</v>
      </c>
      <c r="D17" s="196" t="s">
        <v>23</v>
      </c>
      <c r="E17" s="196" t="s">
        <v>22</v>
      </c>
      <c r="F17" s="197">
        <v>89900</v>
      </c>
      <c r="G17" s="197">
        <v>89750</v>
      </c>
      <c r="H17" s="196">
        <f>89900-89750</f>
        <v>150</v>
      </c>
      <c r="I17" s="197">
        <v>30</v>
      </c>
      <c r="J17" s="268">
        <f t="shared" si="1"/>
        <v>4500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45454</v>
      </c>
      <c r="D18" s="196" t="s">
        <v>23</v>
      </c>
      <c r="E18" s="196" t="s">
        <v>24</v>
      </c>
      <c r="F18" s="197">
        <v>71300</v>
      </c>
      <c r="G18" s="197">
        <v>71200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45454</v>
      </c>
      <c r="D19" s="196" t="s">
        <v>23</v>
      </c>
      <c r="E19" s="196" t="s">
        <v>22</v>
      </c>
      <c r="F19" s="197">
        <v>88800</v>
      </c>
      <c r="G19" s="197">
        <v>88500</v>
      </c>
      <c r="H19" s="196">
        <v>300</v>
      </c>
      <c r="I19" s="197">
        <v>30</v>
      </c>
      <c r="J19" s="268">
        <f t="shared" si="1"/>
        <v>9000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45455</v>
      </c>
      <c r="D20" s="196" t="s">
        <v>23</v>
      </c>
      <c r="E20" s="196" t="s">
        <v>24</v>
      </c>
      <c r="F20" s="197">
        <v>71500</v>
      </c>
      <c r="G20" s="197">
        <v>71440</v>
      </c>
      <c r="H20" s="196">
        <f>71500-71440</f>
        <v>60</v>
      </c>
      <c r="I20" s="197">
        <v>100</v>
      </c>
      <c r="J20" s="268">
        <f t="shared" si="1"/>
        <v>6000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45455</v>
      </c>
      <c r="D21" s="196" t="s">
        <v>23</v>
      </c>
      <c r="E21" s="196" t="s">
        <v>22</v>
      </c>
      <c r="F21" s="197">
        <v>89100</v>
      </c>
      <c r="G21" s="197">
        <v>88940</v>
      </c>
      <c r="H21" s="196">
        <f>89100-88940</f>
        <v>160</v>
      </c>
      <c r="I21" s="197">
        <v>30</v>
      </c>
      <c r="J21" s="268">
        <f t="shared" si="1"/>
        <v>4800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45456</v>
      </c>
      <c r="D22" s="196" t="s">
        <v>23</v>
      </c>
      <c r="E22" s="196" t="s">
        <v>24</v>
      </c>
      <c r="F22" s="197">
        <v>71500</v>
      </c>
      <c r="G22" s="197">
        <v>71600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45456</v>
      </c>
      <c r="D23" s="196" t="s">
        <v>23</v>
      </c>
      <c r="E23" s="196" t="s">
        <v>22</v>
      </c>
      <c r="F23" s="197">
        <v>88900</v>
      </c>
      <c r="G23" s="197">
        <v>88470</v>
      </c>
      <c r="H23" s="196">
        <f>88900-88470</f>
        <v>430</v>
      </c>
      <c r="I23" s="197">
        <v>30</v>
      </c>
      <c r="J23" s="268">
        <f t="shared" si="1"/>
        <v>12900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45457</v>
      </c>
      <c r="D24" s="196" t="s">
        <v>23</v>
      </c>
      <c r="E24" s="196" t="s">
        <v>24</v>
      </c>
      <c r="F24" s="197">
        <v>71500</v>
      </c>
      <c r="G24" s="197">
        <v>71620</v>
      </c>
      <c r="H24" s="196">
        <v>-120</v>
      </c>
      <c r="I24" s="197">
        <v>100</v>
      </c>
      <c r="J24" s="268">
        <f t="shared" si="1"/>
        <v>-12000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45457</v>
      </c>
      <c r="D25" s="196" t="s">
        <v>23</v>
      </c>
      <c r="E25" s="196" t="s">
        <v>22</v>
      </c>
      <c r="F25" s="197">
        <v>88250</v>
      </c>
      <c r="G25" s="197">
        <v>88550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45461</v>
      </c>
      <c r="D26" s="196" t="s">
        <v>23</v>
      </c>
      <c r="E26" s="196" t="s">
        <v>24</v>
      </c>
      <c r="F26" s="197">
        <v>71340</v>
      </c>
      <c r="G26" s="197">
        <v>71175</v>
      </c>
      <c r="H26" s="196">
        <v>165</v>
      </c>
      <c r="I26" s="197">
        <v>100</v>
      </c>
      <c r="J26" s="268">
        <f t="shared" si="1"/>
        <v>16500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45461</v>
      </c>
      <c r="D27" s="196" t="s">
        <v>23</v>
      </c>
      <c r="E27" s="196" t="s">
        <v>22</v>
      </c>
      <c r="F27" s="197">
        <v>88400</v>
      </c>
      <c r="G27" s="197">
        <v>88210</v>
      </c>
      <c r="H27" s="196">
        <f>88400-88210</f>
        <v>190</v>
      </c>
      <c r="I27" s="197">
        <v>30</v>
      </c>
      <c r="J27" s="268">
        <f t="shared" si="1"/>
        <v>5700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45462</v>
      </c>
      <c r="D28" s="196" t="s">
        <v>23</v>
      </c>
      <c r="E28" s="196" t="s">
        <v>24</v>
      </c>
      <c r="F28" s="197">
        <v>71850</v>
      </c>
      <c r="G28" s="197">
        <v>71720</v>
      </c>
      <c r="H28" s="196">
        <f>71850-71720</f>
        <v>130</v>
      </c>
      <c r="I28" s="197">
        <v>100</v>
      </c>
      <c r="J28" s="268">
        <f t="shared" si="1"/>
        <v>13000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45462</v>
      </c>
      <c r="D29" s="196" t="s">
        <v>23</v>
      </c>
      <c r="E29" s="196" t="s">
        <v>22</v>
      </c>
      <c r="F29" s="197">
        <v>89300</v>
      </c>
      <c r="G29" s="197">
        <v>89100</v>
      </c>
      <c r="H29" s="196">
        <v>200</v>
      </c>
      <c r="I29" s="197">
        <v>30</v>
      </c>
      <c r="J29" s="268">
        <f t="shared" si="1"/>
        <v>6000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45463</v>
      </c>
      <c r="D30" s="196" t="s">
        <v>23</v>
      </c>
      <c r="E30" s="196" t="s">
        <v>24</v>
      </c>
      <c r="F30" s="197">
        <v>72200</v>
      </c>
      <c r="G30" s="197">
        <v>72000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45463</v>
      </c>
      <c r="D31" s="196" t="s">
        <v>23</v>
      </c>
      <c r="E31" s="196" t="s">
        <v>22</v>
      </c>
      <c r="F31" s="197">
        <v>90600</v>
      </c>
      <c r="G31" s="197">
        <v>90500</v>
      </c>
      <c r="H31" s="196">
        <v>100</v>
      </c>
      <c r="I31" s="197">
        <v>30</v>
      </c>
      <c r="J31" s="268">
        <f t="shared" si="1"/>
        <v>3000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45464</v>
      </c>
      <c r="D32" s="196" t="s">
        <v>23</v>
      </c>
      <c r="E32" s="196" t="s">
        <v>24</v>
      </c>
      <c r="F32" s="197">
        <v>72750</v>
      </c>
      <c r="G32" s="197">
        <v>72650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45464</v>
      </c>
      <c r="D33" s="196" t="s">
        <v>23</v>
      </c>
      <c r="E33" s="196" t="s">
        <v>22</v>
      </c>
      <c r="F33" s="197">
        <v>91100</v>
      </c>
      <c r="G33" s="197">
        <v>91943</v>
      </c>
      <c r="H33" s="196">
        <f>91100-90943</f>
        <v>157</v>
      </c>
      <c r="I33" s="197">
        <v>30</v>
      </c>
      <c r="J33" s="268">
        <f t="shared" si="1"/>
        <v>4710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45467</v>
      </c>
      <c r="D34" s="196" t="s">
        <v>23</v>
      </c>
      <c r="E34" s="196" t="s">
        <v>24</v>
      </c>
      <c r="F34" s="197">
        <v>71800</v>
      </c>
      <c r="G34" s="197">
        <v>71620</v>
      </c>
      <c r="H34" s="196">
        <f>71800-71620</f>
        <v>180</v>
      </c>
      <c r="I34" s="197">
        <v>100</v>
      </c>
      <c r="J34" s="268">
        <f t="shared" si="1"/>
        <v>18000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45467</v>
      </c>
      <c r="D35" s="196" t="s">
        <v>23</v>
      </c>
      <c r="E35" s="196" t="s">
        <v>22</v>
      </c>
      <c r="F35" s="197">
        <v>89350</v>
      </c>
      <c r="G35" s="197">
        <v>89050</v>
      </c>
      <c r="H35" s="196">
        <f>89350-89050</f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45468</v>
      </c>
      <c r="D36" s="196" t="s">
        <v>23</v>
      </c>
      <c r="E36" s="196" t="s">
        <v>24</v>
      </c>
      <c r="F36" s="197">
        <v>71600</v>
      </c>
      <c r="G36" s="197">
        <v>71700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3"/>
        <v>1</v>
      </c>
    </row>
    <row r="37" spans="1:23" x14ac:dyDescent="0.3">
      <c r="A37" s="184"/>
      <c r="B37" s="194">
        <v>32</v>
      </c>
      <c r="C37" s="195">
        <v>45468</v>
      </c>
      <c r="D37" s="196" t="s">
        <v>23</v>
      </c>
      <c r="E37" s="196" t="s">
        <v>22</v>
      </c>
      <c r="F37" s="197">
        <v>88800</v>
      </c>
      <c r="G37" s="197">
        <v>89100</v>
      </c>
      <c r="H37" s="196"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45469</v>
      </c>
      <c r="D38" s="196" t="s">
        <v>23</v>
      </c>
      <c r="E38" s="196" t="s">
        <v>24</v>
      </c>
      <c r="F38" s="197">
        <v>71460</v>
      </c>
      <c r="G38" s="197">
        <v>71260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45469</v>
      </c>
      <c r="D39" s="196" t="s">
        <v>23</v>
      </c>
      <c r="E39" s="196" t="s">
        <v>22</v>
      </c>
      <c r="F39" s="197">
        <v>87000</v>
      </c>
      <c r="G39" s="197">
        <v>87300</v>
      </c>
      <c r="H39" s="196">
        <v>-300</v>
      </c>
      <c r="I39" s="197">
        <v>30</v>
      </c>
      <c r="J39" s="268">
        <f t="shared" si="1"/>
        <v>-9000</v>
      </c>
      <c r="K39" s="185"/>
      <c r="V39" s="183">
        <f t="shared" si="2"/>
        <v>0</v>
      </c>
      <c r="W39" s="183">
        <f t="shared" si="3"/>
        <v>1</v>
      </c>
    </row>
    <row r="40" spans="1:23" x14ac:dyDescent="0.3">
      <c r="A40" s="184"/>
      <c r="B40" s="194">
        <v>35</v>
      </c>
      <c r="C40" s="195">
        <v>45470</v>
      </c>
      <c r="D40" s="196" t="s">
        <v>23</v>
      </c>
      <c r="E40" s="196" t="s">
        <v>24</v>
      </c>
      <c r="F40" s="197">
        <v>71220</v>
      </c>
      <c r="G40" s="197">
        <v>71320</v>
      </c>
      <c r="H40" s="196">
        <v>-100</v>
      </c>
      <c r="I40" s="197">
        <v>100</v>
      </c>
      <c r="J40" s="268">
        <f t="shared" si="1"/>
        <v>-10000</v>
      </c>
      <c r="K40" s="185"/>
      <c r="N40" s="183" t="s">
        <v>0</v>
      </c>
      <c r="V40" s="183">
        <f t="shared" si="2"/>
        <v>0</v>
      </c>
      <c r="W40" s="183">
        <f t="shared" si="3"/>
        <v>1</v>
      </c>
    </row>
    <row r="41" spans="1:23" x14ac:dyDescent="0.3">
      <c r="A41" s="184"/>
      <c r="B41" s="194">
        <v>36</v>
      </c>
      <c r="C41" s="195">
        <v>45470</v>
      </c>
      <c r="D41" s="196" t="s">
        <v>23</v>
      </c>
      <c r="E41" s="196" t="s">
        <v>22</v>
      </c>
      <c r="F41" s="197">
        <v>87000</v>
      </c>
      <c r="G41" s="197">
        <v>86850</v>
      </c>
      <c r="H41" s="196">
        <f>87000-86850</f>
        <v>150</v>
      </c>
      <c r="I41" s="197">
        <v>30</v>
      </c>
      <c r="J41" s="268">
        <f t="shared" si="1"/>
        <v>4500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45471</v>
      </c>
      <c r="D42" s="196" t="s">
        <v>23</v>
      </c>
      <c r="E42" s="196" t="s">
        <v>24</v>
      </c>
      <c r="F42" s="197">
        <v>71640</v>
      </c>
      <c r="G42" s="197">
        <v>71540</v>
      </c>
      <c r="H42" s="196">
        <f>71640-71540</f>
        <v>100</v>
      </c>
      <c r="I42" s="197">
        <v>100</v>
      </c>
      <c r="J42" s="268">
        <f t="shared" si="1"/>
        <v>10000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45471</v>
      </c>
      <c r="D43" s="196" t="s">
        <v>23</v>
      </c>
      <c r="E43" s="196" t="s">
        <v>22</v>
      </c>
      <c r="F43" s="197">
        <v>87700</v>
      </c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hidden="1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hidden="1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hidden="1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hidden="1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hidden="1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idden="1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idden="1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187910</v>
      </c>
      <c r="K52" s="185"/>
      <c r="V52" s="183">
        <f>SUM(V6:V51)</f>
        <v>28</v>
      </c>
      <c r="W52" s="183">
        <f>SUM(W6:W51)</f>
        <v>9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45444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45446</v>
      </c>
      <c r="D60" s="192" t="s">
        <v>23</v>
      </c>
      <c r="E60" s="192" t="s">
        <v>25</v>
      </c>
      <c r="F60" s="193">
        <v>6430</v>
      </c>
      <c r="G60" s="193">
        <v>6391</v>
      </c>
      <c r="H60" s="192">
        <f>6430-6391</f>
        <v>39</v>
      </c>
      <c r="I60" s="193">
        <v>100</v>
      </c>
      <c r="J60" s="267">
        <f t="shared" ref="J60:J102" si="5">I60*H60</f>
        <v>3900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45446</v>
      </c>
      <c r="D61" s="196" t="s">
        <v>23</v>
      </c>
      <c r="E61" s="196" t="s">
        <v>939</v>
      </c>
      <c r="F61" s="222">
        <v>225.5</v>
      </c>
      <c r="G61" s="222">
        <v>222.5</v>
      </c>
      <c r="H61" s="222">
        <v>3</v>
      </c>
      <c r="I61" s="197">
        <v>2000</v>
      </c>
      <c r="J61" s="268">
        <f t="shared" si="5"/>
        <v>6000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45447</v>
      </c>
      <c r="D62" s="196" t="s">
        <v>23</v>
      </c>
      <c r="E62" s="196" t="s">
        <v>25</v>
      </c>
      <c r="F62" s="197">
        <v>6100</v>
      </c>
      <c r="G62" s="197">
        <v>6073</v>
      </c>
      <c r="H62" s="222">
        <f>6100-6073</f>
        <v>27</v>
      </c>
      <c r="I62" s="197">
        <v>100</v>
      </c>
      <c r="J62" s="268">
        <f t="shared" si="5"/>
        <v>2700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45447</v>
      </c>
      <c r="D63" s="196" t="s">
        <v>23</v>
      </c>
      <c r="E63" s="196" t="s">
        <v>939</v>
      </c>
      <c r="F63" s="222">
        <v>231</v>
      </c>
      <c r="G63" s="222">
        <v>230</v>
      </c>
      <c r="H63" s="222">
        <v>1</v>
      </c>
      <c r="I63" s="197">
        <v>2000</v>
      </c>
      <c r="J63" s="268">
        <f t="shared" si="5"/>
        <v>2000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45448</v>
      </c>
      <c r="D64" s="196" t="s">
        <v>23</v>
      </c>
      <c r="E64" s="196" t="s">
        <v>25</v>
      </c>
      <c r="F64" s="197">
        <v>6120</v>
      </c>
      <c r="G64" s="197">
        <v>6104</v>
      </c>
      <c r="H64" s="196">
        <f>6120-6104</f>
        <v>16</v>
      </c>
      <c r="I64" s="197">
        <v>100</v>
      </c>
      <c r="J64" s="268">
        <f t="shared" si="5"/>
        <v>1600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45448</v>
      </c>
      <c r="D65" s="196" t="s">
        <v>23</v>
      </c>
      <c r="E65" s="196" t="s">
        <v>939</v>
      </c>
      <c r="F65" s="222">
        <v>220</v>
      </c>
      <c r="G65" s="222">
        <v>219</v>
      </c>
      <c r="H65" s="196">
        <v>1</v>
      </c>
      <c r="I65" s="197">
        <v>2000</v>
      </c>
      <c r="J65" s="268">
        <f t="shared" si="5"/>
        <v>2000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45449</v>
      </c>
      <c r="D66" s="196" t="s">
        <v>23</v>
      </c>
      <c r="E66" s="196" t="s">
        <v>25</v>
      </c>
      <c r="F66" s="222">
        <v>6210</v>
      </c>
      <c r="G66" s="222">
        <v>6250</v>
      </c>
      <c r="H66" s="196">
        <v>30</v>
      </c>
      <c r="I66" s="197">
        <v>100</v>
      </c>
      <c r="J66" s="268">
        <f t="shared" si="5"/>
        <v>3000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45449</v>
      </c>
      <c r="D67" s="196" t="s">
        <v>23</v>
      </c>
      <c r="E67" s="196" t="s">
        <v>939</v>
      </c>
      <c r="F67" s="222">
        <v>230</v>
      </c>
      <c r="G67" s="222">
        <v>233</v>
      </c>
      <c r="H67" s="222">
        <v>-3</v>
      </c>
      <c r="I67" s="197">
        <v>2000</v>
      </c>
      <c r="J67" s="268">
        <f t="shared" si="5"/>
        <v>-6000</v>
      </c>
      <c r="K67" s="185"/>
      <c r="V67" s="183">
        <f t="shared" si="6"/>
        <v>0</v>
      </c>
      <c r="W67" s="183">
        <f t="shared" si="7"/>
        <v>1</v>
      </c>
    </row>
    <row r="68" spans="1:23" x14ac:dyDescent="0.3">
      <c r="A68" s="184"/>
      <c r="B68" s="194">
        <v>9</v>
      </c>
      <c r="C68" s="195">
        <v>45450</v>
      </c>
      <c r="D68" s="196" t="s">
        <v>23</v>
      </c>
      <c r="E68" s="196" t="s">
        <v>25</v>
      </c>
      <c r="F68" s="197">
        <v>6300</v>
      </c>
      <c r="G68" s="197">
        <v>6340</v>
      </c>
      <c r="H68" s="196">
        <v>-40</v>
      </c>
      <c r="I68" s="197">
        <v>100</v>
      </c>
      <c r="J68" s="268">
        <f t="shared" si="5"/>
        <v>-4000</v>
      </c>
      <c r="K68" s="185"/>
      <c r="V68" s="183">
        <f t="shared" si="6"/>
        <v>0</v>
      </c>
      <c r="W68" s="183">
        <f t="shared" si="7"/>
        <v>1</v>
      </c>
    </row>
    <row r="69" spans="1:23" x14ac:dyDescent="0.3">
      <c r="A69" s="184"/>
      <c r="B69" s="194">
        <v>10</v>
      </c>
      <c r="C69" s="195">
        <v>45450</v>
      </c>
      <c r="D69" s="196" t="s">
        <v>23</v>
      </c>
      <c r="E69" s="196" t="s">
        <v>939</v>
      </c>
      <c r="F69" s="222">
        <v>236</v>
      </c>
      <c r="G69" s="222">
        <v>239</v>
      </c>
      <c r="H69" s="222">
        <v>-3</v>
      </c>
      <c r="I69" s="197">
        <v>2000</v>
      </c>
      <c r="J69" s="268">
        <f t="shared" si="5"/>
        <v>-6000</v>
      </c>
      <c r="K69" s="185"/>
      <c r="V69" s="183">
        <f t="shared" si="6"/>
        <v>0</v>
      </c>
      <c r="W69" s="183">
        <f t="shared" si="7"/>
        <v>1</v>
      </c>
    </row>
    <row r="70" spans="1:23" x14ac:dyDescent="0.3">
      <c r="A70" s="184"/>
      <c r="B70" s="194">
        <v>11</v>
      </c>
      <c r="C70" s="195">
        <v>45453</v>
      </c>
      <c r="D70" s="196" t="s">
        <v>23</v>
      </c>
      <c r="E70" s="196" t="s">
        <v>25</v>
      </c>
      <c r="F70" s="197">
        <v>6320</v>
      </c>
      <c r="G70" s="222">
        <v>6390</v>
      </c>
      <c r="H70" s="196">
        <f>6390-6320</f>
        <v>70</v>
      </c>
      <c r="I70" s="197">
        <v>100</v>
      </c>
      <c r="J70" s="268">
        <f t="shared" si="5"/>
        <v>7000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45453</v>
      </c>
      <c r="D71" s="196" t="s">
        <v>23</v>
      </c>
      <c r="E71" s="196" t="s">
        <v>939</v>
      </c>
      <c r="F71" s="222">
        <v>249.5</v>
      </c>
      <c r="G71" s="222">
        <v>246.5</v>
      </c>
      <c r="H71" s="222">
        <v>3</v>
      </c>
      <c r="I71" s="197">
        <v>2000</v>
      </c>
      <c r="J71" s="268">
        <f t="shared" si="5"/>
        <v>6000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45454</v>
      </c>
      <c r="D72" s="196" t="s">
        <v>23</v>
      </c>
      <c r="E72" s="196" t="s">
        <v>25</v>
      </c>
      <c r="F72" s="197">
        <v>6500</v>
      </c>
      <c r="G72" s="222">
        <v>6474</v>
      </c>
      <c r="H72" s="196">
        <f>6500-6474</f>
        <v>26</v>
      </c>
      <c r="I72" s="197">
        <v>100</v>
      </c>
      <c r="J72" s="268">
        <f t="shared" si="5"/>
        <v>2600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45454</v>
      </c>
      <c r="D73" s="196" t="s">
        <v>23</v>
      </c>
      <c r="E73" s="196" t="s">
        <v>939</v>
      </c>
      <c r="F73" s="222">
        <v>253</v>
      </c>
      <c r="G73" s="222">
        <v>250</v>
      </c>
      <c r="H73" s="196">
        <v>3</v>
      </c>
      <c r="I73" s="197">
        <v>2000</v>
      </c>
      <c r="J73" s="268">
        <f t="shared" si="5"/>
        <v>6000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45455</v>
      </c>
      <c r="D74" s="196" t="s">
        <v>23</v>
      </c>
      <c r="E74" s="196" t="s">
        <v>25</v>
      </c>
      <c r="F74" s="197">
        <v>6600</v>
      </c>
      <c r="G74" s="222">
        <v>6585</v>
      </c>
      <c r="H74" s="196">
        <f>6600-6585</f>
        <v>15</v>
      </c>
      <c r="I74" s="197">
        <v>100</v>
      </c>
      <c r="J74" s="268">
        <f t="shared" si="5"/>
        <v>1500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45455</v>
      </c>
      <c r="D75" s="196" t="s">
        <v>23</v>
      </c>
      <c r="E75" s="196" t="s">
        <v>939</v>
      </c>
      <c r="F75" s="222">
        <v>258.5</v>
      </c>
      <c r="G75" s="222">
        <v>255.5</v>
      </c>
      <c r="H75" s="196">
        <f>258.5-255.5</f>
        <v>3</v>
      </c>
      <c r="I75" s="197">
        <v>2000</v>
      </c>
      <c r="J75" s="268">
        <f t="shared" si="5"/>
        <v>6000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45456</v>
      </c>
      <c r="D76" s="196" t="s">
        <v>23</v>
      </c>
      <c r="E76" s="196" t="s">
        <v>25</v>
      </c>
      <c r="F76" s="197">
        <v>6520</v>
      </c>
      <c r="G76" s="197">
        <v>6495</v>
      </c>
      <c r="H76" s="196">
        <f>6520-6495</f>
        <v>25</v>
      </c>
      <c r="I76" s="197">
        <v>100</v>
      </c>
      <c r="J76" s="268">
        <f t="shared" si="5"/>
        <v>2500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45456</v>
      </c>
      <c r="D77" s="196" t="s">
        <v>23</v>
      </c>
      <c r="E77" s="196" t="s">
        <v>939</v>
      </c>
      <c r="F77" s="222">
        <v>257</v>
      </c>
      <c r="G77" s="222">
        <v>251</v>
      </c>
      <c r="H77" s="222">
        <v>6</v>
      </c>
      <c r="I77" s="197">
        <v>2000</v>
      </c>
      <c r="J77" s="268">
        <f t="shared" si="5"/>
        <v>12000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45457</v>
      </c>
      <c r="D78" s="196" t="s">
        <v>23</v>
      </c>
      <c r="E78" s="196" t="s">
        <v>25</v>
      </c>
      <c r="F78" s="197">
        <v>6560</v>
      </c>
      <c r="G78" s="197">
        <v>6540</v>
      </c>
      <c r="H78" s="196">
        <v>20</v>
      </c>
      <c r="I78" s="197">
        <v>100</v>
      </c>
      <c r="J78" s="268">
        <f t="shared" si="5"/>
        <v>2000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45457</v>
      </c>
      <c r="D79" s="196" t="s">
        <v>23</v>
      </c>
      <c r="E79" s="196" t="s">
        <v>939</v>
      </c>
      <c r="F79" s="222">
        <v>249.5</v>
      </c>
      <c r="G79" s="222">
        <v>245.5</v>
      </c>
      <c r="H79" s="196">
        <v>4</v>
      </c>
      <c r="I79" s="197">
        <v>2000</v>
      </c>
      <c r="J79" s="268">
        <f t="shared" si="5"/>
        <v>8000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45461</v>
      </c>
      <c r="D80" s="196" t="s">
        <v>23</v>
      </c>
      <c r="E80" s="196" t="s">
        <v>25</v>
      </c>
      <c r="F80" s="197">
        <v>6670</v>
      </c>
      <c r="G80" s="197">
        <v>6710</v>
      </c>
      <c r="H80" s="196">
        <v>-40</v>
      </c>
      <c r="I80" s="197">
        <v>100</v>
      </c>
      <c r="J80" s="268">
        <f t="shared" si="5"/>
        <v>-4000</v>
      </c>
      <c r="K80" s="185"/>
      <c r="V80" s="183">
        <f t="shared" si="6"/>
        <v>0</v>
      </c>
      <c r="W80" s="183">
        <f t="shared" si="7"/>
        <v>1</v>
      </c>
    </row>
    <row r="81" spans="1:23" x14ac:dyDescent="0.3">
      <c r="A81" s="184"/>
      <c r="B81" s="194">
        <v>22</v>
      </c>
      <c r="C81" s="195">
        <v>45461</v>
      </c>
      <c r="D81" s="196" t="s">
        <v>23</v>
      </c>
      <c r="E81" s="196" t="s">
        <v>939</v>
      </c>
      <c r="F81" s="197">
        <v>234</v>
      </c>
      <c r="G81" s="197">
        <v>237</v>
      </c>
      <c r="H81" s="196">
        <v>-3</v>
      </c>
      <c r="I81" s="197">
        <v>2000</v>
      </c>
      <c r="J81" s="268">
        <f t="shared" si="5"/>
        <v>-6000</v>
      </c>
      <c r="K81" s="185"/>
      <c r="V81" s="183">
        <f t="shared" si="6"/>
        <v>0</v>
      </c>
      <c r="W81" s="183">
        <f t="shared" si="7"/>
        <v>1</v>
      </c>
    </row>
    <row r="82" spans="1:23" x14ac:dyDescent="0.3">
      <c r="A82" s="184"/>
      <c r="B82" s="194">
        <v>23</v>
      </c>
      <c r="C82" s="195">
        <v>45462</v>
      </c>
      <c r="D82" s="196" t="s">
        <v>23</v>
      </c>
      <c r="E82" s="196" t="s">
        <v>25</v>
      </c>
      <c r="F82" s="197">
        <v>6720</v>
      </c>
      <c r="G82" s="197">
        <v>6710</v>
      </c>
      <c r="H82" s="196">
        <v>10</v>
      </c>
      <c r="I82" s="197">
        <v>100</v>
      </c>
      <c r="J82" s="268">
        <f t="shared" si="5"/>
        <v>1000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45462</v>
      </c>
      <c r="D83" s="196" t="s">
        <v>23</v>
      </c>
      <c r="E83" s="196" t="s">
        <v>939</v>
      </c>
      <c r="F83" s="197">
        <v>244</v>
      </c>
      <c r="G83" s="222">
        <v>243</v>
      </c>
      <c r="H83" s="222">
        <v>1</v>
      </c>
      <c r="I83" s="197">
        <v>2000</v>
      </c>
      <c r="J83" s="268">
        <f t="shared" si="5"/>
        <v>2000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184"/>
      <c r="B84" s="194">
        <v>25</v>
      </c>
      <c r="C84" s="195">
        <v>45463</v>
      </c>
      <c r="D84" s="196" t="s">
        <v>23</v>
      </c>
      <c r="E84" s="196" t="s">
        <v>25</v>
      </c>
      <c r="F84" s="197">
        <v>6760</v>
      </c>
      <c r="G84" s="222">
        <v>6800</v>
      </c>
      <c r="H84" s="222">
        <v>-40</v>
      </c>
      <c r="I84" s="197">
        <v>100</v>
      </c>
      <c r="J84" s="268">
        <f t="shared" si="5"/>
        <v>-4000</v>
      </c>
      <c r="K84" s="185"/>
      <c r="V84" s="183">
        <f t="shared" si="6"/>
        <v>0</v>
      </c>
      <c r="W84" s="183">
        <f t="shared" si="7"/>
        <v>1</v>
      </c>
    </row>
    <row r="85" spans="1:23" x14ac:dyDescent="0.3">
      <c r="A85" s="184"/>
      <c r="B85" s="194">
        <v>26</v>
      </c>
      <c r="C85" s="195">
        <v>45463</v>
      </c>
      <c r="D85" s="196" t="s">
        <v>23</v>
      </c>
      <c r="E85" s="196" t="s">
        <v>939</v>
      </c>
      <c r="F85" s="222">
        <v>241</v>
      </c>
      <c r="G85" s="222">
        <v>238</v>
      </c>
      <c r="H85" s="196">
        <f>241-238</f>
        <v>3</v>
      </c>
      <c r="I85" s="197">
        <v>2000</v>
      </c>
      <c r="J85" s="268">
        <f t="shared" si="5"/>
        <v>6000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45464</v>
      </c>
      <c r="D86" s="196" t="s">
        <v>23</v>
      </c>
      <c r="E86" s="196" t="s">
        <v>25</v>
      </c>
      <c r="F86" s="197">
        <v>6800</v>
      </c>
      <c r="G86" s="197">
        <v>6782</v>
      </c>
      <c r="H86" s="196">
        <f>6800-6782</f>
        <v>18</v>
      </c>
      <c r="I86" s="197">
        <v>100</v>
      </c>
      <c r="J86" s="268">
        <f t="shared" si="5"/>
        <v>1800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45464</v>
      </c>
      <c r="D87" s="196" t="s">
        <v>23</v>
      </c>
      <c r="E87" s="196" t="s">
        <v>939</v>
      </c>
      <c r="F87" s="197">
        <v>225</v>
      </c>
      <c r="G87" s="222">
        <v>223.6</v>
      </c>
      <c r="H87" s="222">
        <f>225-223.6</f>
        <v>1.4000000000000057</v>
      </c>
      <c r="I87" s="197">
        <v>2000</v>
      </c>
      <c r="J87" s="268">
        <f t="shared" si="5"/>
        <v>2800.0000000000114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45467</v>
      </c>
      <c r="D88" s="196" t="s">
        <v>23</v>
      </c>
      <c r="E88" s="196" t="s">
        <v>25</v>
      </c>
      <c r="F88" s="197">
        <v>6760</v>
      </c>
      <c r="G88" s="197">
        <v>6715</v>
      </c>
      <c r="H88" s="196">
        <f>6760-6715</f>
        <v>45</v>
      </c>
      <c r="I88" s="197">
        <v>100</v>
      </c>
      <c r="J88" s="268">
        <f t="shared" si="5"/>
        <v>4500</v>
      </c>
      <c r="K88" s="185"/>
      <c r="V88" s="183">
        <f t="shared" si="6"/>
        <v>1</v>
      </c>
      <c r="W88" s="183">
        <f t="shared" si="7"/>
        <v>0</v>
      </c>
    </row>
    <row r="89" spans="1:23" x14ac:dyDescent="0.3">
      <c r="A89" s="184"/>
      <c r="B89" s="194">
        <v>30</v>
      </c>
      <c r="C89" s="195">
        <v>45467</v>
      </c>
      <c r="D89" s="196" t="s">
        <v>23</v>
      </c>
      <c r="E89" s="196" t="s">
        <v>939</v>
      </c>
      <c r="F89" s="222">
        <v>226</v>
      </c>
      <c r="G89" s="222">
        <v>223</v>
      </c>
      <c r="H89" s="196">
        <v>3</v>
      </c>
      <c r="I89" s="197">
        <v>2000</v>
      </c>
      <c r="J89" s="268">
        <f t="shared" si="5"/>
        <v>6000</v>
      </c>
      <c r="K89" s="185"/>
      <c r="V89" s="183">
        <f t="shared" si="6"/>
        <v>1</v>
      </c>
      <c r="W89" s="183">
        <f t="shared" si="7"/>
        <v>0</v>
      </c>
    </row>
    <row r="90" spans="1:23" x14ac:dyDescent="0.3">
      <c r="A90" s="184"/>
      <c r="B90" s="194">
        <v>31</v>
      </c>
      <c r="C90" s="195">
        <v>45468</v>
      </c>
      <c r="D90" s="196" t="s">
        <v>23</v>
      </c>
      <c r="E90" s="196" t="s">
        <v>25</v>
      </c>
      <c r="F90" s="197">
        <v>6810</v>
      </c>
      <c r="G90" s="197">
        <v>6780</v>
      </c>
      <c r="H90" s="196">
        <f>6810-6780</f>
        <v>30</v>
      </c>
      <c r="I90" s="197">
        <v>100</v>
      </c>
      <c r="J90" s="268">
        <f t="shared" si="5"/>
        <v>3000</v>
      </c>
      <c r="K90" s="185"/>
      <c r="V90" s="183">
        <f t="shared" si="6"/>
        <v>1</v>
      </c>
      <c r="W90" s="183">
        <f t="shared" si="7"/>
        <v>0</v>
      </c>
    </row>
    <row r="91" spans="1:23" x14ac:dyDescent="0.3">
      <c r="A91" s="184"/>
      <c r="B91" s="194">
        <v>32</v>
      </c>
      <c r="C91" s="195">
        <v>45468</v>
      </c>
      <c r="D91" s="196" t="s">
        <v>23</v>
      </c>
      <c r="E91" s="196" t="s">
        <v>939</v>
      </c>
      <c r="F91" s="222">
        <v>235.5</v>
      </c>
      <c r="G91" s="222">
        <v>232.5</v>
      </c>
      <c r="H91" s="222">
        <f>235.5-232.5</f>
        <v>3</v>
      </c>
      <c r="I91" s="197">
        <v>2000</v>
      </c>
      <c r="J91" s="268">
        <f t="shared" si="5"/>
        <v>6000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45469</v>
      </c>
      <c r="D92" s="196" t="s">
        <v>23</v>
      </c>
      <c r="E92" s="196" t="s">
        <v>25</v>
      </c>
      <c r="F92" s="197">
        <v>6800</v>
      </c>
      <c r="G92" s="197">
        <v>6785</v>
      </c>
      <c r="H92" s="196">
        <f>6800-6785</f>
        <v>15</v>
      </c>
      <c r="I92" s="197">
        <v>100</v>
      </c>
      <c r="J92" s="268">
        <f t="shared" si="5"/>
        <v>1500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45469</v>
      </c>
      <c r="D93" s="196" t="s">
        <v>23</v>
      </c>
      <c r="E93" s="196" t="s">
        <v>939</v>
      </c>
      <c r="F93" s="222">
        <v>239</v>
      </c>
      <c r="G93" s="222">
        <v>235</v>
      </c>
      <c r="H93" s="222">
        <f>238-235</f>
        <v>3</v>
      </c>
      <c r="I93" s="197">
        <v>2000</v>
      </c>
      <c r="J93" s="268">
        <f t="shared" si="5"/>
        <v>6000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45470</v>
      </c>
      <c r="D94" s="196" t="s">
        <v>23</v>
      </c>
      <c r="E94" s="196" t="s">
        <v>25</v>
      </c>
      <c r="F94" s="197">
        <v>6790</v>
      </c>
      <c r="G94" s="197">
        <v>6775</v>
      </c>
      <c r="H94" s="196">
        <f>6790-6775</f>
        <v>15</v>
      </c>
      <c r="I94" s="197">
        <v>100</v>
      </c>
      <c r="J94" s="268">
        <f t="shared" si="5"/>
        <v>1500</v>
      </c>
      <c r="K94" s="185"/>
      <c r="V94" s="183">
        <f t="shared" si="6"/>
        <v>1</v>
      </c>
      <c r="W94" s="183">
        <f t="shared" si="7"/>
        <v>0</v>
      </c>
    </row>
    <row r="95" spans="1:23" x14ac:dyDescent="0.3">
      <c r="A95" s="184"/>
      <c r="B95" s="194">
        <v>36</v>
      </c>
      <c r="C95" s="195">
        <v>45470</v>
      </c>
      <c r="D95" s="196" t="s">
        <v>23</v>
      </c>
      <c r="E95" s="196" t="s">
        <v>939</v>
      </c>
      <c r="F95" s="197">
        <v>230</v>
      </c>
      <c r="G95" s="197">
        <v>228</v>
      </c>
      <c r="H95" s="196">
        <v>2</v>
      </c>
      <c r="I95" s="197">
        <v>2000</v>
      </c>
      <c r="J95" s="268">
        <f t="shared" si="5"/>
        <v>4000</v>
      </c>
      <c r="K95" s="185"/>
      <c r="V95" s="183">
        <f t="shared" si="6"/>
        <v>1</v>
      </c>
      <c r="W95" s="183">
        <f t="shared" si="7"/>
        <v>0</v>
      </c>
    </row>
    <row r="96" spans="1:23" x14ac:dyDescent="0.3">
      <c r="A96" s="184"/>
      <c r="B96" s="194">
        <v>37</v>
      </c>
      <c r="C96" s="195">
        <v>45471</v>
      </c>
      <c r="D96" s="196" t="s">
        <v>23</v>
      </c>
      <c r="E96" s="196" t="s">
        <v>25</v>
      </c>
      <c r="F96" s="197">
        <v>6870</v>
      </c>
      <c r="G96" s="197">
        <v>6860</v>
      </c>
      <c r="H96" s="196">
        <v>10</v>
      </c>
      <c r="I96" s="197">
        <v>100</v>
      </c>
      <c r="J96" s="268">
        <f t="shared" si="5"/>
        <v>1000</v>
      </c>
      <c r="K96" s="185"/>
      <c r="V96" s="183">
        <f t="shared" si="6"/>
        <v>1</v>
      </c>
      <c r="W96" s="183">
        <f t="shared" si="7"/>
        <v>0</v>
      </c>
    </row>
    <row r="97" spans="1:23" x14ac:dyDescent="0.3">
      <c r="A97" s="255"/>
      <c r="B97" s="194">
        <v>38</v>
      </c>
      <c r="C97" s="195">
        <v>45471</v>
      </c>
      <c r="D97" s="196" t="s">
        <v>23</v>
      </c>
      <c r="E97" s="196" t="s">
        <v>939</v>
      </c>
      <c r="F97" s="197">
        <v>227</v>
      </c>
      <c r="G97" s="197">
        <v>230</v>
      </c>
      <c r="H97" s="196">
        <v>-3</v>
      </c>
      <c r="I97" s="197">
        <v>2000</v>
      </c>
      <c r="J97" s="268">
        <f t="shared" si="5"/>
        <v>-6000</v>
      </c>
      <c r="K97" s="185"/>
      <c r="V97" s="183">
        <f t="shared" si="6"/>
        <v>0</v>
      </c>
      <c r="W97" s="183">
        <f t="shared" si="7"/>
        <v>1</v>
      </c>
    </row>
    <row r="98" spans="1:23" hidden="1" x14ac:dyDescent="0.3">
      <c r="A98" s="184"/>
      <c r="B98" s="194">
        <v>39</v>
      </c>
      <c r="C98" s="195"/>
      <c r="D98" s="196"/>
      <c r="E98" s="196"/>
      <c r="F98" s="197"/>
      <c r="G98" s="222"/>
      <c r="H98" s="196"/>
      <c r="I98" s="197"/>
      <c r="J98" s="268">
        <f t="shared" si="5"/>
        <v>0</v>
      </c>
      <c r="K98" s="185"/>
      <c r="V98" s="183">
        <f t="shared" si="6"/>
        <v>0</v>
      </c>
      <c r="W98" s="183">
        <f t="shared" si="7"/>
        <v>0</v>
      </c>
    </row>
    <row r="99" spans="1:23" hidden="1" x14ac:dyDescent="0.3">
      <c r="A99" s="184"/>
      <c r="B99" s="194">
        <v>40</v>
      </c>
      <c r="C99" s="195"/>
      <c r="D99" s="196"/>
      <c r="E99" s="196"/>
      <c r="F99" s="222"/>
      <c r="G99" s="222"/>
      <c r="H99" s="222"/>
      <c r="I99" s="197"/>
      <c r="J99" s="268">
        <f t="shared" si="5"/>
        <v>0</v>
      </c>
      <c r="K99" s="185"/>
      <c r="V99" s="183">
        <f t="shared" si="6"/>
        <v>0</v>
      </c>
      <c r="W99" s="183">
        <f t="shared" si="7"/>
        <v>0</v>
      </c>
    </row>
    <row r="100" spans="1:23" hidden="1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5"/>
        <v>0</v>
      </c>
      <c r="K100" s="185"/>
      <c r="V100" s="183">
        <f t="shared" si="6"/>
        <v>0</v>
      </c>
      <c r="W100" s="183">
        <f t="shared" si="7"/>
        <v>0</v>
      </c>
    </row>
    <row r="101" spans="1:23" hidden="1" x14ac:dyDescent="0.3">
      <c r="A101" s="184"/>
      <c r="B101" s="194">
        <v>42</v>
      </c>
      <c r="C101" s="195"/>
      <c r="D101" s="196"/>
      <c r="E101" s="196"/>
      <c r="F101" s="197"/>
      <c r="G101" s="197"/>
      <c r="H101" s="196"/>
      <c r="I101" s="197"/>
      <c r="J101" s="268">
        <f t="shared" si="5"/>
        <v>0</v>
      </c>
      <c r="K101" s="185"/>
      <c r="V101" s="183">
        <f t="shared" si="6"/>
        <v>0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8" t="s">
        <v>879</v>
      </c>
      <c r="C103" s="305"/>
      <c r="D103" s="305"/>
      <c r="E103" s="305"/>
      <c r="F103" s="305"/>
      <c r="G103" s="305"/>
      <c r="H103" s="306"/>
      <c r="I103" s="203" t="s">
        <v>880</v>
      </c>
      <c r="J103" s="204">
        <f>SUM(J60:J102)</f>
        <v>85900.000000000015</v>
      </c>
      <c r="K103" s="185"/>
      <c r="V103" s="183">
        <f>SUM(V60:V102)</f>
        <v>31</v>
      </c>
      <c r="W103" s="183">
        <f>SUM(W60:W102)</f>
        <v>7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07" t="s">
        <v>873</v>
      </c>
      <c r="C107" s="308"/>
      <c r="D107" s="308"/>
      <c r="E107" s="308"/>
      <c r="F107" s="308"/>
      <c r="G107" s="308"/>
      <c r="H107" s="308"/>
      <c r="I107" s="308"/>
      <c r="J107" s="309"/>
      <c r="K107" s="185"/>
    </row>
    <row r="108" spans="1:23" ht="16.2" thickBot="1" x14ac:dyDescent="0.35">
      <c r="A108" s="184"/>
      <c r="B108" s="310">
        <v>45444</v>
      </c>
      <c r="C108" s="311"/>
      <c r="D108" s="311"/>
      <c r="E108" s="311"/>
      <c r="F108" s="311"/>
      <c r="G108" s="311"/>
      <c r="H108" s="311"/>
      <c r="I108" s="311"/>
      <c r="J108" s="312"/>
      <c r="K108" s="185"/>
    </row>
    <row r="109" spans="1:23" ht="16.2" thickBot="1" x14ac:dyDescent="0.35">
      <c r="A109" s="184"/>
      <c r="B109" s="313" t="s">
        <v>882</v>
      </c>
      <c r="C109" s="314"/>
      <c r="D109" s="314"/>
      <c r="E109" s="314"/>
      <c r="F109" s="314"/>
      <c r="G109" s="314"/>
      <c r="H109" s="314"/>
      <c r="I109" s="314"/>
      <c r="J109" s="315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45446</v>
      </c>
      <c r="D111" s="216" t="s">
        <v>23</v>
      </c>
      <c r="E111" s="256" t="s">
        <v>28</v>
      </c>
      <c r="F111" s="256">
        <v>263.8</v>
      </c>
      <c r="G111" s="256">
        <v>263.39999999999998</v>
      </c>
      <c r="H111" s="256">
        <f>263.8-263.4</f>
        <v>0.40000000000003411</v>
      </c>
      <c r="I111" s="218">
        <v>5000</v>
      </c>
      <c r="J111" s="273">
        <f>I111*H111</f>
        <v>2000.0000000001705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</v>
      </c>
      <c r="C112" s="195">
        <v>45447</v>
      </c>
      <c r="D112" s="196" t="s">
        <v>23</v>
      </c>
      <c r="E112" s="222" t="s">
        <v>28</v>
      </c>
      <c r="F112" s="222">
        <v>261</v>
      </c>
      <c r="G112" s="222">
        <v>260.5</v>
      </c>
      <c r="H112" s="222">
        <v>0.5</v>
      </c>
      <c r="I112" s="197">
        <v>5000</v>
      </c>
      <c r="J112" s="268">
        <f t="shared" ref="J112:J137" si="8">I112*H112</f>
        <v>2500</v>
      </c>
      <c r="K112" s="185"/>
      <c r="V112" s="183">
        <f t="shared" ref="V112:V136" si="9">IF($J112&gt;0,1,0)</f>
        <v>1</v>
      </c>
      <c r="W112" s="183">
        <f t="shared" ref="W112:W136" si="10">IF($J112&lt;0,1,0)</f>
        <v>0</v>
      </c>
    </row>
    <row r="113" spans="1:23" x14ac:dyDescent="0.3">
      <c r="A113" s="184"/>
      <c r="B113" s="194">
        <v>3</v>
      </c>
      <c r="C113" s="195">
        <v>45448</v>
      </c>
      <c r="D113" s="196" t="s">
        <v>23</v>
      </c>
      <c r="E113" s="222" t="s">
        <v>28</v>
      </c>
      <c r="F113" s="222">
        <v>259.3</v>
      </c>
      <c r="G113" s="222">
        <v>258.3</v>
      </c>
      <c r="H113" s="222">
        <v>1</v>
      </c>
      <c r="I113" s="197">
        <v>5000</v>
      </c>
      <c r="J113" s="268">
        <f t="shared" si="8"/>
        <v>5000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45449</v>
      </c>
      <c r="D114" s="196" t="s">
        <v>23</v>
      </c>
      <c r="E114" s="222" t="s">
        <v>28</v>
      </c>
      <c r="F114" s="222">
        <v>259.5</v>
      </c>
      <c r="G114" s="222">
        <v>259</v>
      </c>
      <c r="H114" s="222">
        <v>0.5</v>
      </c>
      <c r="I114" s="197">
        <v>5000</v>
      </c>
      <c r="J114" s="268">
        <f t="shared" si="8"/>
        <v>2500</v>
      </c>
      <c r="K114" s="185"/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5</v>
      </c>
      <c r="C115" s="195">
        <v>45450</v>
      </c>
      <c r="D115" s="196" t="s">
        <v>23</v>
      </c>
      <c r="E115" s="222" t="s">
        <v>28</v>
      </c>
      <c r="F115" s="222">
        <v>259.60000000000002</v>
      </c>
      <c r="G115" s="222">
        <v>260.60000000000002</v>
      </c>
      <c r="H115" s="222">
        <v>-1</v>
      </c>
      <c r="I115" s="197">
        <v>5000</v>
      </c>
      <c r="J115" s="268">
        <f t="shared" si="8"/>
        <v>-5000</v>
      </c>
      <c r="K115" s="185"/>
      <c r="V115" s="183">
        <f t="shared" si="9"/>
        <v>0</v>
      </c>
      <c r="W115" s="183">
        <f t="shared" si="10"/>
        <v>1</v>
      </c>
    </row>
    <row r="116" spans="1:23" x14ac:dyDescent="0.3">
      <c r="A116" s="184"/>
      <c r="B116" s="194">
        <v>6</v>
      </c>
      <c r="C116" s="195">
        <v>45453</v>
      </c>
      <c r="D116" s="196" t="s">
        <v>23</v>
      </c>
      <c r="E116" s="222" t="s">
        <v>28</v>
      </c>
      <c r="F116" s="222">
        <v>252.6</v>
      </c>
      <c r="G116" s="222">
        <v>252.2</v>
      </c>
      <c r="H116" s="222">
        <f>252.6-252.2</f>
        <v>0.40000000000000568</v>
      </c>
      <c r="I116" s="197">
        <v>5000</v>
      </c>
      <c r="J116" s="268">
        <f t="shared" si="8"/>
        <v>2000.0000000000284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45454</v>
      </c>
      <c r="D117" s="196" t="s">
        <v>23</v>
      </c>
      <c r="E117" s="222" t="s">
        <v>28</v>
      </c>
      <c r="F117" s="222">
        <v>251.5</v>
      </c>
      <c r="G117" s="222">
        <v>251.1</v>
      </c>
      <c r="H117" s="274">
        <f>251.5-251.1</f>
        <v>0.40000000000000568</v>
      </c>
      <c r="I117" s="197">
        <v>5000</v>
      </c>
      <c r="J117" s="268">
        <f t="shared" si="8"/>
        <v>2000.0000000000284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8</v>
      </c>
      <c r="C118" s="195">
        <v>45455</v>
      </c>
      <c r="D118" s="196" t="s">
        <v>23</v>
      </c>
      <c r="E118" s="222" t="s">
        <v>28</v>
      </c>
      <c r="F118" s="222">
        <v>255</v>
      </c>
      <c r="G118" s="222">
        <v>254</v>
      </c>
      <c r="H118" s="222">
        <v>1</v>
      </c>
      <c r="I118" s="197">
        <v>5000</v>
      </c>
      <c r="J118" s="268">
        <f t="shared" si="8"/>
        <v>5000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45456</v>
      </c>
      <c r="D119" s="196" t="s">
        <v>23</v>
      </c>
      <c r="E119" s="222" t="s">
        <v>28</v>
      </c>
      <c r="F119" s="222">
        <v>259.5</v>
      </c>
      <c r="G119" s="222">
        <v>258.5</v>
      </c>
      <c r="H119" s="222">
        <v>1</v>
      </c>
      <c r="I119" s="197">
        <v>5000</v>
      </c>
      <c r="J119" s="268">
        <f t="shared" si="8"/>
        <v>5000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45457</v>
      </c>
      <c r="D120" s="196" t="s">
        <v>23</v>
      </c>
      <c r="E120" s="222" t="s">
        <v>28</v>
      </c>
      <c r="F120" s="222">
        <v>256.5</v>
      </c>
      <c r="G120" s="222">
        <v>255.5</v>
      </c>
      <c r="H120" s="222">
        <v>1</v>
      </c>
      <c r="I120" s="197">
        <v>5000</v>
      </c>
      <c r="J120" s="268">
        <f t="shared" si="8"/>
        <v>5000</v>
      </c>
      <c r="K120" s="185"/>
      <c r="V120" s="183">
        <f t="shared" si="9"/>
        <v>1</v>
      </c>
      <c r="W120" s="183">
        <f t="shared" si="10"/>
        <v>0</v>
      </c>
    </row>
    <row r="121" spans="1:23" x14ac:dyDescent="0.3">
      <c r="A121" s="184"/>
      <c r="B121" s="194">
        <v>11</v>
      </c>
      <c r="C121" s="195">
        <v>45461</v>
      </c>
      <c r="D121" s="196" t="s">
        <v>23</v>
      </c>
      <c r="E121" s="222" t="s">
        <v>28</v>
      </c>
      <c r="F121" s="222">
        <v>256.5</v>
      </c>
      <c r="G121" s="222">
        <v>255.5</v>
      </c>
      <c r="H121" s="274">
        <v>1</v>
      </c>
      <c r="I121" s="197">
        <v>5000</v>
      </c>
      <c r="J121" s="268">
        <f t="shared" si="8"/>
        <v>5000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45462</v>
      </c>
      <c r="D122" s="196" t="s">
        <v>23</v>
      </c>
      <c r="E122" s="222" t="s">
        <v>28</v>
      </c>
      <c r="F122" s="222">
        <v>261.3</v>
      </c>
      <c r="G122" s="222">
        <v>260.3</v>
      </c>
      <c r="H122" s="274">
        <v>1</v>
      </c>
      <c r="I122" s="197">
        <v>5000</v>
      </c>
      <c r="J122" s="268">
        <f t="shared" si="8"/>
        <v>5000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45463</v>
      </c>
      <c r="D123" s="196" t="s">
        <v>23</v>
      </c>
      <c r="E123" s="222" t="s">
        <v>28</v>
      </c>
      <c r="F123" s="222">
        <v>260.5</v>
      </c>
      <c r="G123" s="222">
        <v>259.89999999999998</v>
      </c>
      <c r="H123" s="274">
        <f>260.5-259.9</f>
        <v>0.60000000000002274</v>
      </c>
      <c r="I123" s="197">
        <v>5000</v>
      </c>
      <c r="J123" s="268">
        <f t="shared" si="8"/>
        <v>3000.0000000001137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45464</v>
      </c>
      <c r="D124" s="196" t="s">
        <v>23</v>
      </c>
      <c r="E124" s="222" t="s">
        <v>28</v>
      </c>
      <c r="F124" s="222">
        <v>261.3</v>
      </c>
      <c r="G124" s="222">
        <v>260.89999999999998</v>
      </c>
      <c r="H124" s="274">
        <f>261.3-260.9</f>
        <v>0.40000000000003411</v>
      </c>
      <c r="I124" s="197">
        <v>5000</v>
      </c>
      <c r="J124" s="268">
        <f t="shared" si="8"/>
        <v>2000.0000000001705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45467</v>
      </c>
      <c r="D125" s="196" t="s">
        <v>23</v>
      </c>
      <c r="E125" s="196" t="s">
        <v>28</v>
      </c>
      <c r="F125" s="222">
        <v>257.8</v>
      </c>
      <c r="G125" s="222">
        <v>256.8</v>
      </c>
      <c r="H125" s="222">
        <v>1</v>
      </c>
      <c r="I125" s="197">
        <v>5000</v>
      </c>
      <c r="J125" s="268">
        <f t="shared" si="8"/>
        <v>5000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45468</v>
      </c>
      <c r="D126" s="196" t="s">
        <v>16</v>
      </c>
      <c r="E126" s="196" t="s">
        <v>28</v>
      </c>
      <c r="F126" s="222">
        <v>259</v>
      </c>
      <c r="G126" s="222">
        <v>259.75</v>
      </c>
      <c r="H126" s="222">
        <v>0.75</v>
      </c>
      <c r="I126" s="197">
        <v>5000</v>
      </c>
      <c r="J126" s="268">
        <f t="shared" si="8"/>
        <v>3750</v>
      </c>
      <c r="K126" s="185"/>
      <c r="V126" s="183">
        <f t="shared" si="9"/>
        <v>1</v>
      </c>
      <c r="W126" s="183">
        <f t="shared" si="10"/>
        <v>0</v>
      </c>
    </row>
    <row r="127" spans="1:23" x14ac:dyDescent="0.3">
      <c r="A127" s="184"/>
      <c r="B127" s="194">
        <v>17</v>
      </c>
      <c r="C127" s="195">
        <v>45469</v>
      </c>
      <c r="D127" s="196" t="s">
        <v>23</v>
      </c>
      <c r="E127" s="196" t="s">
        <v>28</v>
      </c>
      <c r="F127" s="222">
        <v>262</v>
      </c>
      <c r="G127" s="274">
        <v>261.60000000000002</v>
      </c>
      <c r="H127" s="274">
        <v>0.6</v>
      </c>
      <c r="I127" s="197">
        <v>5000</v>
      </c>
      <c r="J127" s="268">
        <f t="shared" si="8"/>
        <v>3000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45470</v>
      </c>
      <c r="D128" s="196" t="s">
        <v>23</v>
      </c>
      <c r="E128" s="196" t="s">
        <v>28</v>
      </c>
      <c r="F128" s="222">
        <v>265</v>
      </c>
      <c r="G128" s="222">
        <v>264.3</v>
      </c>
      <c r="H128" s="274">
        <f>265-264.3</f>
        <v>0.69999999999998863</v>
      </c>
      <c r="I128" s="197">
        <v>5000</v>
      </c>
      <c r="J128" s="268">
        <f t="shared" si="8"/>
        <v>3499.9999999999432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>
        <v>45471</v>
      </c>
      <c r="D129" s="196" t="s">
        <v>23</v>
      </c>
      <c r="E129" s="196" t="s">
        <v>28</v>
      </c>
      <c r="F129" s="222">
        <v>267</v>
      </c>
      <c r="G129" s="222">
        <v>266.5</v>
      </c>
      <c r="H129" s="274">
        <f>267-266.5</f>
        <v>0.5</v>
      </c>
      <c r="I129" s="197">
        <v>5000</v>
      </c>
      <c r="J129" s="268">
        <f t="shared" si="8"/>
        <v>2500</v>
      </c>
      <c r="K129" s="185"/>
      <c r="V129" s="183">
        <f t="shared" si="9"/>
        <v>1</v>
      </c>
      <c r="W129" s="183">
        <f t="shared" si="10"/>
        <v>0</v>
      </c>
    </row>
    <row r="130" spans="1:23" hidden="1" x14ac:dyDescent="0.3">
      <c r="A130" s="184"/>
      <c r="B130" s="194">
        <v>20</v>
      </c>
      <c r="C130" s="195"/>
      <c r="D130" s="196"/>
      <c r="E130" s="196"/>
      <c r="F130" s="222"/>
      <c r="G130" s="222"/>
      <c r="H130" s="274"/>
      <c r="I130" s="197"/>
      <c r="J130" s="268">
        <f t="shared" si="8"/>
        <v>0</v>
      </c>
      <c r="K130" s="185"/>
    </row>
    <row r="131" spans="1:23" hidden="1" x14ac:dyDescent="0.3">
      <c r="A131" s="184"/>
      <c r="B131" s="194">
        <v>21</v>
      </c>
      <c r="C131" s="195"/>
      <c r="D131" s="196"/>
      <c r="E131" s="196"/>
      <c r="F131" s="222"/>
      <c r="G131" s="222"/>
      <c r="H131" s="274"/>
      <c r="I131" s="197"/>
      <c r="J131" s="268">
        <f t="shared" si="8"/>
        <v>0</v>
      </c>
      <c r="K131" s="185"/>
    </row>
    <row r="132" spans="1:23" hidden="1" x14ac:dyDescent="0.3">
      <c r="A132" s="184"/>
      <c r="B132" s="194">
        <v>22</v>
      </c>
      <c r="C132" s="195"/>
      <c r="D132" s="196"/>
      <c r="E132" s="196"/>
      <c r="F132" s="222"/>
      <c r="G132" s="222"/>
      <c r="H132" s="274"/>
      <c r="I132" s="197"/>
      <c r="J132" s="268">
        <f t="shared" si="8"/>
        <v>0</v>
      </c>
      <c r="K132" s="185"/>
    </row>
    <row r="133" spans="1:23" hidden="1" x14ac:dyDescent="0.3">
      <c r="A133" s="184"/>
      <c r="B133" s="194">
        <v>23</v>
      </c>
      <c r="C133" s="195"/>
      <c r="D133" s="196"/>
      <c r="E133" s="196"/>
      <c r="F133" s="222"/>
      <c r="G133" s="222"/>
      <c r="H133" s="274"/>
      <c r="I133" s="197"/>
      <c r="J133" s="268">
        <f t="shared" si="8"/>
        <v>0</v>
      </c>
      <c r="K133" s="185"/>
    </row>
    <row r="134" spans="1:23" hidden="1" x14ac:dyDescent="0.3">
      <c r="A134" s="184"/>
      <c r="B134" s="194">
        <v>24</v>
      </c>
      <c r="C134" s="195"/>
      <c r="D134" s="196"/>
      <c r="E134" s="196"/>
      <c r="F134" s="222"/>
      <c r="G134" s="222"/>
      <c r="H134" s="274"/>
      <c r="I134" s="197"/>
      <c r="J134" s="268">
        <f t="shared" si="8"/>
        <v>0</v>
      </c>
      <c r="K134" s="185"/>
    </row>
    <row r="135" spans="1:23" hidden="1" x14ac:dyDescent="0.3">
      <c r="A135" s="184"/>
      <c r="B135" s="194">
        <v>25</v>
      </c>
      <c r="C135" s="195"/>
      <c r="D135" s="196"/>
      <c r="E135" s="196"/>
      <c r="F135" s="222"/>
      <c r="G135" s="222"/>
      <c r="H135" s="274"/>
      <c r="I135" s="197"/>
      <c r="J135" s="268">
        <f t="shared" si="8"/>
        <v>0</v>
      </c>
      <c r="K135" s="185"/>
      <c r="V135" s="183">
        <f t="shared" si="9"/>
        <v>0</v>
      </c>
      <c r="W135" s="183">
        <f t="shared" si="10"/>
        <v>0</v>
      </c>
    </row>
    <row r="136" spans="1:23" hidden="1" x14ac:dyDescent="0.3">
      <c r="A136" s="184"/>
      <c r="B136" s="194">
        <v>21</v>
      </c>
      <c r="C136" s="195"/>
      <c r="D136" s="196"/>
      <c r="E136" s="222"/>
      <c r="F136" s="222"/>
      <c r="G136" s="222"/>
      <c r="H136" s="274"/>
      <c r="I136" s="197"/>
      <c r="J136" s="268">
        <f t="shared" si="8"/>
        <v>0</v>
      </c>
      <c r="K136" s="185"/>
      <c r="V136" s="183">
        <f t="shared" si="9"/>
        <v>0</v>
      </c>
      <c r="W136" s="183">
        <f t="shared" si="10"/>
        <v>0</v>
      </c>
    </row>
    <row r="137" spans="1:23" hidden="1" x14ac:dyDescent="0.3">
      <c r="A137" s="184"/>
      <c r="B137" s="194">
        <v>22</v>
      </c>
      <c r="C137" s="195"/>
      <c r="D137" s="196"/>
      <c r="E137" s="222"/>
      <c r="F137" s="222"/>
      <c r="G137" s="222"/>
      <c r="H137" s="274"/>
      <c r="I137" s="197"/>
      <c r="J137" s="268">
        <f t="shared" si="8"/>
        <v>0</v>
      </c>
      <c r="K137" s="185"/>
      <c r="V137" s="183">
        <f>IF($J137&gt;0,1,0)</f>
        <v>0</v>
      </c>
      <c r="W137" s="183">
        <f>IF($J137&lt;0,1,0)</f>
        <v>0</v>
      </c>
    </row>
    <row r="138" spans="1:23" hidden="1" x14ac:dyDescent="0.3">
      <c r="A138" s="184"/>
      <c r="B138" s="194">
        <v>23</v>
      </c>
      <c r="C138" s="195"/>
      <c r="D138" s="196"/>
      <c r="E138" s="222"/>
      <c r="F138" s="222"/>
      <c r="G138" s="222"/>
      <c r="H138" s="222"/>
      <c r="I138" s="197"/>
      <c r="J138" s="268">
        <f>I138*H138</f>
        <v>0</v>
      </c>
      <c r="K138" s="185"/>
      <c r="V138" s="183">
        <f>IF($J138&gt;0,1,0)</f>
        <v>0</v>
      </c>
      <c r="W138" s="183">
        <f>IF($J138&lt;0,1,0)</f>
        <v>0</v>
      </c>
    </row>
    <row r="139" spans="1:23" ht="15" hidden="1" thickBot="1" x14ac:dyDescent="0.35">
      <c r="A139" s="184"/>
      <c r="B139" s="194">
        <v>26</v>
      </c>
      <c r="C139" s="220"/>
      <c r="D139" s="221"/>
      <c r="E139" s="221"/>
      <c r="F139" s="222"/>
      <c r="G139" s="222"/>
      <c r="H139" s="222"/>
      <c r="I139" s="211"/>
      <c r="J139" s="272">
        <f>I139*H139</f>
        <v>0</v>
      </c>
      <c r="K139" s="185"/>
      <c r="V139" s="183">
        <f>IF($J139&gt;0,1,0)</f>
        <v>0</v>
      </c>
      <c r="W139" s="183">
        <f>IF($J139&lt;0,1,0)</f>
        <v>0</v>
      </c>
    </row>
    <row r="140" spans="1:23" ht="24" thickBot="1" x14ac:dyDescent="0.5">
      <c r="A140" s="184"/>
      <c r="B140" s="316" t="s">
        <v>879</v>
      </c>
      <c r="C140" s="317"/>
      <c r="D140" s="317"/>
      <c r="E140" s="317"/>
      <c r="F140" s="317"/>
      <c r="G140" s="317"/>
      <c r="H140" s="318"/>
      <c r="I140" s="212" t="s">
        <v>880</v>
      </c>
      <c r="J140" s="213">
        <f>SUM(J111:J139)</f>
        <v>58750.000000000458</v>
      </c>
      <c r="K140" s="185"/>
      <c r="V140" s="183">
        <f>SUM(V111:V139)</f>
        <v>18</v>
      </c>
      <c r="W140" s="183">
        <f>SUM(W111:W139)</f>
        <v>1</v>
      </c>
    </row>
    <row r="141" spans="1:23" ht="30" customHeight="1" thickBot="1" x14ac:dyDescent="0.35">
      <c r="A141" s="205"/>
      <c r="B141" s="206"/>
      <c r="C141" s="206"/>
      <c r="D141" s="206"/>
      <c r="E141" s="206"/>
      <c r="F141" s="206"/>
      <c r="G141" s="206"/>
      <c r="H141" s="261"/>
      <c r="I141" s="206"/>
      <c r="J141" s="261"/>
      <c r="K141" s="207"/>
      <c r="L141" s="183" t="s">
        <v>926</v>
      </c>
    </row>
    <row r="142" spans="1:23" ht="15" thickBot="1" x14ac:dyDescent="0.35"/>
    <row r="143" spans="1:23" ht="30" customHeight="1" thickBot="1" x14ac:dyDescent="0.35">
      <c r="A143" s="180"/>
      <c r="B143" s="181"/>
      <c r="C143" s="181"/>
      <c r="D143" s="181"/>
      <c r="E143" s="181"/>
      <c r="F143" s="181"/>
      <c r="G143" s="181"/>
      <c r="H143" s="259"/>
      <c r="I143" s="181"/>
      <c r="J143" s="259"/>
      <c r="K143" s="182"/>
    </row>
    <row r="144" spans="1:23" ht="25.2" thickBot="1" x14ac:dyDescent="0.35">
      <c r="A144" s="184" t="s">
        <v>0</v>
      </c>
      <c r="B144" s="307" t="s">
        <v>873</v>
      </c>
      <c r="C144" s="308"/>
      <c r="D144" s="308"/>
      <c r="E144" s="308"/>
      <c r="F144" s="308"/>
      <c r="G144" s="308"/>
      <c r="H144" s="308"/>
      <c r="I144" s="308"/>
      <c r="J144" s="309"/>
      <c r="K144" s="185"/>
    </row>
    <row r="145" spans="1:23" ht="16.2" thickBot="1" x14ac:dyDescent="0.35">
      <c r="A145" s="184"/>
      <c r="B145" s="310">
        <v>45444</v>
      </c>
      <c r="C145" s="311"/>
      <c r="D145" s="311"/>
      <c r="E145" s="311"/>
      <c r="F145" s="311"/>
      <c r="G145" s="311"/>
      <c r="H145" s="311"/>
      <c r="I145" s="311"/>
      <c r="J145" s="312"/>
      <c r="K145" s="185"/>
    </row>
    <row r="146" spans="1:23" ht="16.2" thickBot="1" x14ac:dyDescent="0.35">
      <c r="A146" s="184"/>
      <c r="B146" s="313" t="s">
        <v>905</v>
      </c>
      <c r="C146" s="314"/>
      <c r="D146" s="314"/>
      <c r="E146" s="314"/>
      <c r="F146" s="314"/>
      <c r="G146" s="314"/>
      <c r="H146" s="314"/>
      <c r="I146" s="314"/>
      <c r="J146" s="315"/>
      <c r="K146" s="185"/>
    </row>
    <row r="147" spans="1:23" ht="15" thickBot="1" x14ac:dyDescent="0.35">
      <c r="A147" s="208"/>
      <c r="B147" s="186" t="s">
        <v>876</v>
      </c>
      <c r="C147" s="187" t="s">
        <v>1</v>
      </c>
      <c r="D147" s="188" t="s">
        <v>2</v>
      </c>
      <c r="E147" s="188" t="s">
        <v>3</v>
      </c>
      <c r="F147" s="189" t="s">
        <v>4</v>
      </c>
      <c r="G147" s="189" t="s">
        <v>5</v>
      </c>
      <c r="H147" s="260" t="s">
        <v>720</v>
      </c>
      <c r="I147" s="189" t="s">
        <v>6</v>
      </c>
      <c r="J147" s="266" t="s">
        <v>7</v>
      </c>
      <c r="K147" s="209"/>
      <c r="L147" s="198"/>
      <c r="V147" s="183" t="s">
        <v>254</v>
      </c>
      <c r="W147" s="183" t="s">
        <v>255</v>
      </c>
    </row>
    <row r="148" spans="1:23" x14ac:dyDescent="0.3">
      <c r="A148" s="184"/>
      <c r="B148" s="214">
        <v>1</v>
      </c>
      <c r="C148" s="215">
        <v>45446</v>
      </c>
      <c r="D148" s="216" t="s">
        <v>16</v>
      </c>
      <c r="E148" s="256" t="s">
        <v>946</v>
      </c>
      <c r="F148" s="256">
        <v>240</v>
      </c>
      <c r="G148" s="256">
        <v>268</v>
      </c>
      <c r="H148" s="256">
        <v>28</v>
      </c>
      <c r="I148" s="218">
        <v>100</v>
      </c>
      <c r="J148" s="273">
        <f>I148*H148</f>
        <v>2800</v>
      </c>
      <c r="K148" s="185"/>
      <c r="V148" s="183">
        <f>IF($J148&gt;0,1,0)</f>
        <v>1</v>
      </c>
      <c r="W148" s="183">
        <f>IF($J148&lt;0,1,0)</f>
        <v>0</v>
      </c>
    </row>
    <row r="149" spans="1:23" x14ac:dyDescent="0.3">
      <c r="A149" s="184"/>
      <c r="B149" s="194">
        <v>2</v>
      </c>
      <c r="C149" s="195">
        <v>45447</v>
      </c>
      <c r="D149" s="196" t="s">
        <v>16</v>
      </c>
      <c r="E149" s="222" t="s">
        <v>908</v>
      </c>
      <c r="F149" s="222">
        <v>200</v>
      </c>
      <c r="G149" s="222">
        <v>215</v>
      </c>
      <c r="H149" s="222">
        <v>15</v>
      </c>
      <c r="I149" s="218">
        <v>100</v>
      </c>
      <c r="J149" s="268">
        <f t="shared" ref="J149:J168" si="11">I149*H149</f>
        <v>1500</v>
      </c>
      <c r="K149" s="185"/>
      <c r="V149" s="183">
        <f t="shared" ref="V149:V170" si="12">IF($J149&gt;0,1,0)</f>
        <v>1</v>
      </c>
      <c r="W149" s="183">
        <f t="shared" ref="W149:W170" si="13">IF($J149&lt;0,1,0)</f>
        <v>0</v>
      </c>
    </row>
    <row r="150" spans="1:23" x14ac:dyDescent="0.3">
      <c r="A150" s="184"/>
      <c r="B150" s="194">
        <v>3</v>
      </c>
      <c r="C150" s="195">
        <v>45448</v>
      </c>
      <c r="D150" s="196" t="s">
        <v>16</v>
      </c>
      <c r="E150" s="222" t="s">
        <v>907</v>
      </c>
      <c r="F150" s="222">
        <v>240</v>
      </c>
      <c r="G150" s="222">
        <v>220</v>
      </c>
      <c r="H150" s="222">
        <v>20</v>
      </c>
      <c r="I150" s="218">
        <v>100</v>
      </c>
      <c r="J150" s="268">
        <f t="shared" si="11"/>
        <v>2000</v>
      </c>
      <c r="K150" s="185"/>
      <c r="M150" s="183" t="s">
        <v>870</v>
      </c>
      <c r="V150" s="183">
        <f t="shared" si="12"/>
        <v>1</v>
      </c>
      <c r="W150" s="183">
        <f t="shared" si="13"/>
        <v>0</v>
      </c>
    </row>
    <row r="151" spans="1:23" x14ac:dyDescent="0.3">
      <c r="A151" s="184"/>
      <c r="B151" s="194">
        <v>4</v>
      </c>
      <c r="C151" s="195">
        <v>45449</v>
      </c>
      <c r="D151" s="196" t="s">
        <v>16</v>
      </c>
      <c r="E151" s="222" t="s">
        <v>907</v>
      </c>
      <c r="F151" s="222">
        <v>160</v>
      </c>
      <c r="G151" s="222">
        <v>140</v>
      </c>
      <c r="H151" s="222">
        <v>20</v>
      </c>
      <c r="I151" s="218">
        <v>100</v>
      </c>
      <c r="J151" s="268">
        <f t="shared" si="11"/>
        <v>2000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5</v>
      </c>
      <c r="C152" s="195">
        <v>45450</v>
      </c>
      <c r="D152" s="196" t="s">
        <v>16</v>
      </c>
      <c r="E152" s="222" t="s">
        <v>913</v>
      </c>
      <c r="F152" s="222">
        <v>225</v>
      </c>
      <c r="G152" s="222">
        <v>245</v>
      </c>
      <c r="H152" s="222">
        <v>-20</v>
      </c>
      <c r="I152" s="218">
        <v>100</v>
      </c>
      <c r="J152" s="268">
        <f t="shared" si="11"/>
        <v>-2000</v>
      </c>
      <c r="K152" s="185"/>
      <c r="V152" s="183">
        <f t="shared" si="12"/>
        <v>0</v>
      </c>
      <c r="W152" s="183">
        <f t="shared" si="13"/>
        <v>1</v>
      </c>
    </row>
    <row r="153" spans="1:23" x14ac:dyDescent="0.3">
      <c r="A153" s="184"/>
      <c r="B153" s="194">
        <v>6</v>
      </c>
      <c r="C153" s="195">
        <v>45453</v>
      </c>
      <c r="D153" s="196" t="s">
        <v>16</v>
      </c>
      <c r="E153" s="222" t="s">
        <v>913</v>
      </c>
      <c r="F153" s="222">
        <v>200</v>
      </c>
      <c r="G153" s="222">
        <v>213</v>
      </c>
      <c r="H153" s="222">
        <v>13</v>
      </c>
      <c r="I153" s="218">
        <v>100</v>
      </c>
      <c r="J153" s="268">
        <f t="shared" si="11"/>
        <v>1300</v>
      </c>
      <c r="K153" s="185"/>
      <c r="V153" s="183">
        <f t="shared" si="12"/>
        <v>1</v>
      </c>
      <c r="W153" s="183">
        <f t="shared" si="13"/>
        <v>0</v>
      </c>
    </row>
    <row r="154" spans="1:23" x14ac:dyDescent="0.3">
      <c r="A154" s="184"/>
      <c r="B154" s="194">
        <v>7</v>
      </c>
      <c r="C154" s="195">
        <v>45454</v>
      </c>
      <c r="D154" s="196" t="s">
        <v>16</v>
      </c>
      <c r="E154" s="222" t="s">
        <v>914</v>
      </c>
      <c r="F154" s="222">
        <v>220</v>
      </c>
      <c r="G154" s="222">
        <v>238</v>
      </c>
      <c r="H154" s="274">
        <f>238-220</f>
        <v>18</v>
      </c>
      <c r="I154" s="218">
        <v>100</v>
      </c>
      <c r="J154" s="268">
        <f t="shared" si="11"/>
        <v>1800</v>
      </c>
      <c r="K154" s="185"/>
      <c r="M154" s="183" t="s">
        <v>942</v>
      </c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8</v>
      </c>
      <c r="C155" s="195">
        <v>45455</v>
      </c>
      <c r="D155" s="196" t="s">
        <v>16</v>
      </c>
      <c r="E155" s="222" t="s">
        <v>928</v>
      </c>
      <c r="F155" s="222">
        <v>220</v>
      </c>
      <c r="G155" s="222">
        <v>228</v>
      </c>
      <c r="H155" s="222">
        <v>8</v>
      </c>
      <c r="I155" s="218">
        <v>100</v>
      </c>
      <c r="J155" s="268">
        <f t="shared" si="11"/>
        <v>800</v>
      </c>
      <c r="K155" s="185"/>
      <c r="V155" s="183">
        <f t="shared" si="12"/>
        <v>1</v>
      </c>
      <c r="W155" s="183">
        <f t="shared" si="13"/>
        <v>0</v>
      </c>
    </row>
    <row r="156" spans="1:23" x14ac:dyDescent="0.3">
      <c r="A156" s="184"/>
      <c r="B156" s="194">
        <v>9</v>
      </c>
      <c r="C156" s="195">
        <v>45456</v>
      </c>
      <c r="D156" s="196" t="s">
        <v>16</v>
      </c>
      <c r="E156" s="222" t="s">
        <v>928</v>
      </c>
      <c r="F156" s="222">
        <v>285</v>
      </c>
      <c r="G156" s="222">
        <v>305</v>
      </c>
      <c r="H156" s="222">
        <f>305-285</f>
        <v>20</v>
      </c>
      <c r="I156" s="218">
        <v>100</v>
      </c>
      <c r="J156" s="268">
        <f t="shared" si="11"/>
        <v>2000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10</v>
      </c>
      <c r="C157" s="195">
        <v>45457</v>
      </c>
      <c r="D157" s="196" t="s">
        <v>16</v>
      </c>
      <c r="E157" s="222" t="s">
        <v>912</v>
      </c>
      <c r="F157" s="222">
        <v>230</v>
      </c>
      <c r="G157" s="222">
        <v>238</v>
      </c>
      <c r="H157" s="222">
        <v>8</v>
      </c>
      <c r="I157" s="218">
        <v>100</v>
      </c>
      <c r="J157" s="268">
        <f t="shared" si="11"/>
        <v>800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11</v>
      </c>
      <c r="C158" s="195">
        <v>45461</v>
      </c>
      <c r="D158" s="196" t="s">
        <v>16</v>
      </c>
      <c r="E158" s="222" t="s">
        <v>914</v>
      </c>
      <c r="F158" s="222">
        <v>215</v>
      </c>
      <c r="G158" s="222">
        <v>225</v>
      </c>
      <c r="H158" s="274">
        <v>10</v>
      </c>
      <c r="I158" s="218">
        <v>100</v>
      </c>
      <c r="J158" s="268">
        <f t="shared" si="11"/>
        <v>1000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12</v>
      </c>
      <c r="C159" s="195">
        <v>45462</v>
      </c>
      <c r="D159" s="196" t="s">
        <v>16</v>
      </c>
      <c r="E159" s="222" t="s">
        <v>914</v>
      </c>
      <c r="F159" s="222">
        <v>170</v>
      </c>
      <c r="G159" s="222">
        <v>180</v>
      </c>
      <c r="H159" s="274">
        <v>10</v>
      </c>
      <c r="I159" s="218">
        <v>100</v>
      </c>
      <c r="J159" s="268">
        <f t="shared" si="11"/>
        <v>1000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13</v>
      </c>
      <c r="C160" s="195">
        <v>45463</v>
      </c>
      <c r="D160" s="196" t="s">
        <v>16</v>
      </c>
      <c r="E160" s="222" t="s">
        <v>928</v>
      </c>
      <c r="F160" s="222">
        <v>195</v>
      </c>
      <c r="G160" s="222">
        <v>175</v>
      </c>
      <c r="H160" s="274">
        <v>-20</v>
      </c>
      <c r="I160" s="218">
        <v>100</v>
      </c>
      <c r="J160" s="268">
        <f t="shared" si="11"/>
        <v>-2000</v>
      </c>
      <c r="K160" s="185"/>
      <c r="V160" s="183">
        <f t="shared" si="12"/>
        <v>0</v>
      </c>
      <c r="W160" s="183">
        <f t="shared" si="13"/>
        <v>1</v>
      </c>
    </row>
    <row r="161" spans="1:23" x14ac:dyDescent="0.3">
      <c r="A161" s="184"/>
      <c r="B161" s="194">
        <v>14</v>
      </c>
      <c r="C161" s="195">
        <v>45464</v>
      </c>
      <c r="D161" s="196" t="s">
        <v>16</v>
      </c>
      <c r="E161" s="222" t="s">
        <v>928</v>
      </c>
      <c r="F161" s="222">
        <v>170</v>
      </c>
      <c r="G161" s="222">
        <v>179</v>
      </c>
      <c r="H161" s="274">
        <v>9</v>
      </c>
      <c r="I161" s="218">
        <v>100</v>
      </c>
      <c r="J161" s="268">
        <f t="shared" si="11"/>
        <v>900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15</v>
      </c>
      <c r="C162" s="195">
        <v>45467</v>
      </c>
      <c r="D162" s="196" t="s">
        <v>16</v>
      </c>
      <c r="E162" s="196" t="s">
        <v>928</v>
      </c>
      <c r="F162" s="222">
        <v>180</v>
      </c>
      <c r="G162" s="222">
        <v>213</v>
      </c>
      <c r="H162" s="222">
        <f>213-180</f>
        <v>33</v>
      </c>
      <c r="I162" s="218">
        <v>100</v>
      </c>
      <c r="J162" s="268">
        <f t="shared" si="11"/>
        <v>3300</v>
      </c>
      <c r="K162" s="185"/>
      <c r="V162" s="183">
        <f t="shared" si="12"/>
        <v>1</v>
      </c>
      <c r="W162" s="183">
        <f t="shared" si="13"/>
        <v>0</v>
      </c>
    </row>
    <row r="163" spans="1:23" x14ac:dyDescent="0.3">
      <c r="A163" s="184"/>
      <c r="B163" s="194">
        <v>16</v>
      </c>
      <c r="C163" s="195">
        <v>45468</v>
      </c>
      <c r="D163" s="196" t="s">
        <v>16</v>
      </c>
      <c r="E163" s="196" t="s">
        <v>928</v>
      </c>
      <c r="F163" s="222">
        <v>160</v>
      </c>
      <c r="G163" s="274">
        <v>180</v>
      </c>
      <c r="H163" s="274">
        <v>20</v>
      </c>
      <c r="I163" s="218">
        <v>100</v>
      </c>
      <c r="J163" s="268">
        <f t="shared" si="11"/>
        <v>2000</v>
      </c>
      <c r="K163" s="185"/>
      <c r="V163" s="183">
        <f t="shared" si="12"/>
        <v>1</v>
      </c>
      <c r="W163" s="183">
        <f t="shared" si="13"/>
        <v>0</v>
      </c>
    </row>
    <row r="164" spans="1:23" x14ac:dyDescent="0.3">
      <c r="A164" s="184"/>
      <c r="B164" s="194">
        <v>17</v>
      </c>
      <c r="C164" s="195">
        <v>45469</v>
      </c>
      <c r="D164" s="196" t="s">
        <v>16</v>
      </c>
      <c r="E164" s="196" t="s">
        <v>928</v>
      </c>
      <c r="F164" s="222">
        <v>160</v>
      </c>
      <c r="G164" s="222">
        <v>168</v>
      </c>
      <c r="H164" s="263">
        <v>8</v>
      </c>
      <c r="I164" s="218">
        <v>100</v>
      </c>
      <c r="J164" s="268">
        <f t="shared" si="11"/>
        <v>800</v>
      </c>
      <c r="K164" s="185"/>
      <c r="V164" s="183">
        <f t="shared" si="12"/>
        <v>1</v>
      </c>
      <c r="W164" s="183">
        <f t="shared" si="13"/>
        <v>0</v>
      </c>
    </row>
    <row r="165" spans="1:23" x14ac:dyDescent="0.3">
      <c r="A165" s="184"/>
      <c r="B165" s="194">
        <v>18</v>
      </c>
      <c r="C165" s="195">
        <v>45470</v>
      </c>
      <c r="D165" s="196" t="s">
        <v>16</v>
      </c>
      <c r="E165" s="196" t="s">
        <v>928</v>
      </c>
      <c r="F165" s="222">
        <v>160</v>
      </c>
      <c r="G165" s="222">
        <v>140</v>
      </c>
      <c r="H165" s="274">
        <v>-20</v>
      </c>
      <c r="I165" s="218">
        <v>100</v>
      </c>
      <c r="J165" s="268">
        <f t="shared" si="11"/>
        <v>-2000</v>
      </c>
      <c r="K165" s="185"/>
      <c r="V165" s="183">
        <f t="shared" si="12"/>
        <v>0</v>
      </c>
      <c r="W165" s="183">
        <f t="shared" si="13"/>
        <v>1</v>
      </c>
    </row>
    <row r="166" spans="1:23" x14ac:dyDescent="0.3">
      <c r="A166" s="184"/>
      <c r="B166" s="194">
        <v>19</v>
      </c>
      <c r="C166" s="195">
        <v>45471</v>
      </c>
      <c r="D166" s="196" t="s">
        <v>16</v>
      </c>
      <c r="E166" s="196" t="s">
        <v>922</v>
      </c>
      <c r="F166" s="222">
        <v>170</v>
      </c>
      <c r="G166" s="222">
        <v>179</v>
      </c>
      <c r="H166" s="274">
        <v>9</v>
      </c>
      <c r="I166" s="218">
        <v>100</v>
      </c>
      <c r="J166" s="268">
        <f t="shared" si="11"/>
        <v>900</v>
      </c>
      <c r="K166" s="185"/>
      <c r="V166" s="183">
        <f t="shared" si="12"/>
        <v>1</v>
      </c>
      <c r="W166" s="183">
        <f t="shared" si="13"/>
        <v>0</v>
      </c>
    </row>
    <row r="167" spans="1:23" x14ac:dyDescent="0.3">
      <c r="A167" s="184"/>
      <c r="B167" s="194">
        <v>20</v>
      </c>
      <c r="C167" s="195"/>
      <c r="D167" s="196"/>
      <c r="E167" s="222"/>
      <c r="F167" s="222"/>
      <c r="G167" s="222"/>
      <c r="H167" s="274"/>
      <c r="I167" s="218"/>
      <c r="J167" s="268">
        <f t="shared" si="11"/>
        <v>0</v>
      </c>
      <c r="K167" s="185"/>
      <c r="V167" s="183">
        <f t="shared" si="12"/>
        <v>0</v>
      </c>
      <c r="W167" s="183">
        <f t="shared" si="13"/>
        <v>0</v>
      </c>
    </row>
    <row r="168" spans="1:23" hidden="1" x14ac:dyDescent="0.3">
      <c r="A168" s="184"/>
      <c r="B168" s="194">
        <v>21</v>
      </c>
      <c r="C168" s="195"/>
      <c r="D168" s="196"/>
      <c r="E168" s="222"/>
      <c r="F168" s="222"/>
      <c r="G168" s="222"/>
      <c r="H168" s="274"/>
      <c r="I168" s="218"/>
      <c r="J168" s="268">
        <f t="shared" si="11"/>
        <v>0</v>
      </c>
      <c r="K168" s="185"/>
      <c r="V168" s="183">
        <f t="shared" si="12"/>
        <v>0</v>
      </c>
      <c r="W168" s="183">
        <f t="shared" si="13"/>
        <v>0</v>
      </c>
    </row>
    <row r="169" spans="1:23" hidden="1" x14ac:dyDescent="0.3">
      <c r="A169" s="184"/>
      <c r="B169" s="194">
        <v>22</v>
      </c>
      <c r="C169" s="195"/>
      <c r="D169" s="196"/>
      <c r="E169" s="222"/>
      <c r="F169" s="222"/>
      <c r="G169" s="222"/>
      <c r="H169" s="222"/>
      <c r="I169" s="218"/>
      <c r="J169" s="268">
        <f>I169*H169</f>
        <v>0</v>
      </c>
      <c r="K169" s="185"/>
      <c r="V169" s="183">
        <f t="shared" si="12"/>
        <v>0</v>
      </c>
      <c r="W169" s="183">
        <f t="shared" si="13"/>
        <v>0</v>
      </c>
    </row>
    <row r="170" spans="1:23" ht="15" thickBot="1" x14ac:dyDescent="0.35">
      <c r="A170" s="184"/>
      <c r="B170" s="199">
        <v>23</v>
      </c>
      <c r="C170" s="200"/>
      <c r="D170" s="201"/>
      <c r="E170" s="201"/>
      <c r="F170" s="284"/>
      <c r="G170" s="284"/>
      <c r="H170" s="284"/>
      <c r="I170" s="285"/>
      <c r="J170" s="269">
        <f>I170*H170</f>
        <v>0</v>
      </c>
      <c r="K170" s="185"/>
      <c r="V170" s="183">
        <f t="shared" si="12"/>
        <v>0</v>
      </c>
      <c r="W170" s="183">
        <f t="shared" si="13"/>
        <v>0</v>
      </c>
    </row>
    <row r="171" spans="1:23" ht="24" thickBot="1" x14ac:dyDescent="0.5">
      <c r="A171" s="184"/>
      <c r="B171" s="304" t="s">
        <v>879</v>
      </c>
      <c r="C171" s="305"/>
      <c r="D171" s="305"/>
      <c r="E171" s="305"/>
      <c r="F171" s="305"/>
      <c r="G171" s="305"/>
      <c r="H171" s="306"/>
      <c r="I171" s="203" t="s">
        <v>880</v>
      </c>
      <c r="J171" s="204">
        <f>SUM(J148:J170)</f>
        <v>18900</v>
      </c>
      <c r="K171" s="185"/>
      <c r="V171" s="183">
        <f>SUM(V148:V170)</f>
        <v>16</v>
      </c>
      <c r="W171" s="183">
        <f>SUM(W148:W170)</f>
        <v>3</v>
      </c>
    </row>
    <row r="172" spans="1:23" ht="30" customHeight="1" thickBot="1" x14ac:dyDescent="0.35">
      <c r="A172" s="205"/>
      <c r="B172" s="286"/>
      <c r="C172" s="286"/>
      <c r="D172" s="286"/>
      <c r="E172" s="286"/>
      <c r="F172" s="286"/>
      <c r="G172" s="286"/>
      <c r="H172" s="287"/>
      <c r="I172" s="286"/>
      <c r="J172" s="287"/>
      <c r="K172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45:J145"/>
    <mergeCell ref="B146:J146"/>
    <mergeCell ref="B171:H171"/>
    <mergeCell ref="B103:H103"/>
    <mergeCell ref="B107:J107"/>
    <mergeCell ref="B108:J108"/>
    <mergeCell ref="B109:J109"/>
    <mergeCell ref="B140:H140"/>
    <mergeCell ref="B144:J144"/>
  </mergeCells>
  <hyperlinks>
    <hyperlink ref="B52" r:id="rId1" xr:uid="{AFC7C667-3E02-47DC-98ED-F483C0BB5C8D}"/>
    <hyperlink ref="B103" r:id="rId2" xr:uid="{1EE29BE7-F8F5-46AA-9021-4EC628E09944}"/>
    <hyperlink ref="M4:M5" location="'MAY 2024'!A1" display="BULLION" xr:uid="{FE1E3FE5-8A25-4972-91D3-440EF08BD916}"/>
    <hyperlink ref="B140" r:id="rId3" xr:uid="{547BDB99-379E-40F5-8315-469B8A813CCA}"/>
    <hyperlink ref="M8:M9" location="'MAY 2024'!A86" display="BASE METAL" xr:uid="{C81AC68B-9A72-41FC-8BAF-8B4736293710}"/>
    <hyperlink ref="M1" location="MASTER!A1" display="Back" xr:uid="{6731FDB6-ABDB-4593-95E8-88EBFA5A2262}"/>
    <hyperlink ref="M6:M7" location="'MAY 2024'!A55" display="ENERGY" xr:uid="{94E73576-9925-47CF-87AD-0C5C03A824A4}"/>
    <hyperlink ref="B171" r:id="rId4" xr:uid="{03DB38A1-8A86-43E0-B2BC-205600C2397C}"/>
    <hyperlink ref="M10:M11" location="'MAY 2024'!A117" display="CRUDEOIL OPTION" xr:uid="{D18A0C47-2301-413F-A165-A091A7137E14}"/>
  </hyperlinks>
  <pageMargins left="0" right="0" top="0" bottom="0" header="0" footer="0"/>
  <pageSetup paperSize="9" orientation="portrait" r:id="rId5"/>
  <drawing r:id="rId6"/>
  <legacy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135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41640</v>
      </c>
      <c r="C5" s="24" t="s">
        <v>16</v>
      </c>
      <c r="D5" s="26" t="s">
        <v>22</v>
      </c>
      <c r="E5" s="29">
        <v>44870</v>
      </c>
      <c r="F5" s="29">
        <v>45070</v>
      </c>
      <c r="G5" s="29">
        <v>30</v>
      </c>
      <c r="H5" s="29">
        <v>6000</v>
      </c>
      <c r="I5" s="20"/>
      <c r="J5" s="34"/>
    </row>
    <row r="6" spans="1:10" x14ac:dyDescent="0.3">
      <c r="A6" s="20"/>
      <c r="B6" s="71">
        <v>41642</v>
      </c>
      <c r="C6" s="24" t="s">
        <v>16</v>
      </c>
      <c r="D6" s="26" t="s">
        <v>24</v>
      </c>
      <c r="E6" s="29">
        <v>29090</v>
      </c>
      <c r="F6" s="29">
        <v>29195</v>
      </c>
      <c r="G6" s="29">
        <v>100</v>
      </c>
      <c r="H6" s="29">
        <v>10500</v>
      </c>
      <c r="I6" s="20"/>
      <c r="J6" s="34"/>
    </row>
    <row r="7" spans="1:10" x14ac:dyDescent="0.3">
      <c r="A7" s="20"/>
      <c r="B7" s="71">
        <v>41645</v>
      </c>
      <c r="C7" s="24" t="s">
        <v>16</v>
      </c>
      <c r="D7" s="26" t="s">
        <v>24</v>
      </c>
      <c r="E7" s="29">
        <v>29220</v>
      </c>
      <c r="F7" s="29">
        <v>29140</v>
      </c>
      <c r="G7" s="29">
        <v>100</v>
      </c>
      <c r="H7" s="29">
        <v>-8000</v>
      </c>
      <c r="I7" s="20"/>
      <c r="J7" s="34"/>
    </row>
    <row r="8" spans="1:10" x14ac:dyDescent="0.3">
      <c r="A8" s="20"/>
      <c r="B8" s="71">
        <v>41646</v>
      </c>
      <c r="C8" s="24" t="s">
        <v>23</v>
      </c>
      <c r="D8" s="26" t="s">
        <v>24</v>
      </c>
      <c r="E8" s="29">
        <v>29020</v>
      </c>
      <c r="F8" s="29">
        <v>28905</v>
      </c>
      <c r="G8" s="29">
        <v>100</v>
      </c>
      <c r="H8" s="29">
        <v>11500</v>
      </c>
      <c r="I8" s="20"/>
      <c r="J8" s="34"/>
    </row>
    <row r="9" spans="1:10" x14ac:dyDescent="0.3">
      <c r="A9" s="20"/>
      <c r="B9" s="71">
        <v>41647</v>
      </c>
      <c r="C9" s="24" t="s">
        <v>23</v>
      </c>
      <c r="D9" s="26" t="s">
        <v>24</v>
      </c>
      <c r="E9" s="29">
        <v>28790</v>
      </c>
      <c r="F9" s="29">
        <v>28720</v>
      </c>
      <c r="G9" s="29">
        <v>100</v>
      </c>
      <c r="H9" s="29">
        <v>7000</v>
      </c>
      <c r="I9" s="20"/>
      <c r="J9" s="34"/>
    </row>
    <row r="10" spans="1:10" x14ac:dyDescent="0.3">
      <c r="A10" s="20"/>
      <c r="B10" s="71">
        <v>41648</v>
      </c>
      <c r="C10" s="24" t="s">
        <v>16</v>
      </c>
      <c r="D10" s="26" t="s">
        <v>24</v>
      </c>
      <c r="E10" s="29">
        <v>28730</v>
      </c>
      <c r="F10" s="29">
        <v>28840</v>
      </c>
      <c r="G10" s="29">
        <v>100</v>
      </c>
      <c r="H10" s="29">
        <v>11000</v>
      </c>
      <c r="I10" s="20"/>
      <c r="J10" s="34"/>
    </row>
    <row r="11" spans="1:10" x14ac:dyDescent="0.3">
      <c r="A11" s="20"/>
      <c r="B11" s="71">
        <v>41649</v>
      </c>
      <c r="C11" s="24" t="s">
        <v>23</v>
      </c>
      <c r="D11" s="26" t="s">
        <v>24</v>
      </c>
      <c r="E11" s="29">
        <v>28905</v>
      </c>
      <c r="F11" s="29">
        <v>29085</v>
      </c>
      <c r="G11" s="29">
        <v>100</v>
      </c>
      <c r="H11" s="29">
        <v>-18000</v>
      </c>
      <c r="I11" s="20"/>
      <c r="J11" s="34"/>
    </row>
    <row r="12" spans="1:10" x14ac:dyDescent="0.3">
      <c r="A12" s="20"/>
      <c r="B12" s="71">
        <v>41652</v>
      </c>
      <c r="C12" s="24" t="s">
        <v>23</v>
      </c>
      <c r="D12" s="26" t="s">
        <v>22</v>
      </c>
      <c r="E12" s="29">
        <v>44850</v>
      </c>
      <c r="F12" s="29">
        <v>44450</v>
      </c>
      <c r="G12" s="29">
        <v>30</v>
      </c>
      <c r="H12" s="29">
        <v>12000</v>
      </c>
      <c r="I12" s="20"/>
      <c r="J12" s="34"/>
    </row>
    <row r="13" spans="1:10" x14ac:dyDescent="0.3">
      <c r="A13" s="20"/>
      <c r="B13" s="71">
        <v>41654</v>
      </c>
      <c r="C13" s="24" t="s">
        <v>16</v>
      </c>
      <c r="D13" s="26" t="s">
        <v>22</v>
      </c>
      <c r="E13" s="29">
        <v>44550</v>
      </c>
      <c r="F13" s="29">
        <v>44380</v>
      </c>
      <c r="G13" s="29">
        <v>30</v>
      </c>
      <c r="H13" s="29">
        <v>-5100</v>
      </c>
      <c r="I13" s="20"/>
      <c r="J13" s="34"/>
    </row>
    <row r="14" spans="1:10" x14ac:dyDescent="0.3">
      <c r="A14" s="20"/>
      <c r="B14" s="71">
        <v>41655</v>
      </c>
      <c r="C14" s="24" t="s">
        <v>16</v>
      </c>
      <c r="D14" s="26" t="s">
        <v>24</v>
      </c>
      <c r="E14" s="29">
        <v>29030</v>
      </c>
      <c r="F14" s="29">
        <v>29350</v>
      </c>
      <c r="G14" s="29">
        <v>100</v>
      </c>
      <c r="H14" s="29">
        <v>32000</v>
      </c>
      <c r="I14" s="20"/>
      <c r="J14" s="34"/>
    </row>
    <row r="15" spans="1:10" x14ac:dyDescent="0.3">
      <c r="A15" s="20"/>
      <c r="B15" s="71">
        <v>41656</v>
      </c>
      <c r="C15" s="24" t="s">
        <v>23</v>
      </c>
      <c r="D15" s="26" t="s">
        <v>22</v>
      </c>
      <c r="E15" s="29">
        <v>44560</v>
      </c>
      <c r="F15" s="29">
        <v>44380</v>
      </c>
      <c r="G15" s="29">
        <v>30</v>
      </c>
      <c r="H15" s="29">
        <v>5400</v>
      </c>
      <c r="I15" s="20"/>
      <c r="J15" s="34"/>
    </row>
    <row r="16" spans="1:10" x14ac:dyDescent="0.3">
      <c r="A16" s="20"/>
      <c r="B16" s="71">
        <v>41659</v>
      </c>
      <c r="C16" s="24" t="s">
        <v>23</v>
      </c>
      <c r="D16" s="26" t="s">
        <v>24</v>
      </c>
      <c r="E16" s="29">
        <v>29320</v>
      </c>
      <c r="F16" s="29">
        <v>29390</v>
      </c>
      <c r="G16" s="29">
        <v>100</v>
      </c>
      <c r="H16" s="29">
        <v>-7000</v>
      </c>
      <c r="I16" s="20"/>
      <c r="J16" s="34"/>
    </row>
    <row r="17" spans="1:10" x14ac:dyDescent="0.3">
      <c r="A17" s="20"/>
      <c r="B17" s="71">
        <v>41660</v>
      </c>
      <c r="C17" s="24" t="s">
        <v>16</v>
      </c>
      <c r="D17" s="26" t="s">
        <v>24</v>
      </c>
      <c r="E17" s="29">
        <v>29200</v>
      </c>
      <c r="F17" s="29">
        <v>29230</v>
      </c>
      <c r="G17" s="29">
        <v>100</v>
      </c>
      <c r="H17" s="29">
        <v>3000</v>
      </c>
      <c r="I17" s="20"/>
      <c r="J17" s="34"/>
    </row>
    <row r="18" spans="1:10" x14ac:dyDescent="0.3">
      <c r="A18" s="20"/>
      <c r="B18" s="71">
        <v>41661</v>
      </c>
      <c r="C18" s="24" t="s">
        <v>16</v>
      </c>
      <c r="D18" s="26" t="s">
        <v>22</v>
      </c>
      <c r="E18" s="29">
        <v>44350</v>
      </c>
      <c r="F18" s="29">
        <v>44750</v>
      </c>
      <c r="G18" s="29">
        <v>30</v>
      </c>
      <c r="H18" s="29">
        <v>12000</v>
      </c>
      <c r="I18" s="20"/>
      <c r="J18" s="34"/>
    </row>
    <row r="19" spans="1:10" x14ac:dyDescent="0.3">
      <c r="A19" s="20"/>
      <c r="B19" s="71">
        <v>41662</v>
      </c>
      <c r="C19" s="24" t="s">
        <v>23</v>
      </c>
      <c r="D19" s="26" t="s">
        <v>24</v>
      </c>
      <c r="E19" s="29">
        <v>29120</v>
      </c>
      <c r="F19" s="29">
        <v>29000</v>
      </c>
      <c r="G19" s="29">
        <v>100</v>
      </c>
      <c r="H19" s="29">
        <v>12000</v>
      </c>
      <c r="I19" s="20"/>
      <c r="J19" s="34"/>
    </row>
    <row r="20" spans="1:10" x14ac:dyDescent="0.3">
      <c r="A20" s="20"/>
      <c r="B20" s="71">
        <v>41663</v>
      </c>
      <c r="C20" s="24" t="s">
        <v>16</v>
      </c>
      <c r="D20" s="26" t="s">
        <v>22</v>
      </c>
      <c r="E20" s="29">
        <v>45338</v>
      </c>
      <c r="F20" s="29">
        <v>45480</v>
      </c>
      <c r="G20" s="29">
        <v>30</v>
      </c>
      <c r="H20" s="29">
        <v>4260</v>
      </c>
      <c r="I20" s="20"/>
      <c r="J20" s="34"/>
    </row>
    <row r="21" spans="1:10" x14ac:dyDescent="0.3">
      <c r="A21" s="20"/>
      <c r="B21" s="71">
        <v>41666</v>
      </c>
      <c r="C21" s="24" t="s">
        <v>23</v>
      </c>
      <c r="D21" s="24" t="s">
        <v>22</v>
      </c>
      <c r="E21" s="29">
        <v>45050</v>
      </c>
      <c r="F21" s="29">
        <v>44851</v>
      </c>
      <c r="G21" s="29">
        <v>30</v>
      </c>
      <c r="H21" s="29">
        <v>5970</v>
      </c>
      <c r="I21" s="20"/>
      <c r="J21" s="34"/>
    </row>
    <row r="22" spans="1:10" x14ac:dyDescent="0.3">
      <c r="A22" s="20"/>
      <c r="B22" s="71">
        <v>41667</v>
      </c>
      <c r="C22" s="24" t="s">
        <v>16</v>
      </c>
      <c r="D22" s="26" t="s">
        <v>22</v>
      </c>
      <c r="E22" s="26">
        <v>44850</v>
      </c>
      <c r="F22" s="26">
        <v>44600</v>
      </c>
      <c r="G22" s="25">
        <v>30</v>
      </c>
      <c r="H22" s="45">
        <v>-7500</v>
      </c>
      <c r="I22" s="20"/>
      <c r="J22" s="34"/>
    </row>
    <row r="23" spans="1:10" x14ac:dyDescent="0.3">
      <c r="A23" s="20"/>
      <c r="B23" s="71">
        <v>41668</v>
      </c>
      <c r="C23" s="24" t="s">
        <v>16</v>
      </c>
      <c r="D23" s="26" t="s">
        <v>24</v>
      </c>
      <c r="E23" s="26">
        <v>29365</v>
      </c>
      <c r="F23" s="26">
        <v>29465</v>
      </c>
      <c r="G23" s="25">
        <v>100</v>
      </c>
      <c r="H23" s="45">
        <v>10000</v>
      </c>
      <c r="I23" s="20"/>
      <c r="J23" s="34"/>
    </row>
    <row r="24" spans="1:10" x14ac:dyDescent="0.3">
      <c r="A24" s="20"/>
      <c r="B24" s="71">
        <v>41669</v>
      </c>
      <c r="C24" s="24" t="s">
        <v>23</v>
      </c>
      <c r="D24" s="26" t="s">
        <v>24</v>
      </c>
      <c r="E24" s="26">
        <v>29800</v>
      </c>
      <c r="F24" s="26">
        <v>29565</v>
      </c>
      <c r="G24" s="25">
        <v>100</v>
      </c>
      <c r="H24" s="45">
        <v>23500</v>
      </c>
      <c r="I24" s="20"/>
      <c r="J24" s="34"/>
    </row>
    <row r="25" spans="1:10" x14ac:dyDescent="0.3">
      <c r="A25" s="20"/>
      <c r="B25" s="71">
        <v>41670</v>
      </c>
      <c r="C25" s="24" t="s">
        <v>16</v>
      </c>
      <c r="D25" s="26" t="s">
        <v>24</v>
      </c>
      <c r="E25" s="26">
        <v>29375</v>
      </c>
      <c r="F25" s="26">
        <v>29500</v>
      </c>
      <c r="G25" s="25">
        <v>100</v>
      </c>
      <c r="H25" s="45">
        <v>12500</v>
      </c>
      <c r="I25" s="20"/>
      <c r="J25" s="34"/>
    </row>
    <row r="26" spans="1:10" x14ac:dyDescent="0.3">
      <c r="A26" s="20"/>
      <c r="B26" s="35"/>
      <c r="C26" s="45"/>
      <c r="D26" s="36"/>
      <c r="E26" s="45"/>
      <c r="F26" s="45"/>
      <c r="G26" s="29"/>
      <c r="H26" s="73">
        <v>133030</v>
      </c>
      <c r="I26" s="20"/>
    </row>
    <row r="27" spans="1:10" x14ac:dyDescent="0.3">
      <c r="A27" s="20"/>
      <c r="B27" s="35"/>
      <c r="C27" s="45"/>
      <c r="D27" s="36"/>
      <c r="E27" s="45"/>
      <c r="F27" s="45"/>
      <c r="G27" s="29"/>
      <c r="H27" s="45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136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35">
        <v>41641</v>
      </c>
      <c r="C30" s="24" t="s">
        <v>16</v>
      </c>
      <c r="D30" s="24" t="s">
        <v>106</v>
      </c>
      <c r="E30" s="26">
        <v>6125</v>
      </c>
      <c r="F30" s="26">
        <v>6162</v>
      </c>
      <c r="G30" s="25">
        <v>100</v>
      </c>
      <c r="H30" s="29">
        <v>3700</v>
      </c>
      <c r="I30" s="20"/>
    </row>
    <row r="31" spans="1:10" x14ac:dyDescent="0.3">
      <c r="A31" s="20"/>
      <c r="B31" s="35">
        <v>41642</v>
      </c>
      <c r="C31" s="24" t="s">
        <v>23</v>
      </c>
      <c r="D31" s="24" t="s">
        <v>106</v>
      </c>
      <c r="E31" s="26">
        <v>5982</v>
      </c>
      <c r="F31" s="26">
        <v>5960</v>
      </c>
      <c r="G31" s="25">
        <v>100</v>
      </c>
      <c r="H31" s="29">
        <v>2200</v>
      </c>
      <c r="I31" s="20"/>
    </row>
    <row r="32" spans="1:10" x14ac:dyDescent="0.3">
      <c r="A32" s="20"/>
      <c r="B32" s="35">
        <v>41645</v>
      </c>
      <c r="C32" s="24" t="s">
        <v>16</v>
      </c>
      <c r="D32" s="24" t="s">
        <v>107</v>
      </c>
      <c r="E32" s="26">
        <v>272.5</v>
      </c>
      <c r="F32" s="26">
        <v>273.5</v>
      </c>
      <c r="G32" s="25">
        <v>1250</v>
      </c>
      <c r="H32" s="29">
        <v>1250</v>
      </c>
      <c r="I32" s="20"/>
    </row>
    <row r="33" spans="1:9" x14ac:dyDescent="0.3">
      <c r="A33" s="20"/>
      <c r="B33" s="35">
        <v>41645</v>
      </c>
      <c r="C33" s="24" t="s">
        <v>23</v>
      </c>
      <c r="D33" s="24" t="s">
        <v>106</v>
      </c>
      <c r="E33" s="26">
        <v>5885</v>
      </c>
      <c r="F33" s="26">
        <v>5906</v>
      </c>
      <c r="G33" s="25">
        <v>100</v>
      </c>
      <c r="H33" s="29">
        <v>-2100</v>
      </c>
      <c r="I33" s="20"/>
    </row>
    <row r="34" spans="1:9" x14ac:dyDescent="0.3">
      <c r="A34" s="20"/>
      <c r="B34" s="35">
        <v>41646</v>
      </c>
      <c r="C34" s="24" t="s">
        <v>16</v>
      </c>
      <c r="D34" s="24" t="s">
        <v>107</v>
      </c>
      <c r="E34" s="26">
        <v>271.5</v>
      </c>
      <c r="F34" s="26">
        <v>276</v>
      </c>
      <c r="G34" s="25">
        <v>1250</v>
      </c>
      <c r="H34" s="29">
        <v>5625</v>
      </c>
      <c r="I34" s="20"/>
    </row>
    <row r="35" spans="1:9" x14ac:dyDescent="0.3">
      <c r="A35" s="20"/>
      <c r="B35" s="35">
        <v>41646</v>
      </c>
      <c r="C35" s="24" t="s">
        <v>16</v>
      </c>
      <c r="D35" s="24" t="s">
        <v>106</v>
      </c>
      <c r="E35" s="26">
        <v>5865</v>
      </c>
      <c r="F35" s="26">
        <v>5840</v>
      </c>
      <c r="G35" s="25">
        <v>100</v>
      </c>
      <c r="H35" s="29">
        <v>-2500</v>
      </c>
      <c r="I35" s="20"/>
    </row>
    <row r="36" spans="1:9" x14ac:dyDescent="0.3">
      <c r="A36" s="20"/>
      <c r="B36" s="35">
        <v>41647</v>
      </c>
      <c r="C36" s="24" t="s">
        <v>23</v>
      </c>
      <c r="D36" s="24" t="s">
        <v>107</v>
      </c>
      <c r="E36" s="26">
        <v>270.5</v>
      </c>
      <c r="F36" s="26">
        <v>267</v>
      </c>
      <c r="G36" s="25">
        <v>1250</v>
      </c>
      <c r="H36" s="29">
        <v>4375</v>
      </c>
      <c r="I36" s="20"/>
    </row>
    <row r="37" spans="1:9" x14ac:dyDescent="0.3">
      <c r="A37" s="20"/>
      <c r="B37" s="35">
        <v>41648</v>
      </c>
      <c r="C37" s="24" t="s">
        <v>16</v>
      </c>
      <c r="D37" s="24" t="s">
        <v>106</v>
      </c>
      <c r="E37" s="26">
        <v>5765</v>
      </c>
      <c r="F37" s="26">
        <v>5740</v>
      </c>
      <c r="G37" s="25">
        <v>100</v>
      </c>
      <c r="H37" s="29">
        <v>-2500</v>
      </c>
      <c r="I37" s="20"/>
    </row>
    <row r="38" spans="1:9" x14ac:dyDescent="0.3">
      <c r="A38" s="20"/>
      <c r="B38" s="35">
        <v>41648</v>
      </c>
      <c r="C38" s="24" t="s">
        <v>23</v>
      </c>
      <c r="D38" s="24" t="s">
        <v>107</v>
      </c>
      <c r="E38" s="26">
        <v>258.5</v>
      </c>
      <c r="F38" s="26">
        <v>254</v>
      </c>
      <c r="G38" s="25">
        <v>1250</v>
      </c>
      <c r="H38" s="29">
        <v>5625</v>
      </c>
      <c r="I38" s="20"/>
    </row>
    <row r="39" spans="1:9" x14ac:dyDescent="0.3">
      <c r="A39" s="20"/>
      <c r="B39" s="35">
        <v>41649</v>
      </c>
      <c r="C39" s="24" t="s">
        <v>16</v>
      </c>
      <c r="D39" s="24" t="s">
        <v>106</v>
      </c>
      <c r="E39" s="26">
        <v>5727</v>
      </c>
      <c r="F39" s="26">
        <v>5765</v>
      </c>
      <c r="G39" s="25">
        <v>100</v>
      </c>
      <c r="H39" s="29">
        <v>3800</v>
      </c>
      <c r="I39" s="20"/>
    </row>
    <row r="40" spans="1:9" x14ac:dyDescent="0.3">
      <c r="A40" s="20"/>
      <c r="B40" s="35">
        <v>41652</v>
      </c>
      <c r="C40" s="24" t="s">
        <v>23</v>
      </c>
      <c r="D40" s="24" t="s">
        <v>106</v>
      </c>
      <c r="E40" s="26">
        <v>5690</v>
      </c>
      <c r="F40" s="26">
        <v>5670</v>
      </c>
      <c r="G40" s="25">
        <v>100</v>
      </c>
      <c r="H40" s="29">
        <v>2000</v>
      </c>
      <c r="I40" s="20"/>
    </row>
    <row r="41" spans="1:9" x14ac:dyDescent="0.3">
      <c r="A41" s="20"/>
      <c r="B41" s="35">
        <v>41653</v>
      </c>
      <c r="C41" s="24" t="s">
        <v>16</v>
      </c>
      <c r="D41" s="24" t="s">
        <v>106</v>
      </c>
      <c r="E41" s="26">
        <v>5665</v>
      </c>
      <c r="F41" s="26">
        <v>5700</v>
      </c>
      <c r="G41" s="25">
        <v>100</v>
      </c>
      <c r="H41" s="29">
        <v>3500</v>
      </c>
      <c r="I41" s="20"/>
    </row>
    <row r="42" spans="1:9" x14ac:dyDescent="0.3">
      <c r="A42" s="20"/>
      <c r="B42" s="35">
        <v>41653</v>
      </c>
      <c r="C42" s="24" t="s">
        <v>16</v>
      </c>
      <c r="D42" s="24" t="s">
        <v>107</v>
      </c>
      <c r="E42" s="26">
        <v>266</v>
      </c>
      <c r="F42" s="26">
        <v>268.7</v>
      </c>
      <c r="G42" s="25">
        <v>1250</v>
      </c>
      <c r="H42" s="29">
        <v>3374.9999999999859</v>
      </c>
      <c r="I42" s="20"/>
    </row>
    <row r="43" spans="1:9" x14ac:dyDescent="0.3">
      <c r="A43" s="20"/>
      <c r="B43" s="35">
        <v>41655</v>
      </c>
      <c r="C43" s="24" t="s">
        <v>16</v>
      </c>
      <c r="D43" s="26" t="s">
        <v>106</v>
      </c>
      <c r="E43" s="26">
        <v>5795</v>
      </c>
      <c r="F43" s="26">
        <v>5820</v>
      </c>
      <c r="G43" s="25">
        <v>100</v>
      </c>
      <c r="H43" s="29">
        <v>2500</v>
      </c>
      <c r="I43" s="20"/>
    </row>
    <row r="44" spans="1:9" x14ac:dyDescent="0.3">
      <c r="A44" s="20"/>
      <c r="B44" s="35">
        <v>41656</v>
      </c>
      <c r="C44" s="24" t="s">
        <v>16</v>
      </c>
      <c r="D44" s="26" t="s">
        <v>106</v>
      </c>
      <c r="E44" s="26">
        <v>5793</v>
      </c>
      <c r="F44" s="26">
        <v>5775</v>
      </c>
      <c r="G44" s="25">
        <v>100</v>
      </c>
      <c r="H44" s="29">
        <v>-1800</v>
      </c>
      <c r="I44" s="20"/>
    </row>
    <row r="45" spans="1:9" x14ac:dyDescent="0.3">
      <c r="A45" s="20"/>
      <c r="B45" s="35">
        <v>41659</v>
      </c>
      <c r="C45" s="24" t="s">
        <v>16</v>
      </c>
      <c r="D45" s="26" t="s">
        <v>106</v>
      </c>
      <c r="E45" s="26">
        <v>5813</v>
      </c>
      <c r="F45" s="26">
        <v>5834</v>
      </c>
      <c r="G45" s="25">
        <v>100</v>
      </c>
      <c r="H45" s="29">
        <v>2100</v>
      </c>
      <c r="I45" s="20"/>
    </row>
    <row r="46" spans="1:9" x14ac:dyDescent="0.3">
      <c r="A46" s="20"/>
      <c r="B46" s="35">
        <v>41660</v>
      </c>
      <c r="C46" s="24" t="s">
        <v>16</v>
      </c>
      <c r="D46" s="26" t="s">
        <v>106</v>
      </c>
      <c r="E46" s="26">
        <v>5850</v>
      </c>
      <c r="F46" s="26">
        <v>5925</v>
      </c>
      <c r="G46" s="25">
        <v>100</v>
      </c>
      <c r="H46" s="29">
        <v>7500</v>
      </c>
      <c r="I46" s="20"/>
    </row>
    <row r="47" spans="1:9" x14ac:dyDescent="0.3">
      <c r="A47" s="20"/>
      <c r="B47" s="35">
        <v>41661</v>
      </c>
      <c r="C47" s="24" t="s">
        <v>23</v>
      </c>
      <c r="D47" s="26" t="s">
        <v>106</v>
      </c>
      <c r="E47" s="26">
        <v>5950</v>
      </c>
      <c r="F47" s="26">
        <v>6000</v>
      </c>
      <c r="G47" s="25">
        <v>100</v>
      </c>
      <c r="H47" s="29">
        <v>-5000</v>
      </c>
      <c r="I47" s="20"/>
    </row>
    <row r="48" spans="1:9" x14ac:dyDescent="0.3">
      <c r="A48" s="20"/>
      <c r="B48" s="35">
        <v>41661</v>
      </c>
      <c r="C48" s="24" t="s">
        <v>16</v>
      </c>
      <c r="D48" s="24" t="s">
        <v>107</v>
      </c>
      <c r="E48" s="26">
        <v>279.39999999999998</v>
      </c>
      <c r="F48" s="26">
        <v>283</v>
      </c>
      <c r="G48" s="25">
        <v>1250</v>
      </c>
      <c r="H48" s="29">
        <v>4500.0000000000282</v>
      </c>
      <c r="I48" s="20"/>
    </row>
    <row r="49" spans="1:9" x14ac:dyDescent="0.3">
      <c r="A49" s="20"/>
      <c r="B49" s="35">
        <v>41662</v>
      </c>
      <c r="C49" s="24" t="s">
        <v>16</v>
      </c>
      <c r="D49" s="26" t="s">
        <v>106</v>
      </c>
      <c r="E49" s="26">
        <v>6035</v>
      </c>
      <c r="F49" s="26">
        <v>6085</v>
      </c>
      <c r="G49" s="25">
        <v>100</v>
      </c>
      <c r="H49" s="29">
        <v>5000</v>
      </c>
      <c r="I49" s="20"/>
    </row>
    <row r="50" spans="1:9" x14ac:dyDescent="0.3">
      <c r="A50" s="20"/>
      <c r="B50" s="35">
        <v>41663</v>
      </c>
      <c r="C50" s="24" t="s">
        <v>16</v>
      </c>
      <c r="D50" s="26" t="s">
        <v>106</v>
      </c>
      <c r="E50" s="26">
        <v>6105</v>
      </c>
      <c r="F50" s="26">
        <v>6130</v>
      </c>
      <c r="G50" s="25">
        <v>100</v>
      </c>
      <c r="H50" s="29">
        <v>2500</v>
      </c>
      <c r="I50" s="20"/>
    </row>
    <row r="51" spans="1:9" x14ac:dyDescent="0.3">
      <c r="A51" s="20"/>
      <c r="B51" s="35">
        <v>41666</v>
      </c>
      <c r="C51" s="24" t="s">
        <v>16</v>
      </c>
      <c r="D51" s="26" t="s">
        <v>106</v>
      </c>
      <c r="E51" s="26">
        <v>6125</v>
      </c>
      <c r="F51" s="26">
        <v>6175</v>
      </c>
      <c r="G51" s="25">
        <v>100</v>
      </c>
      <c r="H51" s="29">
        <v>5000</v>
      </c>
      <c r="I51" s="20"/>
    </row>
    <row r="52" spans="1:9" x14ac:dyDescent="0.3">
      <c r="A52" s="20"/>
      <c r="B52" s="35">
        <v>41667</v>
      </c>
      <c r="C52" s="24" t="s">
        <v>16</v>
      </c>
      <c r="D52" s="24" t="s">
        <v>107</v>
      </c>
      <c r="E52" s="26">
        <v>316</v>
      </c>
      <c r="F52" s="26">
        <v>321</v>
      </c>
      <c r="G52" s="75">
        <v>1250</v>
      </c>
      <c r="H52" s="75">
        <v>6000</v>
      </c>
      <c r="I52" s="20"/>
    </row>
    <row r="53" spans="1:9" x14ac:dyDescent="0.3">
      <c r="A53" s="20"/>
      <c r="B53" s="35">
        <v>41668</v>
      </c>
      <c r="C53" s="24" t="s">
        <v>16</v>
      </c>
      <c r="D53" s="26" t="s">
        <v>106</v>
      </c>
      <c r="E53" s="26">
        <v>6110</v>
      </c>
      <c r="F53" s="26">
        <v>6135</v>
      </c>
      <c r="G53" s="75">
        <v>100</v>
      </c>
      <c r="H53" s="75">
        <v>2500</v>
      </c>
      <c r="I53" s="20"/>
    </row>
    <row r="54" spans="1:9" x14ac:dyDescent="0.3">
      <c r="A54" s="20"/>
      <c r="B54" s="35">
        <v>41669</v>
      </c>
      <c r="C54" s="24" t="s">
        <v>16</v>
      </c>
      <c r="D54" s="24" t="s">
        <v>106</v>
      </c>
      <c r="E54" s="26">
        <v>6160</v>
      </c>
      <c r="F54" s="26">
        <v>6185</v>
      </c>
      <c r="G54" s="75">
        <v>100</v>
      </c>
      <c r="H54" s="75">
        <v>2500</v>
      </c>
      <c r="I54" s="20"/>
    </row>
    <row r="55" spans="1:9" x14ac:dyDescent="0.3">
      <c r="A55" s="20"/>
      <c r="B55" s="35">
        <v>41670</v>
      </c>
      <c r="C55" s="24" t="s">
        <v>16</v>
      </c>
      <c r="D55" s="24" t="s">
        <v>106</v>
      </c>
      <c r="E55" s="26">
        <v>6160</v>
      </c>
      <c r="F55" s="26">
        <v>0</v>
      </c>
      <c r="G55" s="75">
        <v>100</v>
      </c>
      <c r="H55" s="75">
        <v>0</v>
      </c>
      <c r="I55" s="20"/>
    </row>
    <row r="56" spans="1:9" x14ac:dyDescent="0.3">
      <c r="A56" s="20"/>
      <c r="B56" s="35"/>
      <c r="C56" s="75"/>
      <c r="D56" s="75"/>
      <c r="E56" s="75"/>
      <c r="F56" s="75"/>
      <c r="G56" s="75"/>
      <c r="H56" s="73">
        <v>61650</v>
      </c>
      <c r="I56" s="20"/>
    </row>
    <row r="57" spans="1:9" x14ac:dyDescent="0.3">
      <c r="A57" s="20"/>
      <c r="B57" s="35"/>
      <c r="C57" s="75"/>
      <c r="D57" s="75"/>
      <c r="E57" s="75"/>
      <c r="F57" s="75"/>
      <c r="G57" s="75"/>
      <c r="H57" s="75"/>
      <c r="I57" s="20"/>
    </row>
    <row r="58" spans="1:9" x14ac:dyDescent="0.3">
      <c r="A58" s="20"/>
      <c r="B58" s="35"/>
      <c r="C58" s="18"/>
      <c r="D58" s="18"/>
      <c r="E58" s="18"/>
      <c r="F58" s="18"/>
      <c r="G58" s="74"/>
      <c r="H58" s="74"/>
      <c r="I58" s="20"/>
    </row>
    <row r="59" spans="1:9" x14ac:dyDescent="0.3">
      <c r="A59" s="20"/>
      <c r="B59" s="35"/>
      <c r="C59" s="18"/>
      <c r="D59" s="18"/>
      <c r="E59" s="18"/>
      <c r="F59" s="18"/>
      <c r="G59" s="18"/>
      <c r="H59" s="18"/>
      <c r="I59" s="20"/>
    </row>
    <row r="60" spans="1:9" x14ac:dyDescent="0.3">
      <c r="A60" s="20"/>
      <c r="B60" s="35"/>
      <c r="C60" s="18"/>
      <c r="D60" s="18"/>
      <c r="E60" s="18"/>
      <c r="F60" s="18"/>
      <c r="G60" s="29"/>
      <c r="H60" s="29"/>
      <c r="I60" s="20"/>
    </row>
    <row r="61" spans="1:9" x14ac:dyDescent="0.3">
      <c r="A61" s="20"/>
      <c r="B61" s="35"/>
      <c r="C61" s="29"/>
      <c r="D61" s="36"/>
      <c r="E61" s="29"/>
      <c r="F61" s="29"/>
      <c r="G61" s="29"/>
      <c r="H61" s="29"/>
      <c r="I61" s="20"/>
    </row>
    <row r="62" spans="1:9" ht="15.6" x14ac:dyDescent="0.3">
      <c r="A62" s="20"/>
      <c r="B62" s="61" t="s">
        <v>137</v>
      </c>
      <c r="C62" s="62"/>
      <c r="D62" s="63"/>
      <c r="E62" s="62"/>
      <c r="F62" s="62"/>
      <c r="G62" s="62"/>
      <c r="H62" s="64"/>
      <c r="I62" s="20"/>
    </row>
    <row r="63" spans="1:9" x14ac:dyDescent="0.3">
      <c r="A63" s="20"/>
      <c r="B63" s="35">
        <v>41641</v>
      </c>
      <c r="C63" s="24" t="s">
        <v>16</v>
      </c>
      <c r="D63" s="24" t="s">
        <v>29</v>
      </c>
      <c r="E63" s="29">
        <v>471</v>
      </c>
      <c r="F63" s="29">
        <v>474.4</v>
      </c>
      <c r="G63" s="29">
        <v>1000</v>
      </c>
      <c r="H63" s="29">
        <v>3399.9999999999773</v>
      </c>
      <c r="I63" s="20"/>
    </row>
    <row r="64" spans="1:9" x14ac:dyDescent="0.3">
      <c r="A64" s="20"/>
      <c r="B64" s="35">
        <v>41642</v>
      </c>
      <c r="C64" s="24" t="s">
        <v>16</v>
      </c>
      <c r="D64" s="24" t="s">
        <v>27</v>
      </c>
      <c r="E64" s="29">
        <v>137.1</v>
      </c>
      <c r="F64" s="29">
        <v>136.6</v>
      </c>
      <c r="G64" s="29">
        <v>5000</v>
      </c>
      <c r="H64" s="29">
        <v>-2500</v>
      </c>
      <c r="I64" s="20"/>
    </row>
    <row r="65" spans="1:9" x14ac:dyDescent="0.3">
      <c r="A65" s="20"/>
      <c r="B65" s="35">
        <v>41645</v>
      </c>
      <c r="C65" s="24" t="s">
        <v>23</v>
      </c>
      <c r="D65" s="24" t="s">
        <v>27</v>
      </c>
      <c r="E65" s="29">
        <v>134.69999999999999</v>
      </c>
      <c r="F65" s="29">
        <v>134</v>
      </c>
      <c r="G65" s="29">
        <v>5000</v>
      </c>
      <c r="H65" s="29">
        <v>3499.9999999999432</v>
      </c>
      <c r="I65" s="20"/>
    </row>
    <row r="66" spans="1:9" x14ac:dyDescent="0.3">
      <c r="A66" s="20"/>
      <c r="B66" s="35">
        <v>41646</v>
      </c>
      <c r="C66" s="24" t="s">
        <v>16</v>
      </c>
      <c r="D66" s="24" t="s">
        <v>35</v>
      </c>
      <c r="E66" s="29">
        <v>850</v>
      </c>
      <c r="F66" s="29">
        <v>843</v>
      </c>
      <c r="G66" s="29">
        <v>250</v>
      </c>
      <c r="H66" s="29">
        <v>-1750</v>
      </c>
      <c r="I66" s="20"/>
    </row>
    <row r="67" spans="1:9" x14ac:dyDescent="0.3">
      <c r="A67" s="20"/>
      <c r="B67" s="35">
        <v>41647</v>
      </c>
      <c r="C67" s="24" t="s">
        <v>23</v>
      </c>
      <c r="D67" s="24" t="s">
        <v>27</v>
      </c>
      <c r="E67" s="29">
        <v>133.80000000000001</v>
      </c>
      <c r="F67" s="29">
        <v>132.6</v>
      </c>
      <c r="G67" s="29">
        <v>5000</v>
      </c>
      <c r="H67" s="29">
        <v>6000.0000000000855</v>
      </c>
      <c r="I67" s="20"/>
    </row>
    <row r="68" spans="1:9" x14ac:dyDescent="0.3">
      <c r="A68" s="20"/>
      <c r="B68" s="35">
        <v>41648</v>
      </c>
      <c r="C68" s="24" t="s">
        <v>16</v>
      </c>
      <c r="D68" s="24" t="s">
        <v>29</v>
      </c>
      <c r="E68" s="29">
        <v>457.5</v>
      </c>
      <c r="F68" s="29">
        <v>455</v>
      </c>
      <c r="G68" s="29">
        <v>1000</v>
      </c>
      <c r="H68" s="29">
        <v>-2500</v>
      </c>
      <c r="I68" s="20"/>
    </row>
    <row r="69" spans="1:9" x14ac:dyDescent="0.3">
      <c r="A69" s="20"/>
      <c r="B69" s="35">
        <v>41649</v>
      </c>
      <c r="C69" s="24" t="s">
        <v>23</v>
      </c>
      <c r="D69" s="24" t="s">
        <v>27</v>
      </c>
      <c r="E69" s="29">
        <v>130.6</v>
      </c>
      <c r="F69" s="29">
        <v>130.25</v>
      </c>
      <c r="G69" s="29">
        <v>5000</v>
      </c>
      <c r="H69" s="29">
        <v>1749.9999999999716</v>
      </c>
      <c r="I69" s="20"/>
    </row>
    <row r="70" spans="1:9" x14ac:dyDescent="0.3">
      <c r="A70" s="20"/>
      <c r="B70" s="35">
        <v>41652</v>
      </c>
      <c r="C70" s="24" t="s">
        <v>23</v>
      </c>
      <c r="D70" s="24" t="s">
        <v>29</v>
      </c>
      <c r="E70" s="29">
        <v>458.5</v>
      </c>
      <c r="F70" s="29">
        <v>455</v>
      </c>
      <c r="G70" s="29">
        <v>1000</v>
      </c>
      <c r="H70" s="29">
        <v>3500</v>
      </c>
      <c r="I70" s="20"/>
    </row>
    <row r="71" spans="1:9" x14ac:dyDescent="0.3">
      <c r="A71" s="20"/>
      <c r="B71" s="35">
        <v>41654</v>
      </c>
      <c r="C71" s="24" t="s">
        <v>16</v>
      </c>
      <c r="D71" s="24" t="s">
        <v>27</v>
      </c>
      <c r="E71" s="29">
        <v>132.6</v>
      </c>
      <c r="F71" s="29">
        <v>133.6</v>
      </c>
      <c r="G71" s="29">
        <v>5000</v>
      </c>
      <c r="H71" s="29">
        <v>5000</v>
      </c>
      <c r="I71" s="20"/>
    </row>
    <row r="72" spans="1:9" x14ac:dyDescent="0.3">
      <c r="A72" s="20"/>
      <c r="B72" s="35">
        <v>41655</v>
      </c>
      <c r="C72" s="24" t="s">
        <v>16</v>
      </c>
      <c r="D72" s="24" t="s">
        <v>29</v>
      </c>
      <c r="E72" s="29">
        <v>458</v>
      </c>
      <c r="F72" s="29">
        <v>455</v>
      </c>
      <c r="G72" s="29">
        <v>1000</v>
      </c>
      <c r="H72" s="29">
        <v>-3000</v>
      </c>
      <c r="I72" s="20"/>
    </row>
    <row r="73" spans="1:9" x14ac:dyDescent="0.3">
      <c r="A73" s="20"/>
      <c r="B73" s="35">
        <v>41655</v>
      </c>
      <c r="C73" s="24" t="s">
        <v>16</v>
      </c>
      <c r="D73" s="24" t="s">
        <v>28</v>
      </c>
      <c r="E73" s="29">
        <v>128</v>
      </c>
      <c r="F73" s="29">
        <v>129.19999999999999</v>
      </c>
      <c r="G73" s="29">
        <v>5000</v>
      </c>
      <c r="H73" s="29">
        <v>5999.9999999999436</v>
      </c>
      <c r="I73" s="20"/>
    </row>
    <row r="74" spans="1:9" x14ac:dyDescent="0.3">
      <c r="A74" s="20"/>
      <c r="B74" s="35">
        <v>41656</v>
      </c>
      <c r="C74" s="24" t="s">
        <v>23</v>
      </c>
      <c r="D74" s="24" t="s">
        <v>35</v>
      </c>
      <c r="E74" s="29">
        <v>898.3</v>
      </c>
      <c r="F74" s="29">
        <v>891.8</v>
      </c>
      <c r="G74" s="29">
        <v>250</v>
      </c>
      <c r="H74" s="29">
        <v>1625</v>
      </c>
      <c r="I74" s="20"/>
    </row>
    <row r="75" spans="1:9" x14ac:dyDescent="0.3">
      <c r="A75" s="20"/>
      <c r="B75" s="35">
        <v>41656</v>
      </c>
      <c r="C75" s="24" t="s">
        <v>23</v>
      </c>
      <c r="D75" s="26" t="s">
        <v>127</v>
      </c>
      <c r="E75" s="29">
        <v>109.1</v>
      </c>
      <c r="F75" s="29">
        <v>109.9</v>
      </c>
      <c r="G75" s="29">
        <v>5000</v>
      </c>
      <c r="H75" s="29">
        <v>-4000.0000000000568</v>
      </c>
      <c r="I75" s="20"/>
    </row>
    <row r="76" spans="1:9" x14ac:dyDescent="0.3">
      <c r="A76" s="20"/>
      <c r="B76" s="35">
        <v>41659</v>
      </c>
      <c r="C76" s="24" t="s">
        <v>16</v>
      </c>
      <c r="D76" s="24" t="s">
        <v>27</v>
      </c>
      <c r="E76" s="29">
        <v>135.4</v>
      </c>
      <c r="F76" s="29">
        <v>134.69999999999999</v>
      </c>
      <c r="G76" s="29">
        <v>5000</v>
      </c>
      <c r="H76" s="29">
        <v>-3500.0000000000855</v>
      </c>
      <c r="I76" s="20"/>
    </row>
    <row r="77" spans="1:9" x14ac:dyDescent="0.3">
      <c r="A77" s="20"/>
      <c r="B77" s="35">
        <v>41660</v>
      </c>
      <c r="C77" s="24" t="s">
        <v>16</v>
      </c>
      <c r="D77" s="26" t="s">
        <v>29</v>
      </c>
      <c r="E77" s="29">
        <v>454.6</v>
      </c>
      <c r="F77" s="29">
        <v>457.25</v>
      </c>
      <c r="G77" s="29">
        <v>1000</v>
      </c>
      <c r="H77" s="29">
        <v>2649.9999999999773</v>
      </c>
      <c r="I77" s="76"/>
    </row>
    <row r="78" spans="1:9" x14ac:dyDescent="0.3">
      <c r="A78" s="57"/>
      <c r="B78" s="35">
        <v>41660</v>
      </c>
      <c r="C78" s="24" t="s">
        <v>23</v>
      </c>
      <c r="D78" s="24" t="s">
        <v>27</v>
      </c>
      <c r="E78" s="29">
        <v>135.19999999999999</v>
      </c>
      <c r="F78" s="29">
        <v>135.9</v>
      </c>
      <c r="G78" s="29">
        <v>5000</v>
      </c>
      <c r="H78" s="29">
        <v>-3500.0000000000855</v>
      </c>
      <c r="I78" s="57"/>
    </row>
    <row r="79" spans="1:9" x14ac:dyDescent="0.3">
      <c r="A79" s="57"/>
      <c r="B79" s="35">
        <v>41661</v>
      </c>
      <c r="C79" s="24" t="s">
        <v>23</v>
      </c>
      <c r="D79" s="24" t="s">
        <v>29</v>
      </c>
      <c r="E79" s="29">
        <v>459</v>
      </c>
      <c r="F79" s="29">
        <v>457.35</v>
      </c>
      <c r="G79" s="29">
        <v>1000</v>
      </c>
      <c r="H79" s="29">
        <v>1649.9999999999773</v>
      </c>
      <c r="I79" s="57"/>
    </row>
    <row r="80" spans="1:9" x14ac:dyDescent="0.3">
      <c r="A80" s="57"/>
      <c r="B80" s="35">
        <v>41661</v>
      </c>
      <c r="C80" s="24" t="s">
        <v>23</v>
      </c>
      <c r="D80" s="24" t="s">
        <v>27</v>
      </c>
      <c r="E80" s="29">
        <v>136.85</v>
      </c>
      <c r="F80" s="29">
        <v>135.65</v>
      </c>
      <c r="G80" s="29">
        <v>5000</v>
      </c>
      <c r="H80" s="29">
        <v>5999.9999999999436</v>
      </c>
      <c r="I80" s="57"/>
    </row>
    <row r="81" spans="1:9" x14ac:dyDescent="0.3">
      <c r="A81" s="57"/>
      <c r="B81" s="35">
        <v>41662</v>
      </c>
      <c r="C81" s="24" t="s">
        <v>16</v>
      </c>
      <c r="D81" s="24" t="s">
        <v>29</v>
      </c>
      <c r="E81" s="29">
        <v>456</v>
      </c>
      <c r="F81" s="29">
        <v>456.3</v>
      </c>
      <c r="G81" s="29">
        <v>1000</v>
      </c>
      <c r="H81" s="29">
        <v>300.00000000001137</v>
      </c>
      <c r="I81" s="57"/>
    </row>
    <row r="82" spans="1:9" x14ac:dyDescent="0.3">
      <c r="A82" s="57"/>
      <c r="B82" s="35">
        <v>41662</v>
      </c>
      <c r="C82" s="24" t="s">
        <v>23</v>
      </c>
      <c r="D82" s="24" t="s">
        <v>28</v>
      </c>
      <c r="E82" s="29">
        <v>128.30000000000001</v>
      </c>
      <c r="F82" s="29">
        <v>128.19999999999999</v>
      </c>
      <c r="G82" s="29">
        <v>5000</v>
      </c>
      <c r="H82" s="29">
        <v>500.00000000011369</v>
      </c>
      <c r="I82" s="57"/>
    </row>
    <row r="83" spans="1:9" x14ac:dyDescent="0.3">
      <c r="A83" s="57"/>
      <c r="B83" s="35">
        <v>41663</v>
      </c>
      <c r="C83" s="24" t="s">
        <v>16</v>
      </c>
      <c r="D83" s="24" t="s">
        <v>28</v>
      </c>
      <c r="E83" s="29">
        <v>126.05</v>
      </c>
      <c r="F83" s="29">
        <v>126.9</v>
      </c>
      <c r="G83" s="29">
        <v>5000</v>
      </c>
      <c r="H83" s="29">
        <v>4250.0000000000427</v>
      </c>
      <c r="I83" s="57"/>
    </row>
    <row r="84" spans="1:9" x14ac:dyDescent="0.3">
      <c r="A84" s="57"/>
      <c r="B84" s="35">
        <v>41666</v>
      </c>
      <c r="C84" s="24" t="s">
        <v>23</v>
      </c>
      <c r="D84" s="24" t="s">
        <v>29</v>
      </c>
      <c r="E84" s="29">
        <v>460.3</v>
      </c>
      <c r="F84" s="29">
        <v>457.2</v>
      </c>
      <c r="G84" s="29">
        <v>1000</v>
      </c>
      <c r="H84" s="29">
        <v>3100.0000000000227</v>
      </c>
      <c r="I84" s="57"/>
    </row>
    <row r="85" spans="1:9" x14ac:dyDescent="0.3">
      <c r="A85" s="57"/>
      <c r="B85" s="35">
        <v>41666</v>
      </c>
      <c r="C85" s="24" t="s">
        <v>23</v>
      </c>
      <c r="D85" s="24" t="s">
        <v>27</v>
      </c>
      <c r="E85" s="29">
        <v>135.30000000000001</v>
      </c>
      <c r="F85" s="29">
        <v>134.85</v>
      </c>
      <c r="G85" s="29">
        <v>5000</v>
      </c>
      <c r="H85" s="29">
        <v>2250.0000000000855</v>
      </c>
      <c r="I85" s="57"/>
    </row>
    <row r="86" spans="1:9" x14ac:dyDescent="0.3">
      <c r="A86" s="57"/>
      <c r="B86" s="35">
        <v>41667</v>
      </c>
      <c r="C86" s="24" t="s">
        <v>16</v>
      </c>
      <c r="D86" s="24" t="s">
        <v>29</v>
      </c>
      <c r="E86" s="26">
        <v>454</v>
      </c>
      <c r="F86" s="26">
        <v>455</v>
      </c>
      <c r="G86" s="25">
        <v>1000</v>
      </c>
      <c r="H86" s="37">
        <v>1000</v>
      </c>
      <c r="I86" s="57"/>
    </row>
    <row r="87" spans="1:9" x14ac:dyDescent="0.3">
      <c r="A87" s="57"/>
      <c r="B87" s="35">
        <v>41668</v>
      </c>
      <c r="C87" s="24" t="s">
        <v>23</v>
      </c>
      <c r="D87" s="24" t="s">
        <v>27</v>
      </c>
      <c r="E87" s="26">
        <v>134.5</v>
      </c>
      <c r="F87" s="26">
        <v>134</v>
      </c>
      <c r="G87" s="25">
        <v>5000</v>
      </c>
      <c r="H87" s="29">
        <v>2500</v>
      </c>
      <c r="I87" s="57"/>
    </row>
    <row r="88" spans="1:9" x14ac:dyDescent="0.3">
      <c r="A88" s="57"/>
      <c r="B88" s="35">
        <v>41669</v>
      </c>
      <c r="C88" s="24" t="s">
        <v>23</v>
      </c>
      <c r="D88" s="24" t="s">
        <v>27</v>
      </c>
      <c r="E88" s="26">
        <v>134.5</v>
      </c>
      <c r="F88" s="26">
        <v>133.5</v>
      </c>
      <c r="G88" s="25">
        <v>5000</v>
      </c>
      <c r="H88" s="29">
        <v>5000</v>
      </c>
      <c r="I88" s="57"/>
    </row>
    <row r="89" spans="1:9" x14ac:dyDescent="0.3">
      <c r="A89" s="57"/>
      <c r="B89" s="35">
        <v>41670</v>
      </c>
      <c r="C89" s="24" t="s">
        <v>23</v>
      </c>
      <c r="D89" s="24" t="s">
        <v>29</v>
      </c>
      <c r="E89" s="26">
        <v>447</v>
      </c>
      <c r="F89" s="26">
        <v>446</v>
      </c>
      <c r="G89" s="25">
        <v>1000</v>
      </c>
      <c r="H89" s="29">
        <v>1000</v>
      </c>
      <c r="I89" s="57"/>
    </row>
    <row r="90" spans="1:9" x14ac:dyDescent="0.3">
      <c r="A90" s="57"/>
      <c r="H90" s="32">
        <v>40225</v>
      </c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0D00-000000000000}"/>
  </hyperlinks>
  <pageMargins left="0.7" right="0.7" top="0.75" bottom="0.75" header="0.3" footer="0.3"/>
  <pageSetup orientation="portrait" horizontalDpi="300" verticalDpi="300"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C92AA-7A2D-4464-BB87-418888E926C8}">
  <dimension ref="A1:X172"/>
  <sheetViews>
    <sheetView topLeftCell="A61" zoomScaleNormal="100" workbookViewId="0">
      <selection activeCell="P8" sqref="P8:P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45474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36</v>
      </c>
      <c r="P4" s="369">
        <f>W52</f>
        <v>6</v>
      </c>
      <c r="Q4" s="349">
        <f>N4-O4-P4</f>
        <v>0</v>
      </c>
      <c r="R4" s="343">
        <f>O4/N4</f>
        <v>0.8571428571428571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45474</v>
      </c>
      <c r="D6" s="192" t="s">
        <v>23</v>
      </c>
      <c r="E6" s="192" t="s">
        <v>24</v>
      </c>
      <c r="F6" s="193">
        <v>71600</v>
      </c>
      <c r="G6" s="193">
        <v>71520</v>
      </c>
      <c r="H6" s="192">
        <f>71600-71520</f>
        <v>80</v>
      </c>
      <c r="I6" s="193">
        <v>100</v>
      </c>
      <c r="J6" s="267">
        <f>H6*I6</f>
        <v>8000</v>
      </c>
      <c r="K6" s="185"/>
      <c r="M6" s="364" t="s">
        <v>258</v>
      </c>
      <c r="N6" s="347">
        <f>COUNT(C60:C102)</f>
        <v>42</v>
      </c>
      <c r="O6" s="348">
        <f>V103</f>
        <v>40</v>
      </c>
      <c r="P6" s="348">
        <f>W103</f>
        <v>2</v>
      </c>
      <c r="Q6" s="349">
        <v>0</v>
      </c>
      <c r="R6" s="345">
        <f t="shared" ref="R6" si="0">O6/N6</f>
        <v>0.95238095238095233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45474</v>
      </c>
      <c r="D7" s="196" t="s">
        <v>23</v>
      </c>
      <c r="E7" s="196" t="s">
        <v>22</v>
      </c>
      <c r="F7" s="197">
        <v>87400</v>
      </c>
      <c r="G7" s="197">
        <v>87100</v>
      </c>
      <c r="H7" s="196">
        <v>300</v>
      </c>
      <c r="I7" s="197">
        <v>30</v>
      </c>
      <c r="J7" s="268">
        <f t="shared" ref="J7:J51" si="1">H7*I7</f>
        <v>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45475</v>
      </c>
      <c r="D8" s="196" t="s">
        <v>23</v>
      </c>
      <c r="E8" s="196" t="s">
        <v>24</v>
      </c>
      <c r="F8" s="197">
        <v>71680</v>
      </c>
      <c r="G8" s="197">
        <v>71480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COUNT(C111:C139)</f>
        <v>21</v>
      </c>
      <c r="O8" s="348">
        <f>V140</f>
        <v>15</v>
      </c>
      <c r="P8" s="348">
        <f>W140</f>
        <v>4</v>
      </c>
      <c r="Q8" s="349">
        <v>0</v>
      </c>
      <c r="R8" s="345">
        <f t="shared" ref="R8" si="4">O8/N8</f>
        <v>0.7142857142857143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45475</v>
      </c>
      <c r="D9" s="196" t="s">
        <v>23</v>
      </c>
      <c r="E9" s="196" t="s">
        <v>22</v>
      </c>
      <c r="F9" s="197">
        <v>89800</v>
      </c>
      <c r="G9" s="197">
        <v>89500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45476</v>
      </c>
      <c r="D10" s="196" t="s">
        <v>23</v>
      </c>
      <c r="E10" s="196" t="s">
        <v>24</v>
      </c>
      <c r="F10" s="197">
        <v>72170</v>
      </c>
      <c r="G10" s="197">
        <v>72107</v>
      </c>
      <c r="H10" s="196">
        <f>72170-72107</f>
        <v>63</v>
      </c>
      <c r="I10" s="197">
        <v>100</v>
      </c>
      <c r="J10" s="268">
        <f t="shared" si="1"/>
        <v>6300</v>
      </c>
      <c r="K10" s="185"/>
      <c r="M10" s="364" t="s">
        <v>906</v>
      </c>
      <c r="N10" s="347">
        <f>COUNT(C148:C170)</f>
        <v>21</v>
      </c>
      <c r="O10" s="348">
        <f>V171</f>
        <v>20</v>
      </c>
      <c r="P10" s="348">
        <f>W171</f>
        <v>1</v>
      </c>
      <c r="Q10" s="349">
        <f>N10-O10-P10</f>
        <v>0</v>
      </c>
      <c r="R10" s="345">
        <f>O10/N10</f>
        <v>0.95238095238095233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45476</v>
      </c>
      <c r="D11" s="196" t="s">
        <v>23</v>
      </c>
      <c r="E11" s="196" t="s">
        <v>22</v>
      </c>
      <c r="F11" s="197">
        <v>91600</v>
      </c>
      <c r="G11" s="197">
        <v>91300</v>
      </c>
      <c r="H11" s="196">
        <v>300</v>
      </c>
      <c r="I11" s="197">
        <v>30</v>
      </c>
      <c r="J11" s="268">
        <f t="shared" si="1"/>
        <v>9000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45477</v>
      </c>
      <c r="D12" s="196" t="s">
        <v>23</v>
      </c>
      <c r="E12" s="196" t="s">
        <v>24</v>
      </c>
      <c r="F12" s="197">
        <v>72400</v>
      </c>
      <c r="G12" s="197">
        <v>72320</v>
      </c>
      <c r="H12" s="196">
        <f>72400-72320</f>
        <v>80</v>
      </c>
      <c r="I12" s="197">
        <v>100</v>
      </c>
      <c r="J12" s="268">
        <f t="shared" si="1"/>
        <v>8000</v>
      </c>
      <c r="K12" s="185"/>
      <c r="M12" s="319" t="s">
        <v>300</v>
      </c>
      <c r="N12" s="371">
        <f>SUM(N4:N11)</f>
        <v>126</v>
      </c>
      <c r="O12" s="371">
        <f>SUM(O4:O11)</f>
        <v>111</v>
      </c>
      <c r="P12" s="371">
        <f>SUM(P4:P11)</f>
        <v>13</v>
      </c>
      <c r="Q12" s="371">
        <f>SUM(Q4:Q11)</f>
        <v>0</v>
      </c>
      <c r="R12" s="343">
        <f>O12/N12</f>
        <v>0.88095238095238093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45477</v>
      </c>
      <c r="D13" s="196" t="s">
        <v>23</v>
      </c>
      <c r="E13" s="196" t="s">
        <v>22</v>
      </c>
      <c r="F13" s="197">
        <v>91900</v>
      </c>
      <c r="G13" s="197">
        <v>91700</v>
      </c>
      <c r="H13" s="196">
        <v>200</v>
      </c>
      <c r="I13" s="197">
        <v>30</v>
      </c>
      <c r="J13" s="268">
        <f t="shared" si="1"/>
        <v>6000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45478</v>
      </c>
      <c r="D14" s="196" t="s">
        <v>23</v>
      </c>
      <c r="E14" s="196" t="s">
        <v>24</v>
      </c>
      <c r="F14" s="197">
        <v>72600</v>
      </c>
      <c r="G14" s="197">
        <v>72500</v>
      </c>
      <c r="H14" s="196">
        <v>100</v>
      </c>
      <c r="I14" s="197">
        <v>100</v>
      </c>
      <c r="J14" s="268">
        <f t="shared" si="1"/>
        <v>10000</v>
      </c>
      <c r="K14" s="185"/>
      <c r="M14" s="323" t="s">
        <v>878</v>
      </c>
      <c r="N14" s="324"/>
      <c r="O14" s="325"/>
      <c r="P14" s="332">
        <f>R12</f>
        <v>0.88095238095238093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45478</v>
      </c>
      <c r="D15" s="196" t="s">
        <v>23</v>
      </c>
      <c r="E15" s="196" t="s">
        <v>22</v>
      </c>
      <c r="F15" s="197">
        <v>92350</v>
      </c>
      <c r="G15" s="197">
        <v>91800</v>
      </c>
      <c r="H15" s="196">
        <f>92350-91800</f>
        <v>550</v>
      </c>
      <c r="I15" s="197">
        <v>30</v>
      </c>
      <c r="J15" s="268">
        <f t="shared" si="1"/>
        <v>16500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45481</v>
      </c>
      <c r="D16" s="196" t="s">
        <v>23</v>
      </c>
      <c r="E16" s="196" t="s">
        <v>24</v>
      </c>
      <c r="F16" s="197">
        <v>72700</v>
      </c>
      <c r="G16" s="197">
        <v>72620</v>
      </c>
      <c r="H16" s="196">
        <f>72700-72620</f>
        <v>80</v>
      </c>
      <c r="I16" s="197">
        <v>100</v>
      </c>
      <c r="J16" s="268">
        <f t="shared" si="1"/>
        <v>8000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45481</v>
      </c>
      <c r="D17" s="196" t="s">
        <v>23</v>
      </c>
      <c r="E17" s="196" t="s">
        <v>22</v>
      </c>
      <c r="F17" s="197">
        <v>93200</v>
      </c>
      <c r="G17" s="197">
        <v>93550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45482</v>
      </c>
      <c r="D18" s="196" t="s">
        <v>23</v>
      </c>
      <c r="E18" s="196" t="s">
        <v>24</v>
      </c>
      <c r="F18" s="197">
        <v>72350</v>
      </c>
      <c r="G18" s="197">
        <v>74450</v>
      </c>
      <c r="H18" s="196">
        <v>-100</v>
      </c>
      <c r="I18" s="197">
        <v>100</v>
      </c>
      <c r="J18" s="268">
        <f t="shared" si="1"/>
        <v>-10000</v>
      </c>
      <c r="K18" s="185"/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45482</v>
      </c>
      <c r="D19" s="196" t="s">
        <v>23</v>
      </c>
      <c r="E19" s="196" t="s">
        <v>22</v>
      </c>
      <c r="F19" s="197">
        <v>93400</v>
      </c>
      <c r="G19" s="197">
        <v>92900</v>
      </c>
      <c r="H19" s="196">
        <f>93400-92900</f>
        <v>500</v>
      </c>
      <c r="I19" s="197">
        <v>30</v>
      </c>
      <c r="J19" s="268">
        <f t="shared" si="1"/>
        <v>15000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45483</v>
      </c>
      <c r="D20" s="196" t="s">
        <v>23</v>
      </c>
      <c r="E20" s="196" t="s">
        <v>24</v>
      </c>
      <c r="F20" s="197">
        <v>72650</v>
      </c>
      <c r="G20" s="197">
        <v>72770</v>
      </c>
      <c r="H20" s="196">
        <f>72770-72650</f>
        <v>120</v>
      </c>
      <c r="I20" s="197">
        <v>100</v>
      </c>
      <c r="J20" s="268">
        <f t="shared" si="1"/>
        <v>12000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45483</v>
      </c>
      <c r="D21" s="196" t="s">
        <v>23</v>
      </c>
      <c r="E21" s="196" t="s">
        <v>22</v>
      </c>
      <c r="F21" s="197">
        <v>93300</v>
      </c>
      <c r="G21" s="197">
        <v>93600</v>
      </c>
      <c r="H21" s="196">
        <v>-300</v>
      </c>
      <c r="I21" s="197">
        <v>30</v>
      </c>
      <c r="J21" s="268">
        <f t="shared" si="1"/>
        <v>-9000</v>
      </c>
      <c r="K21" s="185"/>
      <c r="M21" s="183" t="s">
        <v>904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45484</v>
      </c>
      <c r="D22" s="196" t="s">
        <v>23</v>
      </c>
      <c r="E22" s="196" t="s">
        <v>24</v>
      </c>
      <c r="F22" s="197">
        <v>72870</v>
      </c>
      <c r="G22" s="197">
        <v>72770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45484</v>
      </c>
      <c r="D23" s="196" t="s">
        <v>23</v>
      </c>
      <c r="E23" s="196" t="s">
        <v>22</v>
      </c>
      <c r="F23" s="197">
        <v>93400</v>
      </c>
      <c r="G23" s="197">
        <v>93200</v>
      </c>
      <c r="H23" s="196">
        <v>200</v>
      </c>
      <c r="I23" s="197">
        <v>30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45485</v>
      </c>
      <c r="D24" s="196" t="s">
        <v>23</v>
      </c>
      <c r="E24" s="196" t="s">
        <v>24</v>
      </c>
      <c r="F24" s="197">
        <v>73180</v>
      </c>
      <c r="G24" s="197">
        <v>73080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45485</v>
      </c>
      <c r="D25" s="196" t="s">
        <v>23</v>
      </c>
      <c r="E25" s="196" t="s">
        <v>22</v>
      </c>
      <c r="F25" s="197">
        <v>93000</v>
      </c>
      <c r="G25" s="197">
        <v>92700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45488</v>
      </c>
      <c r="D26" s="196" t="s">
        <v>23</v>
      </c>
      <c r="E26" s="196" t="s">
        <v>24</v>
      </c>
      <c r="F26" s="197">
        <v>73250</v>
      </c>
      <c r="G26" s="197">
        <v>73180</v>
      </c>
      <c r="H26" s="196">
        <f>73250-73180</f>
        <v>70</v>
      </c>
      <c r="I26" s="197">
        <v>100</v>
      </c>
      <c r="J26" s="268">
        <f t="shared" si="1"/>
        <v>7000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45488</v>
      </c>
      <c r="D27" s="196" t="s">
        <v>23</v>
      </c>
      <c r="E27" s="196" t="s">
        <v>22</v>
      </c>
      <c r="F27" s="197">
        <v>92700</v>
      </c>
      <c r="G27" s="197">
        <v>92400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45489</v>
      </c>
      <c r="D28" s="196" t="s">
        <v>23</v>
      </c>
      <c r="E28" s="196" t="s">
        <v>24</v>
      </c>
      <c r="F28" s="197">
        <v>73700</v>
      </c>
      <c r="G28" s="197">
        <v>73630</v>
      </c>
      <c r="H28" s="196">
        <f>73700-73630</f>
        <v>70</v>
      </c>
      <c r="I28" s="197">
        <v>100</v>
      </c>
      <c r="J28" s="268">
        <f t="shared" si="1"/>
        <v>7000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45489</v>
      </c>
      <c r="D29" s="196" t="s">
        <v>23</v>
      </c>
      <c r="E29" s="196" t="s">
        <v>22</v>
      </c>
      <c r="F29" s="197">
        <v>92900</v>
      </c>
      <c r="G29" s="197">
        <v>92750</v>
      </c>
      <c r="H29" s="196">
        <f>92900-92750</f>
        <v>150</v>
      </c>
      <c r="I29" s="197">
        <v>30</v>
      </c>
      <c r="J29" s="268">
        <f t="shared" si="1"/>
        <v>4500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45491</v>
      </c>
      <c r="D30" s="196" t="s">
        <v>23</v>
      </c>
      <c r="E30" s="196" t="s">
        <v>24</v>
      </c>
      <c r="F30" s="197">
        <v>74500</v>
      </c>
      <c r="G30" s="197">
        <v>74300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45491</v>
      </c>
      <c r="D31" s="196" t="s">
        <v>23</v>
      </c>
      <c r="E31" s="196" t="s">
        <v>22</v>
      </c>
      <c r="F31" s="197">
        <v>92500</v>
      </c>
      <c r="G31" s="197">
        <v>91900</v>
      </c>
      <c r="H31" s="196">
        <f>92500-91900</f>
        <v>600</v>
      </c>
      <c r="I31" s="197">
        <v>30</v>
      </c>
      <c r="J31" s="268">
        <f t="shared" si="1"/>
        <v>18000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45492</v>
      </c>
      <c r="D32" s="196" t="s">
        <v>23</v>
      </c>
      <c r="E32" s="196" t="s">
        <v>24</v>
      </c>
      <c r="F32" s="197">
        <v>73450</v>
      </c>
      <c r="G32" s="197">
        <v>73250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45492</v>
      </c>
      <c r="D33" s="196" t="s">
        <v>23</v>
      </c>
      <c r="E33" s="196" t="s">
        <v>22</v>
      </c>
      <c r="F33" s="197">
        <v>90100</v>
      </c>
      <c r="G33" s="197">
        <v>89577</v>
      </c>
      <c r="H33" s="196">
        <f>90100-89577</f>
        <v>523</v>
      </c>
      <c r="I33" s="197">
        <v>30</v>
      </c>
      <c r="J33" s="268">
        <f t="shared" si="1"/>
        <v>15690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45495</v>
      </c>
      <c r="D34" s="196" t="s">
        <v>23</v>
      </c>
      <c r="E34" s="196" t="s">
        <v>24</v>
      </c>
      <c r="F34" s="197">
        <v>72880</v>
      </c>
      <c r="G34" s="197">
        <v>72820</v>
      </c>
      <c r="H34" s="196">
        <v>60</v>
      </c>
      <c r="I34" s="197">
        <v>100</v>
      </c>
      <c r="J34" s="268">
        <f t="shared" si="1"/>
        <v>6000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45495</v>
      </c>
      <c r="D35" s="196" t="s">
        <v>23</v>
      </c>
      <c r="E35" s="196" t="s">
        <v>22</v>
      </c>
      <c r="F35" s="197">
        <v>89300</v>
      </c>
      <c r="G35" s="197">
        <v>88700</v>
      </c>
      <c r="H35" s="196">
        <f>89300-88700</f>
        <v>600</v>
      </c>
      <c r="I35" s="197">
        <v>30</v>
      </c>
      <c r="J35" s="268">
        <f t="shared" si="1"/>
        <v>18000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45496</v>
      </c>
      <c r="D36" s="196" t="s">
        <v>16</v>
      </c>
      <c r="E36" s="196" t="s">
        <v>24</v>
      </c>
      <c r="F36" s="197">
        <v>69200</v>
      </c>
      <c r="G36" s="197">
        <v>69100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3"/>
        <v>1</v>
      </c>
    </row>
    <row r="37" spans="1:23" x14ac:dyDescent="0.3">
      <c r="A37" s="184"/>
      <c r="B37" s="194">
        <v>32</v>
      </c>
      <c r="C37" s="195">
        <v>45496</v>
      </c>
      <c r="D37" s="196" t="s">
        <v>16</v>
      </c>
      <c r="E37" s="196" t="s">
        <v>22</v>
      </c>
      <c r="F37" s="197">
        <v>85500</v>
      </c>
      <c r="G37" s="197">
        <v>85690</v>
      </c>
      <c r="H37" s="196">
        <f>85690-85500</f>
        <v>190</v>
      </c>
      <c r="I37" s="197">
        <v>30</v>
      </c>
      <c r="J37" s="268">
        <f t="shared" si="1"/>
        <v>5700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45498</v>
      </c>
      <c r="D38" s="196" t="s">
        <v>23</v>
      </c>
      <c r="E38" s="196" t="s">
        <v>24</v>
      </c>
      <c r="F38" s="197">
        <v>67760</v>
      </c>
      <c r="G38" s="197">
        <v>67660</v>
      </c>
      <c r="H38" s="196">
        <f>67760-67660</f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45498</v>
      </c>
      <c r="D39" s="196" t="s">
        <v>23</v>
      </c>
      <c r="E39" s="196" t="s">
        <v>22</v>
      </c>
      <c r="F39" s="197">
        <v>82000</v>
      </c>
      <c r="G39" s="197">
        <v>81550</v>
      </c>
      <c r="H39" s="196">
        <f>82000-81550</f>
        <v>450</v>
      </c>
      <c r="I39" s="197">
        <v>30</v>
      </c>
      <c r="J39" s="268">
        <f t="shared" si="1"/>
        <v>13500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45499</v>
      </c>
      <c r="D40" s="196" t="s">
        <v>23</v>
      </c>
      <c r="E40" s="196" t="s">
        <v>24</v>
      </c>
      <c r="F40" s="197">
        <v>67800</v>
      </c>
      <c r="G40" s="197">
        <v>67700</v>
      </c>
      <c r="H40" s="196">
        <v>100</v>
      </c>
      <c r="I40" s="197">
        <v>100</v>
      </c>
      <c r="J40" s="268">
        <f t="shared" si="1"/>
        <v>10000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45499</v>
      </c>
      <c r="D41" s="196" t="s">
        <v>23</v>
      </c>
      <c r="E41" s="196" t="s">
        <v>22</v>
      </c>
      <c r="F41" s="197">
        <v>81000</v>
      </c>
      <c r="G41" s="197">
        <v>81300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45502</v>
      </c>
      <c r="D42" s="196" t="s">
        <v>23</v>
      </c>
      <c r="E42" s="196" t="s">
        <v>24</v>
      </c>
      <c r="F42" s="197">
        <v>68420</v>
      </c>
      <c r="G42" s="197">
        <v>68520</v>
      </c>
      <c r="H42" s="196">
        <v>-100</v>
      </c>
      <c r="I42" s="197">
        <v>100</v>
      </c>
      <c r="J42" s="268">
        <f t="shared" si="1"/>
        <v>-10000</v>
      </c>
      <c r="K42" s="185"/>
      <c r="V42" s="183">
        <f t="shared" si="2"/>
        <v>0</v>
      </c>
      <c r="W42" s="183">
        <f t="shared" si="3"/>
        <v>1</v>
      </c>
    </row>
    <row r="43" spans="1:23" x14ac:dyDescent="0.3">
      <c r="A43" s="184"/>
      <c r="B43" s="194">
        <v>38</v>
      </c>
      <c r="C43" s="195">
        <v>45502</v>
      </c>
      <c r="D43" s="196" t="s">
        <v>23</v>
      </c>
      <c r="E43" s="196" t="s">
        <v>22</v>
      </c>
      <c r="F43" s="197">
        <v>81800</v>
      </c>
      <c r="G43" s="197">
        <v>82100</v>
      </c>
      <c r="H43" s="196">
        <v>-300</v>
      </c>
      <c r="I43" s="197">
        <v>30</v>
      </c>
      <c r="J43" s="268">
        <f t="shared" si="1"/>
        <v>-9000</v>
      </c>
      <c r="K43" s="185"/>
      <c r="V43" s="183">
        <f t="shared" si="2"/>
        <v>0</v>
      </c>
      <c r="W43" s="183">
        <f t="shared" si="3"/>
        <v>1</v>
      </c>
    </row>
    <row r="44" spans="1:23" x14ac:dyDescent="0.3">
      <c r="A44" s="184"/>
      <c r="B44" s="194">
        <v>39</v>
      </c>
      <c r="C44" s="195">
        <v>45503</v>
      </c>
      <c r="D44" s="196" t="s">
        <v>23</v>
      </c>
      <c r="E44" s="196" t="s">
        <v>24</v>
      </c>
      <c r="F44" s="197">
        <v>68780</v>
      </c>
      <c r="G44" s="197">
        <v>68708</v>
      </c>
      <c r="H44" s="196">
        <f>68780-68708</f>
        <v>72</v>
      </c>
      <c r="I44" s="197">
        <v>100</v>
      </c>
      <c r="J44" s="268">
        <f t="shared" si="1"/>
        <v>7200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45503</v>
      </c>
      <c r="D45" s="196" t="s">
        <v>23</v>
      </c>
      <c r="E45" s="196" t="s">
        <v>22</v>
      </c>
      <c r="F45" s="197">
        <v>81550</v>
      </c>
      <c r="G45" s="197">
        <v>81350</v>
      </c>
      <c r="H45" s="196">
        <v>200</v>
      </c>
      <c r="I45" s="197">
        <v>30</v>
      </c>
      <c r="J45" s="268">
        <f t="shared" si="1"/>
        <v>6000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45504</v>
      </c>
      <c r="D46" s="196" t="s">
        <v>23</v>
      </c>
      <c r="E46" s="196" t="s">
        <v>24</v>
      </c>
      <c r="F46" s="197">
        <v>69500</v>
      </c>
      <c r="G46" s="197">
        <v>69460</v>
      </c>
      <c r="H46" s="196">
        <f>69500-69460</f>
        <v>40</v>
      </c>
      <c r="I46" s="197">
        <v>100</v>
      </c>
      <c r="J46" s="268">
        <f t="shared" si="1"/>
        <v>4000</v>
      </c>
      <c r="K46" s="185"/>
      <c r="V46" s="183">
        <f t="shared" si="2"/>
        <v>1</v>
      </c>
      <c r="W46" s="183">
        <f t="shared" si="3"/>
        <v>0</v>
      </c>
    </row>
    <row r="47" spans="1:23" ht="15" thickBot="1" x14ac:dyDescent="0.35">
      <c r="A47" s="184"/>
      <c r="B47" s="194">
        <v>42</v>
      </c>
      <c r="C47" s="195">
        <v>45504</v>
      </c>
      <c r="D47" s="196" t="s">
        <v>23</v>
      </c>
      <c r="E47" s="196" t="s">
        <v>22</v>
      </c>
      <c r="F47" s="197">
        <v>83300</v>
      </c>
      <c r="G47" s="197">
        <v>83120</v>
      </c>
      <c r="H47" s="196">
        <f>83300-83120</f>
        <v>180</v>
      </c>
      <c r="I47" s="197">
        <v>30</v>
      </c>
      <c r="J47" s="268">
        <f t="shared" si="1"/>
        <v>5400</v>
      </c>
      <c r="K47" s="185"/>
      <c r="V47" s="183">
        <f t="shared" si="2"/>
        <v>1</v>
      </c>
      <c r="W47" s="183">
        <f t="shared" si="3"/>
        <v>0</v>
      </c>
    </row>
    <row r="48" spans="1:23" ht="15" hidden="1" thickBot="1" x14ac:dyDescent="0.35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t="15" hidden="1" thickBot="1" x14ac:dyDescent="0.35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hidden="1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hidden="1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310790</v>
      </c>
      <c r="K52" s="185"/>
      <c r="V52" s="183">
        <f>SUM(V6:V51)</f>
        <v>36</v>
      </c>
      <c r="W52" s="183">
        <f>SUM(W6:W51)</f>
        <v>6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45474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45474</v>
      </c>
      <c r="D60" s="192" t="s">
        <v>23</v>
      </c>
      <c r="E60" s="192" t="s">
        <v>25</v>
      </c>
      <c r="F60" s="193">
        <v>6840</v>
      </c>
      <c r="G60" s="193">
        <v>6817</v>
      </c>
      <c r="H60" s="192">
        <f>6840-6817</f>
        <v>23</v>
      </c>
      <c r="I60" s="193">
        <v>100</v>
      </c>
      <c r="J60" s="267">
        <f t="shared" ref="J60:J102" si="5">I60*H60</f>
        <v>2300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45474</v>
      </c>
      <c r="D61" s="196" t="s">
        <v>23</v>
      </c>
      <c r="E61" s="196" t="s">
        <v>939</v>
      </c>
      <c r="F61" s="222">
        <v>215.5</v>
      </c>
      <c r="G61" s="222">
        <v>214.5</v>
      </c>
      <c r="H61" s="222">
        <v>1</v>
      </c>
      <c r="I61" s="197">
        <v>2000</v>
      </c>
      <c r="J61" s="268">
        <f t="shared" si="5"/>
        <v>2000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45475</v>
      </c>
      <c r="D62" s="196" t="s">
        <v>23</v>
      </c>
      <c r="E62" s="196" t="s">
        <v>25</v>
      </c>
      <c r="F62" s="197">
        <v>7005</v>
      </c>
      <c r="G62" s="197">
        <v>6980</v>
      </c>
      <c r="H62" s="222">
        <f>7005-6980</f>
        <v>25</v>
      </c>
      <c r="I62" s="197">
        <v>10</v>
      </c>
      <c r="J62" s="268">
        <f t="shared" si="5"/>
        <v>250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45475</v>
      </c>
      <c r="D63" s="196" t="s">
        <v>23</v>
      </c>
      <c r="E63" s="196" t="s">
        <v>939</v>
      </c>
      <c r="F63" s="222">
        <v>207</v>
      </c>
      <c r="G63" s="222">
        <v>204.8</v>
      </c>
      <c r="H63" s="222">
        <f>207-204.8</f>
        <v>2.1999999999999886</v>
      </c>
      <c r="I63" s="197">
        <v>2000</v>
      </c>
      <c r="J63" s="268">
        <f t="shared" si="5"/>
        <v>4399.9999999999773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45476</v>
      </c>
      <c r="D64" s="196" t="s">
        <v>23</v>
      </c>
      <c r="E64" s="196" t="s">
        <v>25</v>
      </c>
      <c r="F64" s="197">
        <v>6940</v>
      </c>
      <c r="G64" s="197">
        <v>6910</v>
      </c>
      <c r="H64" s="196">
        <v>30</v>
      </c>
      <c r="I64" s="197">
        <v>100</v>
      </c>
      <c r="J64" s="268">
        <f t="shared" si="5"/>
        <v>3000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45476</v>
      </c>
      <c r="D65" s="196" t="s">
        <v>23</v>
      </c>
      <c r="E65" s="196" t="s">
        <v>939</v>
      </c>
      <c r="F65" s="222">
        <v>205</v>
      </c>
      <c r="G65" s="222">
        <v>203</v>
      </c>
      <c r="H65" s="196">
        <v>2</v>
      </c>
      <c r="I65" s="197">
        <v>2000</v>
      </c>
      <c r="J65" s="268">
        <f t="shared" si="5"/>
        <v>4000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45477</v>
      </c>
      <c r="D66" s="196" t="s">
        <v>23</v>
      </c>
      <c r="E66" s="196" t="s">
        <v>25</v>
      </c>
      <c r="F66" s="222">
        <v>6960</v>
      </c>
      <c r="G66" s="222">
        <v>6950</v>
      </c>
      <c r="H66" s="196">
        <v>10</v>
      </c>
      <c r="I66" s="197">
        <v>100</v>
      </c>
      <c r="J66" s="268">
        <f t="shared" si="5"/>
        <v>1000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45477</v>
      </c>
      <c r="D67" s="196" t="s">
        <v>23</v>
      </c>
      <c r="E67" s="196" t="s">
        <v>939</v>
      </c>
      <c r="F67" s="222">
        <v>203</v>
      </c>
      <c r="G67" s="222">
        <v>200</v>
      </c>
      <c r="H67" s="222">
        <v>3</v>
      </c>
      <c r="I67" s="197">
        <v>2000</v>
      </c>
      <c r="J67" s="268">
        <f t="shared" si="5"/>
        <v>6000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45478</v>
      </c>
      <c r="D68" s="196" t="s">
        <v>23</v>
      </c>
      <c r="E68" s="196" t="s">
        <v>25</v>
      </c>
      <c r="F68" s="197">
        <v>7010</v>
      </c>
      <c r="G68" s="197">
        <v>6995</v>
      </c>
      <c r="H68" s="196">
        <f>7010-6995</f>
        <v>15</v>
      </c>
      <c r="I68" s="197">
        <v>100</v>
      </c>
      <c r="J68" s="268">
        <f t="shared" si="5"/>
        <v>1500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45478</v>
      </c>
      <c r="D69" s="196" t="s">
        <v>23</v>
      </c>
      <c r="E69" s="196" t="s">
        <v>939</v>
      </c>
      <c r="F69" s="222">
        <v>198</v>
      </c>
      <c r="G69" s="222">
        <v>197</v>
      </c>
      <c r="H69" s="222">
        <v>1</v>
      </c>
      <c r="I69" s="197">
        <v>2000</v>
      </c>
      <c r="J69" s="268">
        <f t="shared" si="5"/>
        <v>2000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45481</v>
      </c>
      <c r="D70" s="196" t="s">
        <v>23</v>
      </c>
      <c r="E70" s="196" t="s">
        <v>25</v>
      </c>
      <c r="F70" s="197">
        <v>6890</v>
      </c>
      <c r="G70" s="222">
        <v>6865</v>
      </c>
      <c r="H70" s="196">
        <f>6890-6865</f>
        <v>25</v>
      </c>
      <c r="I70" s="197">
        <v>100</v>
      </c>
      <c r="J70" s="268">
        <f t="shared" si="5"/>
        <v>2500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45481</v>
      </c>
      <c r="D71" s="196" t="s">
        <v>23</v>
      </c>
      <c r="E71" s="196" t="s">
        <v>939</v>
      </c>
      <c r="F71" s="222">
        <v>195</v>
      </c>
      <c r="G71" s="222">
        <v>193.5</v>
      </c>
      <c r="H71" s="222">
        <f>195-193.5</f>
        <v>1.5</v>
      </c>
      <c r="I71" s="197">
        <v>2000</v>
      </c>
      <c r="J71" s="268">
        <f t="shared" si="5"/>
        <v>3000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45482</v>
      </c>
      <c r="D72" s="196" t="s">
        <v>23</v>
      </c>
      <c r="E72" s="196" t="s">
        <v>25</v>
      </c>
      <c r="F72" s="197">
        <v>6840</v>
      </c>
      <c r="G72" s="222">
        <v>6827</v>
      </c>
      <c r="H72" s="196">
        <f>6840-6827</f>
        <v>13</v>
      </c>
      <c r="I72" s="197">
        <v>100</v>
      </c>
      <c r="J72" s="268">
        <f t="shared" si="5"/>
        <v>1300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45482</v>
      </c>
      <c r="D73" s="196" t="s">
        <v>23</v>
      </c>
      <c r="E73" s="196" t="s">
        <v>939</v>
      </c>
      <c r="F73" s="222">
        <v>199</v>
      </c>
      <c r="G73" s="222">
        <v>196</v>
      </c>
      <c r="H73" s="196">
        <v>3</v>
      </c>
      <c r="I73" s="197">
        <v>2000</v>
      </c>
      <c r="J73" s="268">
        <f t="shared" si="5"/>
        <v>6000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45483</v>
      </c>
      <c r="D74" s="196" t="s">
        <v>23</v>
      </c>
      <c r="E74" s="196" t="s">
        <v>25</v>
      </c>
      <c r="F74" s="197">
        <v>6830</v>
      </c>
      <c r="G74" s="222">
        <v>6790</v>
      </c>
      <c r="H74" s="196">
        <f>6830-6790</f>
        <v>40</v>
      </c>
      <c r="I74" s="197">
        <v>100</v>
      </c>
      <c r="J74" s="268">
        <f t="shared" si="5"/>
        <v>4000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45483</v>
      </c>
      <c r="D75" s="196" t="s">
        <v>23</v>
      </c>
      <c r="E75" s="196" t="s">
        <v>939</v>
      </c>
      <c r="F75" s="222">
        <v>199</v>
      </c>
      <c r="G75" s="222">
        <v>196</v>
      </c>
      <c r="H75" s="196">
        <v>3</v>
      </c>
      <c r="I75" s="197">
        <v>2000</v>
      </c>
      <c r="J75" s="268">
        <f t="shared" si="5"/>
        <v>6000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45484</v>
      </c>
      <c r="D76" s="196" t="s">
        <v>23</v>
      </c>
      <c r="E76" s="196" t="s">
        <v>25</v>
      </c>
      <c r="F76" s="197">
        <v>6910</v>
      </c>
      <c r="G76" s="197">
        <v>6860</v>
      </c>
      <c r="H76" s="196">
        <f>6910-6860</f>
        <v>50</v>
      </c>
      <c r="I76" s="197">
        <v>100</v>
      </c>
      <c r="J76" s="268">
        <f t="shared" si="5"/>
        <v>5000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45484</v>
      </c>
      <c r="D77" s="196" t="s">
        <v>23</v>
      </c>
      <c r="E77" s="196" t="s">
        <v>939</v>
      </c>
      <c r="F77" s="222">
        <v>195</v>
      </c>
      <c r="G77" s="222">
        <v>193</v>
      </c>
      <c r="H77" s="222">
        <v>2</v>
      </c>
      <c r="I77" s="197">
        <v>2000</v>
      </c>
      <c r="J77" s="268">
        <f t="shared" si="5"/>
        <v>4000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45485</v>
      </c>
      <c r="D78" s="196" t="s">
        <v>23</v>
      </c>
      <c r="E78" s="196" t="s">
        <v>25</v>
      </c>
      <c r="F78" s="197">
        <v>6980</v>
      </c>
      <c r="G78" s="197">
        <v>6933</v>
      </c>
      <c r="H78" s="196">
        <f>6980-6933</f>
        <v>47</v>
      </c>
      <c r="I78" s="197">
        <v>100</v>
      </c>
      <c r="J78" s="268">
        <f t="shared" si="5"/>
        <v>4700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45485</v>
      </c>
      <c r="D79" s="196" t="s">
        <v>23</v>
      </c>
      <c r="E79" s="196" t="s">
        <v>939</v>
      </c>
      <c r="F79" s="222">
        <v>190</v>
      </c>
      <c r="G79" s="222">
        <v>188.3</v>
      </c>
      <c r="H79" s="196">
        <f>190-188.3</f>
        <v>1.6999999999999886</v>
      </c>
      <c r="I79" s="197">
        <v>2000</v>
      </c>
      <c r="J79" s="268">
        <f t="shared" si="5"/>
        <v>3399.9999999999773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45488</v>
      </c>
      <c r="D80" s="196" t="s">
        <v>23</v>
      </c>
      <c r="E80" s="196" t="s">
        <v>25</v>
      </c>
      <c r="F80" s="197">
        <v>6890</v>
      </c>
      <c r="G80" s="197">
        <v>6820</v>
      </c>
      <c r="H80" s="196">
        <f>6890-6820</f>
        <v>70</v>
      </c>
      <c r="I80" s="197">
        <v>100</v>
      </c>
      <c r="J80" s="268">
        <f t="shared" si="5"/>
        <v>7000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45488</v>
      </c>
      <c r="D81" s="196" t="s">
        <v>23</v>
      </c>
      <c r="E81" s="196" t="s">
        <v>939</v>
      </c>
      <c r="F81" s="197">
        <v>190</v>
      </c>
      <c r="G81" s="222">
        <v>185.7</v>
      </c>
      <c r="H81" s="222">
        <f>190-185.7</f>
        <v>4.3000000000000114</v>
      </c>
      <c r="I81" s="197">
        <v>2000</v>
      </c>
      <c r="J81" s="268">
        <f t="shared" si="5"/>
        <v>8600.0000000000218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45489</v>
      </c>
      <c r="D82" s="196" t="s">
        <v>23</v>
      </c>
      <c r="E82" s="196" t="s">
        <v>25</v>
      </c>
      <c r="F82" s="197">
        <v>6790</v>
      </c>
      <c r="G82" s="197">
        <v>6725</v>
      </c>
      <c r="H82" s="196">
        <f>6790-6725</f>
        <v>65</v>
      </c>
      <c r="I82" s="197">
        <v>100</v>
      </c>
      <c r="J82" s="268">
        <f t="shared" si="5"/>
        <v>6500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45489</v>
      </c>
      <c r="D83" s="196" t="s">
        <v>23</v>
      </c>
      <c r="E83" s="196" t="s">
        <v>939</v>
      </c>
      <c r="F83" s="197">
        <v>182</v>
      </c>
      <c r="G83" s="222">
        <v>180.8</v>
      </c>
      <c r="H83" s="222">
        <f>182-180.8</f>
        <v>1.1999999999999886</v>
      </c>
      <c r="I83" s="197">
        <v>2000</v>
      </c>
      <c r="J83" s="268">
        <f t="shared" si="5"/>
        <v>2399.9999999999773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184"/>
      <c r="B84" s="194">
        <v>25</v>
      </c>
      <c r="C84" s="195">
        <v>45491</v>
      </c>
      <c r="D84" s="196" t="s">
        <v>23</v>
      </c>
      <c r="E84" s="196" t="s">
        <v>25</v>
      </c>
      <c r="F84" s="197">
        <v>6990</v>
      </c>
      <c r="G84" s="222">
        <v>6960</v>
      </c>
      <c r="H84" s="222">
        <v>30</v>
      </c>
      <c r="I84" s="197">
        <v>100</v>
      </c>
      <c r="J84" s="268">
        <f t="shared" si="5"/>
        <v>3000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45491</v>
      </c>
      <c r="D85" s="196" t="s">
        <v>23</v>
      </c>
      <c r="E85" s="196" t="s">
        <v>939</v>
      </c>
      <c r="F85" s="222">
        <v>171</v>
      </c>
      <c r="G85" s="222">
        <v>169.6</v>
      </c>
      <c r="H85" s="196">
        <f>171-169.6</f>
        <v>1.4000000000000057</v>
      </c>
      <c r="I85" s="197">
        <v>2000</v>
      </c>
      <c r="J85" s="268">
        <f t="shared" si="5"/>
        <v>2800.0000000000114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45492</v>
      </c>
      <c r="D86" s="196" t="s">
        <v>23</v>
      </c>
      <c r="E86" s="196" t="s">
        <v>25</v>
      </c>
      <c r="F86" s="197">
        <v>6920</v>
      </c>
      <c r="G86" s="197">
        <v>6850</v>
      </c>
      <c r="H86" s="196">
        <v>70</v>
      </c>
      <c r="I86" s="197">
        <v>100</v>
      </c>
      <c r="J86" s="268">
        <f t="shared" si="5"/>
        <v>7000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45492</v>
      </c>
      <c r="D87" s="196" t="s">
        <v>23</v>
      </c>
      <c r="E87" s="196" t="s">
        <v>939</v>
      </c>
      <c r="F87" s="197">
        <v>176</v>
      </c>
      <c r="G87" s="222">
        <v>173</v>
      </c>
      <c r="H87" s="222">
        <v>3</v>
      </c>
      <c r="I87" s="197">
        <v>2000</v>
      </c>
      <c r="J87" s="268">
        <f t="shared" si="5"/>
        <v>6000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45495</v>
      </c>
      <c r="D88" s="196" t="s">
        <v>23</v>
      </c>
      <c r="E88" s="196" t="s">
        <v>25</v>
      </c>
      <c r="F88" s="197">
        <v>6600</v>
      </c>
      <c r="G88" s="197">
        <v>6570</v>
      </c>
      <c r="H88" s="196">
        <f>6600-6570</f>
        <v>30</v>
      </c>
      <c r="I88" s="197">
        <v>100</v>
      </c>
      <c r="J88" s="268">
        <f t="shared" si="5"/>
        <v>3000</v>
      </c>
      <c r="K88" s="185"/>
      <c r="V88" s="183">
        <f t="shared" si="6"/>
        <v>1</v>
      </c>
      <c r="W88" s="183">
        <f t="shared" si="7"/>
        <v>0</v>
      </c>
    </row>
    <row r="89" spans="1:23" x14ac:dyDescent="0.3">
      <c r="A89" s="184"/>
      <c r="B89" s="194">
        <v>30</v>
      </c>
      <c r="C89" s="195">
        <v>45495</v>
      </c>
      <c r="D89" s="196" t="s">
        <v>23</v>
      </c>
      <c r="E89" s="196" t="s">
        <v>939</v>
      </c>
      <c r="F89" s="222">
        <v>182</v>
      </c>
      <c r="G89" s="222">
        <v>185</v>
      </c>
      <c r="H89" s="196">
        <v>-3</v>
      </c>
      <c r="I89" s="197">
        <v>2000</v>
      </c>
      <c r="J89" s="268">
        <f t="shared" si="5"/>
        <v>-6000</v>
      </c>
      <c r="K89" s="185"/>
      <c r="V89" s="183">
        <f t="shared" si="6"/>
        <v>0</v>
      </c>
      <c r="W89" s="183">
        <f t="shared" si="7"/>
        <v>1</v>
      </c>
    </row>
    <row r="90" spans="1:23" x14ac:dyDescent="0.3">
      <c r="A90" s="184"/>
      <c r="B90" s="194">
        <v>31</v>
      </c>
      <c r="C90" s="195">
        <v>45496</v>
      </c>
      <c r="D90" s="196" t="s">
        <v>23</v>
      </c>
      <c r="E90" s="196" t="s">
        <v>25</v>
      </c>
      <c r="F90" s="197">
        <v>6575</v>
      </c>
      <c r="G90" s="197">
        <v>6530</v>
      </c>
      <c r="H90" s="196">
        <f>6575-6530</f>
        <v>45</v>
      </c>
      <c r="I90" s="197">
        <v>100</v>
      </c>
      <c r="J90" s="268">
        <f t="shared" si="5"/>
        <v>4500</v>
      </c>
      <c r="K90" s="185"/>
      <c r="V90" s="183">
        <f t="shared" si="6"/>
        <v>1</v>
      </c>
      <c r="W90" s="183">
        <f t="shared" si="7"/>
        <v>0</v>
      </c>
    </row>
    <row r="91" spans="1:23" x14ac:dyDescent="0.3">
      <c r="A91" s="184"/>
      <c r="B91" s="194">
        <v>32</v>
      </c>
      <c r="C91" s="195">
        <v>45496</v>
      </c>
      <c r="D91" s="196" t="s">
        <v>23</v>
      </c>
      <c r="E91" s="196" t="s">
        <v>939</v>
      </c>
      <c r="F91" s="222">
        <v>188.5</v>
      </c>
      <c r="G91" s="222">
        <v>184.5</v>
      </c>
      <c r="H91" s="222">
        <f>188.5-184.5</f>
        <v>4</v>
      </c>
      <c r="I91" s="197">
        <v>2000</v>
      </c>
      <c r="J91" s="268">
        <f t="shared" si="5"/>
        <v>8000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45498</v>
      </c>
      <c r="D92" s="196" t="s">
        <v>23</v>
      </c>
      <c r="E92" s="196" t="s">
        <v>25</v>
      </c>
      <c r="F92" s="197">
        <v>6460</v>
      </c>
      <c r="G92" s="197">
        <v>6390</v>
      </c>
      <c r="H92" s="196">
        <f>6460-6390</f>
        <v>70</v>
      </c>
      <c r="I92" s="197">
        <v>100</v>
      </c>
      <c r="J92" s="268">
        <f t="shared" si="5"/>
        <v>7000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45498</v>
      </c>
      <c r="D93" s="196" t="s">
        <v>23</v>
      </c>
      <c r="E93" s="196" t="s">
        <v>939</v>
      </c>
      <c r="F93" s="222">
        <v>177</v>
      </c>
      <c r="G93" s="222">
        <v>174</v>
      </c>
      <c r="H93" s="222">
        <v>3</v>
      </c>
      <c r="I93" s="197">
        <v>2000</v>
      </c>
      <c r="J93" s="268">
        <f t="shared" si="5"/>
        <v>6000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45499</v>
      </c>
      <c r="D94" s="196" t="s">
        <v>23</v>
      </c>
      <c r="E94" s="196" t="s">
        <v>25</v>
      </c>
      <c r="F94" s="197">
        <v>6560</v>
      </c>
      <c r="G94" s="197">
        <v>6525</v>
      </c>
      <c r="H94" s="196">
        <f>6560-6525</f>
        <v>35</v>
      </c>
      <c r="I94" s="197">
        <v>100</v>
      </c>
      <c r="J94" s="268">
        <f t="shared" si="5"/>
        <v>3500</v>
      </c>
      <c r="K94" s="185"/>
      <c r="V94" s="183">
        <f t="shared" si="6"/>
        <v>1</v>
      </c>
      <c r="W94" s="183">
        <f t="shared" si="7"/>
        <v>0</v>
      </c>
    </row>
    <row r="95" spans="1:23" x14ac:dyDescent="0.3">
      <c r="A95" s="184"/>
      <c r="B95" s="194">
        <v>36</v>
      </c>
      <c r="C95" s="195">
        <v>45499</v>
      </c>
      <c r="D95" s="196" t="s">
        <v>23</v>
      </c>
      <c r="E95" s="196" t="s">
        <v>939</v>
      </c>
      <c r="F95" s="197">
        <v>171</v>
      </c>
      <c r="G95" s="222">
        <v>169.5</v>
      </c>
      <c r="H95" s="222">
        <v>1.5</v>
      </c>
      <c r="I95" s="197">
        <v>2000</v>
      </c>
      <c r="J95" s="268">
        <f t="shared" si="5"/>
        <v>3000</v>
      </c>
      <c r="K95" s="185"/>
      <c r="V95" s="183">
        <f t="shared" si="6"/>
        <v>1</v>
      </c>
      <c r="W95" s="183">
        <f t="shared" si="7"/>
        <v>0</v>
      </c>
    </row>
    <row r="96" spans="1:23" x14ac:dyDescent="0.3">
      <c r="A96" s="184"/>
      <c r="B96" s="194">
        <v>37</v>
      </c>
      <c r="C96" s="195">
        <v>45502</v>
      </c>
      <c r="D96" s="196" t="s">
        <v>23</v>
      </c>
      <c r="E96" s="196" t="s">
        <v>25</v>
      </c>
      <c r="F96" s="197">
        <v>6480</v>
      </c>
      <c r="G96" s="197">
        <v>6425</v>
      </c>
      <c r="H96" s="196">
        <f>6480-6425</f>
        <v>55</v>
      </c>
      <c r="I96" s="197">
        <v>100</v>
      </c>
      <c r="J96" s="268">
        <f t="shared" si="5"/>
        <v>5500</v>
      </c>
      <c r="K96" s="185"/>
      <c r="V96" s="183">
        <f t="shared" si="6"/>
        <v>1</v>
      </c>
      <c r="W96" s="183">
        <f t="shared" si="7"/>
        <v>0</v>
      </c>
    </row>
    <row r="97" spans="1:23" x14ac:dyDescent="0.3">
      <c r="A97" s="255"/>
      <c r="B97" s="194">
        <v>38</v>
      </c>
      <c r="C97" s="195">
        <v>45502</v>
      </c>
      <c r="D97" s="196" t="s">
        <v>16</v>
      </c>
      <c r="E97" s="196" t="s">
        <v>939</v>
      </c>
      <c r="F97" s="197">
        <v>174</v>
      </c>
      <c r="G97" s="197">
        <v>173</v>
      </c>
      <c r="H97" s="196">
        <v>-1</v>
      </c>
      <c r="I97" s="197">
        <v>2000</v>
      </c>
      <c r="J97" s="268">
        <f t="shared" si="5"/>
        <v>-2000</v>
      </c>
      <c r="K97" s="185"/>
      <c r="V97" s="183">
        <f t="shared" si="6"/>
        <v>0</v>
      </c>
      <c r="W97" s="183">
        <f t="shared" si="7"/>
        <v>1</v>
      </c>
    </row>
    <row r="98" spans="1:23" x14ac:dyDescent="0.3">
      <c r="A98" s="184"/>
      <c r="B98" s="194">
        <v>39</v>
      </c>
      <c r="C98" s="195">
        <v>45503</v>
      </c>
      <c r="D98" s="196" t="s">
        <v>23</v>
      </c>
      <c r="E98" s="196" t="s">
        <v>25</v>
      </c>
      <c r="F98" s="197">
        <v>6350</v>
      </c>
      <c r="G98" s="222">
        <v>6320</v>
      </c>
      <c r="H98" s="196">
        <v>30</v>
      </c>
      <c r="I98" s="197">
        <v>100</v>
      </c>
      <c r="J98" s="268">
        <f t="shared" si="5"/>
        <v>3000</v>
      </c>
      <c r="K98" s="185"/>
      <c r="V98" s="183">
        <f t="shared" si="6"/>
        <v>1</v>
      </c>
      <c r="W98" s="183">
        <f t="shared" si="7"/>
        <v>0</v>
      </c>
    </row>
    <row r="99" spans="1:23" x14ac:dyDescent="0.3">
      <c r="A99" s="184"/>
      <c r="B99" s="194">
        <v>40</v>
      </c>
      <c r="C99" s="195">
        <v>45503</v>
      </c>
      <c r="D99" s="196" t="s">
        <v>23</v>
      </c>
      <c r="E99" s="196" t="s">
        <v>939</v>
      </c>
      <c r="F99" s="222">
        <v>172</v>
      </c>
      <c r="G99" s="222">
        <v>167.5</v>
      </c>
      <c r="H99" s="222">
        <f>172-167.5</f>
        <v>4.5</v>
      </c>
      <c r="I99" s="197">
        <v>2000</v>
      </c>
      <c r="J99" s="268">
        <f t="shared" si="5"/>
        <v>9000</v>
      </c>
      <c r="K99" s="185"/>
      <c r="V99" s="183">
        <f t="shared" si="6"/>
        <v>1</v>
      </c>
      <c r="W99" s="183">
        <f t="shared" si="7"/>
        <v>0</v>
      </c>
    </row>
    <row r="100" spans="1:23" x14ac:dyDescent="0.3">
      <c r="A100" s="184"/>
      <c r="B100" s="194">
        <v>41</v>
      </c>
      <c r="C100" s="195">
        <v>45504</v>
      </c>
      <c r="D100" s="196" t="s">
        <v>23</v>
      </c>
      <c r="E100" s="196" t="s">
        <v>25</v>
      </c>
      <c r="F100" s="197">
        <v>6445</v>
      </c>
      <c r="G100" s="197">
        <v>6415</v>
      </c>
      <c r="H100" s="196">
        <f>6445-6415</f>
        <v>30</v>
      </c>
      <c r="I100" s="197">
        <v>100</v>
      </c>
      <c r="J100" s="268">
        <f t="shared" si="5"/>
        <v>3000</v>
      </c>
      <c r="K100" s="185"/>
      <c r="V100" s="183">
        <f t="shared" si="6"/>
        <v>1</v>
      </c>
      <c r="W100" s="183">
        <f t="shared" si="7"/>
        <v>0</v>
      </c>
    </row>
    <row r="101" spans="1:23" x14ac:dyDescent="0.3">
      <c r="A101" s="184"/>
      <c r="B101" s="194">
        <v>42</v>
      </c>
      <c r="C101" s="195">
        <v>45504</v>
      </c>
      <c r="D101" s="196" t="s">
        <v>23</v>
      </c>
      <c r="E101" s="196" t="s">
        <v>939</v>
      </c>
      <c r="F101" s="197">
        <v>180</v>
      </c>
      <c r="G101" s="197">
        <v>174</v>
      </c>
      <c r="H101" s="196">
        <f>180-174</f>
        <v>6</v>
      </c>
      <c r="I101" s="197">
        <v>2000</v>
      </c>
      <c r="J101" s="268">
        <f t="shared" si="5"/>
        <v>12000</v>
      </c>
      <c r="K101" s="185"/>
      <c r="V101" s="183">
        <f t="shared" si="6"/>
        <v>1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8" t="s">
        <v>879</v>
      </c>
      <c r="C103" s="305"/>
      <c r="D103" s="305"/>
      <c r="E103" s="305"/>
      <c r="F103" s="305"/>
      <c r="G103" s="305"/>
      <c r="H103" s="306"/>
      <c r="I103" s="203" t="s">
        <v>880</v>
      </c>
      <c r="J103" s="204">
        <f>SUM(J60:J102)</f>
        <v>169149.99999999994</v>
      </c>
      <c r="K103" s="185"/>
      <c r="V103" s="183">
        <f>SUM(V60:V102)</f>
        <v>40</v>
      </c>
      <c r="W103" s="183">
        <f>SUM(W60:W102)</f>
        <v>2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07" t="s">
        <v>873</v>
      </c>
      <c r="C107" s="308"/>
      <c r="D107" s="308"/>
      <c r="E107" s="308"/>
      <c r="F107" s="308"/>
      <c r="G107" s="308"/>
      <c r="H107" s="308"/>
      <c r="I107" s="308"/>
      <c r="J107" s="309"/>
      <c r="K107" s="185"/>
    </row>
    <row r="108" spans="1:23" ht="16.2" thickBot="1" x14ac:dyDescent="0.35">
      <c r="A108" s="184"/>
      <c r="B108" s="310">
        <v>45474</v>
      </c>
      <c r="C108" s="311"/>
      <c r="D108" s="311"/>
      <c r="E108" s="311"/>
      <c r="F108" s="311"/>
      <c r="G108" s="311"/>
      <c r="H108" s="311"/>
      <c r="I108" s="311"/>
      <c r="J108" s="312"/>
      <c r="K108" s="185"/>
    </row>
    <row r="109" spans="1:23" ht="16.2" thickBot="1" x14ac:dyDescent="0.35">
      <c r="A109" s="184"/>
      <c r="B109" s="313" t="s">
        <v>882</v>
      </c>
      <c r="C109" s="314"/>
      <c r="D109" s="314"/>
      <c r="E109" s="314"/>
      <c r="F109" s="314"/>
      <c r="G109" s="314"/>
      <c r="H109" s="314"/>
      <c r="I109" s="314"/>
      <c r="J109" s="315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45474</v>
      </c>
      <c r="D111" s="216" t="s">
        <v>23</v>
      </c>
      <c r="E111" s="256" t="s">
        <v>28</v>
      </c>
      <c r="F111" s="256">
        <v>267</v>
      </c>
      <c r="G111" s="256">
        <v>266</v>
      </c>
      <c r="H111" s="256">
        <v>1</v>
      </c>
      <c r="I111" s="218">
        <v>5000</v>
      </c>
      <c r="J111" s="273">
        <f>I111*H111</f>
        <v>5000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</v>
      </c>
      <c r="C112" s="195">
        <v>45475</v>
      </c>
      <c r="D112" s="196" t="s">
        <v>23</v>
      </c>
      <c r="E112" s="222" t="s">
        <v>28</v>
      </c>
      <c r="F112" s="222">
        <v>267.5</v>
      </c>
      <c r="G112" s="222">
        <v>266.5</v>
      </c>
      <c r="H112" s="222">
        <v>1</v>
      </c>
      <c r="I112" s="197">
        <v>5000</v>
      </c>
      <c r="J112" s="268">
        <f t="shared" ref="J112:J137" si="8">I112*H112</f>
        <v>5000</v>
      </c>
      <c r="K112" s="185"/>
      <c r="V112" s="183">
        <f t="shared" ref="V112:V136" si="9">IF($J112&gt;0,1,0)</f>
        <v>1</v>
      </c>
      <c r="W112" s="183">
        <f t="shared" ref="W112:W136" si="10">IF($J112&lt;0,1,0)</f>
        <v>0</v>
      </c>
    </row>
    <row r="113" spans="1:23" x14ac:dyDescent="0.3">
      <c r="A113" s="184"/>
      <c r="B113" s="194">
        <v>3</v>
      </c>
      <c r="C113" s="195">
        <v>45476</v>
      </c>
      <c r="D113" s="196" t="s">
        <v>23</v>
      </c>
      <c r="E113" s="222" t="s">
        <v>28</v>
      </c>
      <c r="F113" s="222">
        <v>271</v>
      </c>
      <c r="G113" s="222">
        <v>270</v>
      </c>
      <c r="H113" s="222">
        <v>1</v>
      </c>
      <c r="I113" s="197">
        <v>5000</v>
      </c>
      <c r="J113" s="268">
        <f t="shared" si="8"/>
        <v>5000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45477</v>
      </c>
      <c r="D114" s="196" t="s">
        <v>23</v>
      </c>
      <c r="E114" s="222" t="s">
        <v>28</v>
      </c>
      <c r="F114" s="222">
        <v>275.5</v>
      </c>
      <c r="G114" s="222">
        <v>275</v>
      </c>
      <c r="H114" s="222">
        <v>0.5</v>
      </c>
      <c r="I114" s="197">
        <v>5000</v>
      </c>
      <c r="J114" s="268">
        <f t="shared" si="8"/>
        <v>2500</v>
      </c>
      <c r="K114" s="185"/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5</v>
      </c>
      <c r="C115" s="195">
        <v>45478</v>
      </c>
      <c r="D115" s="196" t="s">
        <v>23</v>
      </c>
      <c r="E115" s="222" t="s">
        <v>28</v>
      </c>
      <c r="F115" s="222">
        <v>276.3</v>
      </c>
      <c r="G115" s="222">
        <v>275.7</v>
      </c>
      <c r="H115" s="222">
        <f>276.3-275.7</f>
        <v>0.60000000000002274</v>
      </c>
      <c r="I115" s="197">
        <v>5000</v>
      </c>
      <c r="J115" s="268">
        <f t="shared" si="8"/>
        <v>3000.0000000001137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6</v>
      </c>
      <c r="C116" s="195">
        <v>45481</v>
      </c>
      <c r="D116" s="196" t="s">
        <v>23</v>
      </c>
      <c r="E116" s="222" t="s">
        <v>28</v>
      </c>
      <c r="F116" s="222">
        <v>274</v>
      </c>
      <c r="G116" s="222">
        <v>275</v>
      </c>
      <c r="H116" s="222">
        <v>-1</v>
      </c>
      <c r="I116" s="197">
        <v>5000</v>
      </c>
      <c r="J116" s="268">
        <f t="shared" si="8"/>
        <v>-5000</v>
      </c>
      <c r="K116" s="185"/>
      <c r="V116" s="183">
        <f t="shared" si="9"/>
        <v>0</v>
      </c>
      <c r="W116" s="183">
        <f t="shared" si="10"/>
        <v>1</v>
      </c>
    </row>
    <row r="117" spans="1:23" x14ac:dyDescent="0.3">
      <c r="A117" s="184"/>
      <c r="B117" s="194">
        <v>7</v>
      </c>
      <c r="C117" s="195">
        <v>45482</v>
      </c>
      <c r="D117" s="196" t="s">
        <v>23</v>
      </c>
      <c r="E117" s="222" t="s">
        <v>28</v>
      </c>
      <c r="F117" s="222">
        <v>272</v>
      </c>
      <c r="G117" s="222">
        <v>271</v>
      </c>
      <c r="H117" s="274">
        <v>1</v>
      </c>
      <c r="I117" s="197">
        <v>5000</v>
      </c>
      <c r="J117" s="268">
        <f t="shared" si="8"/>
        <v>5000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8</v>
      </c>
      <c r="C118" s="195">
        <v>45483</v>
      </c>
      <c r="D118" s="196" t="s">
        <v>23</v>
      </c>
      <c r="E118" s="222" t="s">
        <v>28</v>
      </c>
      <c r="F118" s="222">
        <v>271.2</v>
      </c>
      <c r="G118" s="222">
        <v>270.8</v>
      </c>
      <c r="H118" s="222">
        <f>271.2-270.8</f>
        <v>0.39999999999997726</v>
      </c>
      <c r="I118" s="197">
        <v>5000</v>
      </c>
      <c r="J118" s="268">
        <f t="shared" si="8"/>
        <v>1999.9999999998863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45484</v>
      </c>
      <c r="D119" s="196" t="s">
        <v>23</v>
      </c>
      <c r="E119" s="222" t="s">
        <v>28</v>
      </c>
      <c r="F119" s="222">
        <v>275.2</v>
      </c>
      <c r="G119" s="222">
        <v>274.35000000000002</v>
      </c>
      <c r="H119" s="222">
        <f>275.2-274.35</f>
        <v>0.84999999999996589</v>
      </c>
      <c r="I119" s="197">
        <v>5000</v>
      </c>
      <c r="J119" s="268">
        <f t="shared" si="8"/>
        <v>4249.999999999829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45485</v>
      </c>
      <c r="D120" s="196" t="s">
        <v>23</v>
      </c>
      <c r="E120" s="222" t="s">
        <v>28</v>
      </c>
      <c r="F120" s="222">
        <v>271.7</v>
      </c>
      <c r="G120" s="222">
        <v>272.7</v>
      </c>
      <c r="H120" s="222">
        <v>-1</v>
      </c>
      <c r="I120" s="197">
        <v>5000</v>
      </c>
      <c r="J120" s="268">
        <f t="shared" si="8"/>
        <v>-5000</v>
      </c>
      <c r="K120" s="185"/>
      <c r="V120" s="183">
        <f t="shared" si="9"/>
        <v>0</v>
      </c>
      <c r="W120" s="183">
        <f t="shared" si="10"/>
        <v>1</v>
      </c>
    </row>
    <row r="121" spans="1:23" x14ac:dyDescent="0.3">
      <c r="A121" s="184"/>
      <c r="B121" s="194">
        <v>11</v>
      </c>
      <c r="C121" s="195">
        <v>45488</v>
      </c>
      <c r="D121" s="196" t="s">
        <v>23</v>
      </c>
      <c r="E121" s="222" t="s">
        <v>28</v>
      </c>
      <c r="F121" s="222">
        <v>274.5</v>
      </c>
      <c r="G121" s="222">
        <v>275.5</v>
      </c>
      <c r="H121" s="274">
        <v>-1</v>
      </c>
      <c r="I121" s="197">
        <v>5000</v>
      </c>
      <c r="J121" s="268">
        <f t="shared" si="8"/>
        <v>-5000</v>
      </c>
      <c r="K121" s="185"/>
      <c r="V121" s="183">
        <f t="shared" si="9"/>
        <v>0</v>
      </c>
      <c r="W121" s="183">
        <f t="shared" si="10"/>
        <v>1</v>
      </c>
    </row>
    <row r="122" spans="1:23" x14ac:dyDescent="0.3">
      <c r="A122" s="184"/>
      <c r="B122" s="194">
        <v>12</v>
      </c>
      <c r="C122" s="195">
        <v>45489</v>
      </c>
      <c r="D122" s="196" t="s">
        <v>23</v>
      </c>
      <c r="E122" s="222" t="s">
        <v>28</v>
      </c>
      <c r="F122" s="222">
        <v>272.60000000000002</v>
      </c>
      <c r="G122" s="222">
        <v>271.60000000000002</v>
      </c>
      <c r="H122" s="274">
        <v>1</v>
      </c>
      <c r="I122" s="197">
        <v>5000</v>
      </c>
      <c r="J122" s="268">
        <f t="shared" si="8"/>
        <v>5000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45491</v>
      </c>
      <c r="D123" s="196" t="s">
        <v>23</v>
      </c>
      <c r="E123" s="222" t="s">
        <v>28</v>
      </c>
      <c r="F123" s="222">
        <v>267.5</v>
      </c>
      <c r="G123" s="222">
        <v>266.5</v>
      </c>
      <c r="H123" s="274">
        <v>1</v>
      </c>
      <c r="I123" s="197">
        <v>5000</v>
      </c>
      <c r="J123" s="268">
        <f t="shared" si="8"/>
        <v>5000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45492</v>
      </c>
      <c r="D124" s="196" t="s">
        <v>23</v>
      </c>
      <c r="E124" s="222" t="s">
        <v>28</v>
      </c>
      <c r="F124" s="222">
        <v>268.3</v>
      </c>
      <c r="G124" s="222">
        <v>266.85000000000002</v>
      </c>
      <c r="H124" s="274">
        <v>1.45</v>
      </c>
      <c r="I124" s="197">
        <v>5000</v>
      </c>
      <c r="J124" s="268">
        <f t="shared" si="8"/>
        <v>7250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45495</v>
      </c>
      <c r="D125" s="196" t="s">
        <v>23</v>
      </c>
      <c r="E125" s="196" t="s">
        <v>28</v>
      </c>
      <c r="F125" s="222">
        <v>260.8</v>
      </c>
      <c r="G125" s="222">
        <v>258.8</v>
      </c>
      <c r="H125" s="222">
        <v>2</v>
      </c>
      <c r="I125" s="197">
        <v>5000</v>
      </c>
      <c r="J125" s="268">
        <f t="shared" si="8"/>
        <v>10000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45496</v>
      </c>
      <c r="D126" s="196" t="s">
        <v>23</v>
      </c>
      <c r="E126" s="196" t="s">
        <v>28</v>
      </c>
      <c r="F126" s="222">
        <v>259</v>
      </c>
      <c r="G126" s="222">
        <v>257</v>
      </c>
      <c r="H126" s="222">
        <v>2</v>
      </c>
      <c r="I126" s="197">
        <v>5000</v>
      </c>
      <c r="J126" s="268">
        <f t="shared" si="8"/>
        <v>10000</v>
      </c>
      <c r="K126" s="185"/>
      <c r="V126" s="183">
        <f t="shared" si="9"/>
        <v>1</v>
      </c>
      <c r="W126" s="183">
        <f t="shared" si="10"/>
        <v>0</v>
      </c>
    </row>
    <row r="127" spans="1:23" x14ac:dyDescent="0.3">
      <c r="A127" s="184"/>
      <c r="B127" s="194">
        <v>17</v>
      </c>
      <c r="C127" s="195">
        <v>45498</v>
      </c>
      <c r="D127" s="196" t="s">
        <v>23</v>
      </c>
      <c r="E127" s="196" t="s">
        <v>28</v>
      </c>
      <c r="F127" s="222">
        <v>250</v>
      </c>
      <c r="G127" s="274">
        <v>248.6</v>
      </c>
      <c r="H127" s="274">
        <f>250-248.6</f>
        <v>1.4000000000000057</v>
      </c>
      <c r="I127" s="197">
        <v>5000</v>
      </c>
      <c r="J127" s="268">
        <f t="shared" si="8"/>
        <v>7000.0000000000282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45499</v>
      </c>
      <c r="D128" s="196" t="s">
        <v>23</v>
      </c>
      <c r="E128" s="196" t="s">
        <v>28</v>
      </c>
      <c r="F128" s="222">
        <v>251</v>
      </c>
      <c r="G128" s="222">
        <v>252</v>
      </c>
      <c r="H128" s="274">
        <v>-1</v>
      </c>
      <c r="I128" s="197">
        <v>5000</v>
      </c>
      <c r="J128" s="268">
        <f t="shared" si="8"/>
        <v>-5000</v>
      </c>
      <c r="K128" s="185"/>
      <c r="V128" s="183">
        <f t="shared" si="9"/>
        <v>0</v>
      </c>
      <c r="W128" s="183">
        <f t="shared" si="10"/>
        <v>1</v>
      </c>
    </row>
    <row r="129" spans="1:23" x14ac:dyDescent="0.3">
      <c r="A129" s="184"/>
      <c r="B129" s="194">
        <v>19</v>
      </c>
      <c r="C129" s="195">
        <v>45502</v>
      </c>
      <c r="D129" s="196" t="s">
        <v>23</v>
      </c>
      <c r="E129" s="196" t="s">
        <v>28</v>
      </c>
      <c r="F129" s="222">
        <v>251.5</v>
      </c>
      <c r="G129" s="222">
        <v>251</v>
      </c>
      <c r="H129" s="274">
        <v>0.5</v>
      </c>
      <c r="I129" s="197">
        <v>5000</v>
      </c>
      <c r="J129" s="268">
        <f t="shared" si="8"/>
        <v>2500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20</v>
      </c>
      <c r="C130" s="195">
        <v>45503</v>
      </c>
      <c r="D130" s="196" t="s">
        <v>23</v>
      </c>
      <c r="E130" s="196" t="s">
        <v>28</v>
      </c>
      <c r="F130" s="222">
        <v>249.2</v>
      </c>
      <c r="G130" s="222">
        <v>248.2</v>
      </c>
      <c r="H130" s="274">
        <v>1</v>
      </c>
      <c r="I130" s="197">
        <v>5000</v>
      </c>
      <c r="J130" s="268">
        <f t="shared" si="8"/>
        <v>5000</v>
      </c>
      <c r="K130" s="185"/>
    </row>
    <row r="131" spans="1:23" x14ac:dyDescent="0.3">
      <c r="A131" s="184"/>
      <c r="B131" s="194">
        <v>21</v>
      </c>
      <c r="C131" s="195">
        <v>45504</v>
      </c>
      <c r="D131" s="196" t="s">
        <v>23</v>
      </c>
      <c r="E131" s="196" t="s">
        <v>28</v>
      </c>
      <c r="F131" s="222">
        <v>253</v>
      </c>
      <c r="G131" s="222">
        <v>252</v>
      </c>
      <c r="H131" s="274">
        <v>1</v>
      </c>
      <c r="I131" s="197">
        <v>5000</v>
      </c>
      <c r="J131" s="268">
        <f t="shared" si="8"/>
        <v>5000</v>
      </c>
      <c r="K131" s="185"/>
    </row>
    <row r="132" spans="1:23" hidden="1" x14ac:dyDescent="0.3">
      <c r="A132" s="184"/>
      <c r="B132" s="194">
        <v>22</v>
      </c>
      <c r="C132" s="195"/>
      <c r="D132" s="196"/>
      <c r="E132" s="196"/>
      <c r="F132" s="222"/>
      <c r="G132" s="222"/>
      <c r="H132" s="274"/>
      <c r="I132" s="197"/>
      <c r="J132" s="268">
        <f t="shared" si="8"/>
        <v>0</v>
      </c>
      <c r="K132" s="185"/>
    </row>
    <row r="133" spans="1:23" hidden="1" x14ac:dyDescent="0.3">
      <c r="A133" s="184"/>
      <c r="B133" s="194">
        <v>23</v>
      </c>
      <c r="C133" s="195"/>
      <c r="D133" s="196"/>
      <c r="E133" s="196"/>
      <c r="F133" s="222"/>
      <c r="G133" s="222"/>
      <c r="H133" s="274"/>
      <c r="I133" s="197"/>
      <c r="J133" s="268">
        <f t="shared" si="8"/>
        <v>0</v>
      </c>
      <c r="K133" s="185"/>
    </row>
    <row r="134" spans="1:23" hidden="1" x14ac:dyDescent="0.3">
      <c r="A134" s="184"/>
      <c r="B134" s="194">
        <v>24</v>
      </c>
      <c r="C134" s="195"/>
      <c r="D134" s="196"/>
      <c r="E134" s="196"/>
      <c r="F134" s="222"/>
      <c r="G134" s="222"/>
      <c r="H134" s="274"/>
      <c r="I134" s="197"/>
      <c r="J134" s="268">
        <f t="shared" si="8"/>
        <v>0</v>
      </c>
      <c r="K134" s="185"/>
    </row>
    <row r="135" spans="1:23" hidden="1" x14ac:dyDescent="0.3">
      <c r="A135" s="184"/>
      <c r="B135" s="194">
        <v>25</v>
      </c>
      <c r="C135" s="195"/>
      <c r="D135" s="196"/>
      <c r="E135" s="196"/>
      <c r="F135" s="222"/>
      <c r="G135" s="222"/>
      <c r="H135" s="274"/>
      <c r="I135" s="197"/>
      <c r="J135" s="268">
        <f t="shared" si="8"/>
        <v>0</v>
      </c>
      <c r="K135" s="185"/>
      <c r="V135" s="183">
        <f t="shared" si="9"/>
        <v>0</v>
      </c>
      <c r="W135" s="183">
        <f t="shared" si="10"/>
        <v>0</v>
      </c>
    </row>
    <row r="136" spans="1:23" hidden="1" x14ac:dyDescent="0.3">
      <c r="A136" s="184"/>
      <c r="B136" s="194">
        <v>21</v>
      </c>
      <c r="C136" s="195"/>
      <c r="D136" s="196"/>
      <c r="E136" s="222"/>
      <c r="F136" s="222"/>
      <c r="G136" s="222"/>
      <c r="H136" s="274"/>
      <c r="I136" s="197"/>
      <c r="J136" s="268">
        <f t="shared" si="8"/>
        <v>0</v>
      </c>
      <c r="K136" s="185"/>
      <c r="V136" s="183">
        <f t="shared" si="9"/>
        <v>0</v>
      </c>
      <c r="W136" s="183">
        <f t="shared" si="10"/>
        <v>0</v>
      </c>
    </row>
    <row r="137" spans="1:23" hidden="1" x14ac:dyDescent="0.3">
      <c r="A137" s="184"/>
      <c r="B137" s="194">
        <v>22</v>
      </c>
      <c r="C137" s="195"/>
      <c r="D137" s="196"/>
      <c r="E137" s="222"/>
      <c r="F137" s="222"/>
      <c r="G137" s="222"/>
      <c r="H137" s="274"/>
      <c r="I137" s="197"/>
      <c r="J137" s="268">
        <f t="shared" si="8"/>
        <v>0</v>
      </c>
      <c r="K137" s="185"/>
      <c r="V137" s="183">
        <f>IF($J137&gt;0,1,0)</f>
        <v>0</v>
      </c>
      <c r="W137" s="183">
        <f>IF($J137&lt;0,1,0)</f>
        <v>0</v>
      </c>
    </row>
    <row r="138" spans="1:23" hidden="1" x14ac:dyDescent="0.3">
      <c r="A138" s="184"/>
      <c r="B138" s="194">
        <v>23</v>
      </c>
      <c r="C138" s="195"/>
      <c r="D138" s="196"/>
      <c r="E138" s="222"/>
      <c r="F138" s="222"/>
      <c r="G138" s="222"/>
      <c r="H138" s="222"/>
      <c r="I138" s="197"/>
      <c r="J138" s="268">
        <f>I138*H138</f>
        <v>0</v>
      </c>
      <c r="K138" s="185"/>
      <c r="V138" s="183">
        <f>IF($J138&gt;0,1,0)</f>
        <v>0</v>
      </c>
      <c r="W138" s="183">
        <f>IF($J138&lt;0,1,0)</f>
        <v>0</v>
      </c>
    </row>
    <row r="139" spans="1:23" ht="15" hidden="1" thickBot="1" x14ac:dyDescent="0.35">
      <c r="A139" s="184"/>
      <c r="B139" s="194">
        <v>26</v>
      </c>
      <c r="C139" s="220"/>
      <c r="D139" s="221"/>
      <c r="E139" s="221"/>
      <c r="F139" s="222"/>
      <c r="G139" s="222"/>
      <c r="H139" s="222"/>
      <c r="I139" s="211"/>
      <c r="J139" s="272">
        <f>I139*H139</f>
        <v>0</v>
      </c>
      <c r="K139" s="185"/>
      <c r="V139" s="183">
        <f>IF($J139&gt;0,1,0)</f>
        <v>0</v>
      </c>
      <c r="W139" s="183">
        <f>IF($J139&lt;0,1,0)</f>
        <v>0</v>
      </c>
    </row>
    <row r="140" spans="1:23" ht="24" thickBot="1" x14ac:dyDescent="0.5">
      <c r="A140" s="184"/>
      <c r="B140" s="316" t="s">
        <v>879</v>
      </c>
      <c r="C140" s="317"/>
      <c r="D140" s="317"/>
      <c r="E140" s="317"/>
      <c r="F140" s="317"/>
      <c r="G140" s="317"/>
      <c r="H140" s="318"/>
      <c r="I140" s="212" t="s">
        <v>880</v>
      </c>
      <c r="J140" s="213">
        <f>SUM(J111:J139)</f>
        <v>68499.999999999854</v>
      </c>
      <c r="K140" s="185"/>
      <c r="V140" s="183">
        <f>SUM(V111:V139)</f>
        <v>15</v>
      </c>
      <c r="W140" s="183">
        <f>SUM(W111:W139)</f>
        <v>4</v>
      </c>
    </row>
    <row r="141" spans="1:23" ht="30" customHeight="1" thickBot="1" x14ac:dyDescent="0.35">
      <c r="A141" s="205"/>
      <c r="B141" s="206"/>
      <c r="C141" s="206"/>
      <c r="D141" s="206"/>
      <c r="E141" s="206"/>
      <c r="F141" s="206"/>
      <c r="G141" s="206"/>
      <c r="H141" s="261"/>
      <c r="I141" s="206"/>
      <c r="J141" s="261"/>
      <c r="K141" s="207"/>
      <c r="L141" s="183" t="s">
        <v>926</v>
      </c>
    </row>
    <row r="142" spans="1:23" ht="15" thickBot="1" x14ac:dyDescent="0.35"/>
    <row r="143" spans="1:23" ht="30" customHeight="1" thickBot="1" x14ac:dyDescent="0.35">
      <c r="A143" s="180"/>
      <c r="B143" s="181"/>
      <c r="C143" s="181"/>
      <c r="D143" s="181"/>
      <c r="E143" s="181"/>
      <c r="F143" s="181"/>
      <c r="G143" s="181"/>
      <c r="H143" s="259"/>
      <c r="I143" s="181"/>
      <c r="J143" s="259"/>
      <c r="K143" s="182"/>
    </row>
    <row r="144" spans="1:23" ht="25.2" thickBot="1" x14ac:dyDescent="0.35">
      <c r="A144" s="184" t="s">
        <v>0</v>
      </c>
      <c r="B144" s="307" t="s">
        <v>873</v>
      </c>
      <c r="C144" s="308"/>
      <c r="D144" s="308"/>
      <c r="E144" s="308"/>
      <c r="F144" s="308"/>
      <c r="G144" s="308"/>
      <c r="H144" s="308"/>
      <c r="I144" s="308"/>
      <c r="J144" s="309"/>
      <c r="K144" s="185"/>
    </row>
    <row r="145" spans="1:23" ht="16.2" thickBot="1" x14ac:dyDescent="0.35">
      <c r="A145" s="184"/>
      <c r="B145" s="310">
        <v>45474</v>
      </c>
      <c r="C145" s="311"/>
      <c r="D145" s="311"/>
      <c r="E145" s="311"/>
      <c r="F145" s="311"/>
      <c r="G145" s="311"/>
      <c r="H145" s="311"/>
      <c r="I145" s="311"/>
      <c r="J145" s="312"/>
      <c r="K145" s="185"/>
    </row>
    <row r="146" spans="1:23" ht="16.2" thickBot="1" x14ac:dyDescent="0.35">
      <c r="A146" s="184"/>
      <c r="B146" s="313" t="s">
        <v>905</v>
      </c>
      <c r="C146" s="314"/>
      <c r="D146" s="314"/>
      <c r="E146" s="314"/>
      <c r="F146" s="314"/>
      <c r="G146" s="314"/>
      <c r="H146" s="314"/>
      <c r="I146" s="314"/>
      <c r="J146" s="315"/>
      <c r="K146" s="185"/>
    </row>
    <row r="147" spans="1:23" ht="15" thickBot="1" x14ac:dyDescent="0.35">
      <c r="A147" s="208"/>
      <c r="B147" s="186" t="s">
        <v>876</v>
      </c>
      <c r="C147" s="187" t="s">
        <v>1</v>
      </c>
      <c r="D147" s="188" t="s">
        <v>2</v>
      </c>
      <c r="E147" s="188" t="s">
        <v>3</v>
      </c>
      <c r="F147" s="189" t="s">
        <v>4</v>
      </c>
      <c r="G147" s="189" t="s">
        <v>5</v>
      </c>
      <c r="H147" s="260" t="s">
        <v>720</v>
      </c>
      <c r="I147" s="189" t="s">
        <v>6</v>
      </c>
      <c r="J147" s="266" t="s">
        <v>7</v>
      </c>
      <c r="K147" s="209"/>
      <c r="L147" s="198"/>
      <c r="V147" s="183" t="s">
        <v>254</v>
      </c>
      <c r="W147" s="183" t="s">
        <v>255</v>
      </c>
    </row>
    <row r="148" spans="1:23" x14ac:dyDescent="0.3">
      <c r="A148" s="184"/>
      <c r="B148" s="214">
        <v>1</v>
      </c>
      <c r="C148" s="215">
        <v>45474</v>
      </c>
      <c r="D148" s="216" t="s">
        <v>16</v>
      </c>
      <c r="E148" s="256" t="s">
        <v>922</v>
      </c>
      <c r="F148" s="256">
        <v>185</v>
      </c>
      <c r="G148" s="256">
        <v>194</v>
      </c>
      <c r="H148" s="256">
        <f>194-185</f>
        <v>9</v>
      </c>
      <c r="I148" s="218">
        <v>100</v>
      </c>
      <c r="J148" s="273">
        <f>I148*H148</f>
        <v>900</v>
      </c>
      <c r="K148" s="185"/>
      <c r="V148" s="183">
        <f>IF($J148&gt;0,1,0)</f>
        <v>1</v>
      </c>
      <c r="W148" s="183">
        <f>IF($J148&lt;0,1,0)</f>
        <v>0</v>
      </c>
    </row>
    <row r="149" spans="1:23" x14ac:dyDescent="0.3">
      <c r="A149" s="184"/>
      <c r="B149" s="194">
        <v>2</v>
      </c>
      <c r="C149" s="195">
        <v>45475</v>
      </c>
      <c r="D149" s="196" t="s">
        <v>16</v>
      </c>
      <c r="E149" s="222" t="s">
        <v>932</v>
      </c>
      <c r="F149" s="222">
        <v>200</v>
      </c>
      <c r="G149" s="222">
        <v>216</v>
      </c>
      <c r="H149" s="222">
        <v>16</v>
      </c>
      <c r="I149" s="218">
        <v>100</v>
      </c>
      <c r="J149" s="268">
        <f t="shared" ref="J149:J168" si="11">I149*H149</f>
        <v>1600</v>
      </c>
      <c r="K149" s="185"/>
      <c r="V149" s="183">
        <f t="shared" ref="V149:V170" si="12">IF($J149&gt;0,1,0)</f>
        <v>1</v>
      </c>
      <c r="W149" s="183">
        <f t="shared" ref="W149:W170" si="13">IF($J149&lt;0,1,0)</f>
        <v>0</v>
      </c>
    </row>
    <row r="150" spans="1:23" x14ac:dyDescent="0.3">
      <c r="A150" s="184"/>
      <c r="B150" s="194">
        <v>3</v>
      </c>
      <c r="C150" s="195">
        <v>45476</v>
      </c>
      <c r="D150" s="196" t="s">
        <v>16</v>
      </c>
      <c r="E150" s="222" t="s">
        <v>932</v>
      </c>
      <c r="F150" s="222">
        <v>230</v>
      </c>
      <c r="G150" s="222">
        <v>240</v>
      </c>
      <c r="H150" s="222">
        <v>10</v>
      </c>
      <c r="I150" s="218">
        <v>100</v>
      </c>
      <c r="J150" s="268">
        <f t="shared" si="11"/>
        <v>1000</v>
      </c>
      <c r="K150" s="185"/>
      <c r="M150" s="183" t="s">
        <v>870</v>
      </c>
      <c r="V150" s="183">
        <f t="shared" si="12"/>
        <v>1</v>
      </c>
      <c r="W150" s="183">
        <f t="shared" si="13"/>
        <v>0</v>
      </c>
    </row>
    <row r="151" spans="1:23" x14ac:dyDescent="0.3">
      <c r="A151" s="184"/>
      <c r="B151" s="194">
        <v>4</v>
      </c>
      <c r="C151" s="195">
        <v>45477</v>
      </c>
      <c r="D151" s="196" t="s">
        <v>16</v>
      </c>
      <c r="E151" s="222" t="s">
        <v>932</v>
      </c>
      <c r="F151" s="222">
        <v>200</v>
      </c>
      <c r="G151" s="222">
        <v>180</v>
      </c>
      <c r="H151" s="222">
        <v>-20</v>
      </c>
      <c r="I151" s="218">
        <v>100</v>
      </c>
      <c r="J151" s="268">
        <f t="shared" si="11"/>
        <v>-2000</v>
      </c>
      <c r="K151" s="185"/>
      <c r="V151" s="183">
        <f t="shared" si="12"/>
        <v>0</v>
      </c>
      <c r="W151" s="183">
        <f t="shared" si="13"/>
        <v>1</v>
      </c>
    </row>
    <row r="152" spans="1:23" x14ac:dyDescent="0.3">
      <c r="A152" s="184"/>
      <c r="B152" s="194">
        <v>5</v>
      </c>
      <c r="C152" s="195">
        <v>45478</v>
      </c>
      <c r="D152" s="196" t="s">
        <v>16</v>
      </c>
      <c r="E152" s="222" t="s">
        <v>932</v>
      </c>
      <c r="F152" s="222">
        <v>160</v>
      </c>
      <c r="G152" s="222">
        <v>170</v>
      </c>
      <c r="H152" s="222">
        <v>10</v>
      </c>
      <c r="I152" s="218">
        <v>100</v>
      </c>
      <c r="J152" s="268">
        <f t="shared" si="11"/>
        <v>1000</v>
      </c>
      <c r="K152" s="185"/>
      <c r="V152" s="183">
        <f t="shared" si="12"/>
        <v>1</v>
      </c>
      <c r="W152" s="183">
        <f t="shared" si="13"/>
        <v>0</v>
      </c>
    </row>
    <row r="153" spans="1:23" x14ac:dyDescent="0.3">
      <c r="A153" s="184"/>
      <c r="B153" s="194">
        <v>6</v>
      </c>
      <c r="C153" s="195">
        <v>45481</v>
      </c>
      <c r="D153" s="196" t="s">
        <v>16</v>
      </c>
      <c r="E153" s="222" t="s">
        <v>931</v>
      </c>
      <c r="F153" s="222">
        <v>165</v>
      </c>
      <c r="G153" s="222">
        <v>180</v>
      </c>
      <c r="H153" s="222">
        <f>180-165</f>
        <v>15</v>
      </c>
      <c r="I153" s="218">
        <v>100</v>
      </c>
      <c r="J153" s="268">
        <f t="shared" si="11"/>
        <v>1500</v>
      </c>
      <c r="K153" s="185"/>
      <c r="V153" s="183">
        <f t="shared" si="12"/>
        <v>1</v>
      </c>
      <c r="W153" s="183">
        <f t="shared" si="13"/>
        <v>0</v>
      </c>
    </row>
    <row r="154" spans="1:23" x14ac:dyDescent="0.3">
      <c r="A154" s="184"/>
      <c r="B154" s="194">
        <v>7</v>
      </c>
      <c r="C154" s="195">
        <v>45482</v>
      </c>
      <c r="D154" s="196" t="s">
        <v>16</v>
      </c>
      <c r="E154" s="222" t="s">
        <v>931</v>
      </c>
      <c r="F154" s="222">
        <v>190</v>
      </c>
      <c r="G154" s="222">
        <v>200</v>
      </c>
      <c r="H154" s="274">
        <v>10</v>
      </c>
      <c r="I154" s="218">
        <v>100</v>
      </c>
      <c r="J154" s="268">
        <f t="shared" si="11"/>
        <v>1000</v>
      </c>
      <c r="K154" s="185"/>
      <c r="M154" s="183" t="s">
        <v>942</v>
      </c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8</v>
      </c>
      <c r="C155" s="195">
        <v>45483</v>
      </c>
      <c r="D155" s="196" t="s">
        <v>16</v>
      </c>
      <c r="E155" s="222" t="s">
        <v>931</v>
      </c>
      <c r="F155" s="222">
        <v>200</v>
      </c>
      <c r="G155" s="222">
        <v>229</v>
      </c>
      <c r="H155" s="222">
        <v>29</v>
      </c>
      <c r="I155" s="218">
        <v>100</v>
      </c>
      <c r="J155" s="268">
        <f t="shared" si="11"/>
        <v>2900</v>
      </c>
      <c r="K155" s="185"/>
      <c r="V155" s="183">
        <f t="shared" si="12"/>
        <v>1</v>
      </c>
      <c r="W155" s="183">
        <f t="shared" si="13"/>
        <v>0</v>
      </c>
    </row>
    <row r="156" spans="1:23" x14ac:dyDescent="0.3">
      <c r="A156" s="184"/>
      <c r="B156" s="194">
        <v>9</v>
      </c>
      <c r="C156" s="195">
        <v>45484</v>
      </c>
      <c r="D156" s="196" t="s">
        <v>16</v>
      </c>
      <c r="E156" s="222" t="s">
        <v>932</v>
      </c>
      <c r="F156" s="222">
        <v>220</v>
      </c>
      <c r="G156" s="222">
        <v>250</v>
      </c>
      <c r="H156" s="222">
        <v>30</v>
      </c>
      <c r="I156" s="218">
        <v>100</v>
      </c>
      <c r="J156" s="268">
        <f t="shared" si="11"/>
        <v>3000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10</v>
      </c>
      <c r="C157" s="195">
        <v>45485</v>
      </c>
      <c r="D157" s="196" t="s">
        <v>16</v>
      </c>
      <c r="E157" s="222" t="s">
        <v>933</v>
      </c>
      <c r="F157" s="222">
        <v>235</v>
      </c>
      <c r="G157" s="222">
        <v>275</v>
      </c>
      <c r="H157" s="222">
        <f>275-235</f>
        <v>40</v>
      </c>
      <c r="I157" s="218">
        <v>100</v>
      </c>
      <c r="J157" s="268">
        <f t="shared" si="11"/>
        <v>4000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11</v>
      </c>
      <c r="C158" s="195">
        <v>45488</v>
      </c>
      <c r="D158" s="196" t="s">
        <v>16</v>
      </c>
      <c r="E158" s="222" t="s">
        <v>932</v>
      </c>
      <c r="F158" s="222">
        <v>215</v>
      </c>
      <c r="G158" s="222">
        <v>255</v>
      </c>
      <c r="H158" s="274">
        <f>255-215</f>
        <v>40</v>
      </c>
      <c r="I158" s="218">
        <v>100</v>
      </c>
      <c r="J158" s="268">
        <f t="shared" si="11"/>
        <v>4000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12</v>
      </c>
      <c r="C159" s="195">
        <v>45489</v>
      </c>
      <c r="D159" s="196" t="s">
        <v>16</v>
      </c>
      <c r="E159" s="222" t="s">
        <v>931</v>
      </c>
      <c r="F159" s="222">
        <v>215</v>
      </c>
      <c r="G159" s="222">
        <v>255</v>
      </c>
      <c r="H159" s="274">
        <v>40</v>
      </c>
      <c r="I159" s="218">
        <v>100</v>
      </c>
      <c r="J159" s="268">
        <f t="shared" si="11"/>
        <v>4000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13</v>
      </c>
      <c r="C160" s="195">
        <v>45491</v>
      </c>
      <c r="D160" s="196" t="s">
        <v>16</v>
      </c>
      <c r="E160" s="222" t="s">
        <v>922</v>
      </c>
      <c r="F160" s="222">
        <v>200</v>
      </c>
      <c r="G160" s="222">
        <v>240</v>
      </c>
      <c r="H160" s="274">
        <v>40</v>
      </c>
      <c r="I160" s="218">
        <v>100</v>
      </c>
      <c r="J160" s="268">
        <f t="shared" si="11"/>
        <v>4000</v>
      </c>
      <c r="K160" s="185"/>
      <c r="V160" s="183">
        <f t="shared" si="12"/>
        <v>1</v>
      </c>
      <c r="W160" s="183">
        <f t="shared" si="13"/>
        <v>0</v>
      </c>
    </row>
    <row r="161" spans="1:23" x14ac:dyDescent="0.3">
      <c r="A161" s="184"/>
      <c r="B161" s="194">
        <v>14</v>
      </c>
      <c r="C161" s="195">
        <v>45492</v>
      </c>
      <c r="D161" s="196" t="s">
        <v>16</v>
      </c>
      <c r="E161" s="222" t="s">
        <v>922</v>
      </c>
      <c r="F161" s="222">
        <v>235</v>
      </c>
      <c r="G161" s="222">
        <v>275</v>
      </c>
      <c r="H161" s="274">
        <f>275-235</f>
        <v>40</v>
      </c>
      <c r="I161" s="218">
        <v>100</v>
      </c>
      <c r="J161" s="268">
        <f t="shared" si="11"/>
        <v>4000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15</v>
      </c>
      <c r="C162" s="195">
        <v>45495</v>
      </c>
      <c r="D162" s="196" t="s">
        <v>16</v>
      </c>
      <c r="E162" s="196" t="s">
        <v>912</v>
      </c>
      <c r="F162" s="222">
        <v>180</v>
      </c>
      <c r="G162" s="222">
        <v>200</v>
      </c>
      <c r="H162" s="222">
        <v>20</v>
      </c>
      <c r="I162" s="218">
        <v>100</v>
      </c>
      <c r="J162" s="268">
        <f t="shared" si="11"/>
        <v>2000</v>
      </c>
      <c r="K162" s="185"/>
      <c r="V162" s="183">
        <f t="shared" si="12"/>
        <v>1</v>
      </c>
      <c r="W162" s="183">
        <f t="shared" si="13"/>
        <v>0</v>
      </c>
    </row>
    <row r="163" spans="1:23" x14ac:dyDescent="0.3">
      <c r="A163" s="184"/>
      <c r="B163" s="194">
        <v>16</v>
      </c>
      <c r="C163" s="195">
        <v>45496</v>
      </c>
      <c r="D163" s="196" t="s">
        <v>16</v>
      </c>
      <c r="E163" s="196" t="s">
        <v>912</v>
      </c>
      <c r="F163" s="222">
        <v>180</v>
      </c>
      <c r="G163" s="274">
        <v>209</v>
      </c>
      <c r="H163" s="274">
        <f>209-180</f>
        <v>29</v>
      </c>
      <c r="I163" s="218">
        <v>100</v>
      </c>
      <c r="J163" s="268">
        <f t="shared" si="11"/>
        <v>2900</v>
      </c>
      <c r="K163" s="185"/>
      <c r="V163" s="183">
        <f t="shared" si="12"/>
        <v>1</v>
      </c>
      <c r="W163" s="183">
        <f t="shared" si="13"/>
        <v>0</v>
      </c>
    </row>
    <row r="164" spans="1:23" x14ac:dyDescent="0.3">
      <c r="A164" s="184"/>
      <c r="B164" s="194">
        <v>17</v>
      </c>
      <c r="C164" s="195">
        <v>45498</v>
      </c>
      <c r="D164" s="196" t="s">
        <v>16</v>
      </c>
      <c r="E164" s="196" t="s">
        <v>912</v>
      </c>
      <c r="F164" s="222">
        <v>230</v>
      </c>
      <c r="G164" s="222">
        <v>270</v>
      </c>
      <c r="H164" s="263">
        <v>40</v>
      </c>
      <c r="I164" s="218">
        <v>100</v>
      </c>
      <c r="J164" s="268">
        <f t="shared" si="11"/>
        <v>4000</v>
      </c>
      <c r="K164" s="185"/>
      <c r="V164" s="183">
        <f t="shared" si="12"/>
        <v>1</v>
      </c>
      <c r="W164" s="183">
        <f t="shared" si="13"/>
        <v>0</v>
      </c>
    </row>
    <row r="165" spans="1:23" x14ac:dyDescent="0.3">
      <c r="A165" s="184"/>
      <c r="B165" s="194">
        <v>18</v>
      </c>
      <c r="C165" s="195">
        <v>45499</v>
      </c>
      <c r="D165" s="196" t="s">
        <v>16</v>
      </c>
      <c r="E165" s="196" t="s">
        <v>912</v>
      </c>
      <c r="F165" s="222">
        <v>175</v>
      </c>
      <c r="G165" s="222">
        <v>195</v>
      </c>
      <c r="H165" s="274">
        <v>20</v>
      </c>
      <c r="I165" s="218">
        <v>100</v>
      </c>
      <c r="J165" s="268">
        <f t="shared" si="11"/>
        <v>2000</v>
      </c>
      <c r="K165" s="185"/>
      <c r="V165" s="183">
        <f t="shared" si="12"/>
        <v>1</v>
      </c>
      <c r="W165" s="183">
        <f t="shared" si="13"/>
        <v>0</v>
      </c>
    </row>
    <row r="166" spans="1:23" x14ac:dyDescent="0.3">
      <c r="A166" s="184"/>
      <c r="B166" s="194">
        <v>19</v>
      </c>
      <c r="C166" s="195">
        <v>45502</v>
      </c>
      <c r="D166" s="196" t="s">
        <v>16</v>
      </c>
      <c r="E166" s="196" t="s">
        <v>912</v>
      </c>
      <c r="F166" s="222">
        <v>230</v>
      </c>
      <c r="G166" s="222">
        <v>260</v>
      </c>
      <c r="H166" s="274">
        <v>30</v>
      </c>
      <c r="I166" s="218">
        <v>100</v>
      </c>
      <c r="J166" s="268">
        <f t="shared" si="11"/>
        <v>3000</v>
      </c>
      <c r="K166" s="185"/>
      <c r="V166" s="183">
        <f t="shared" si="12"/>
        <v>1</v>
      </c>
      <c r="W166" s="183">
        <f t="shared" si="13"/>
        <v>0</v>
      </c>
    </row>
    <row r="167" spans="1:23" x14ac:dyDescent="0.3">
      <c r="A167" s="184"/>
      <c r="B167" s="194">
        <v>20</v>
      </c>
      <c r="C167" s="195">
        <v>45503</v>
      </c>
      <c r="D167" s="196" t="s">
        <v>16</v>
      </c>
      <c r="E167" s="222" t="s">
        <v>910</v>
      </c>
      <c r="F167" s="222">
        <v>185</v>
      </c>
      <c r="G167" s="222">
        <v>205</v>
      </c>
      <c r="H167" s="274">
        <f>205-185</f>
        <v>20</v>
      </c>
      <c r="I167" s="218">
        <v>100</v>
      </c>
      <c r="J167" s="268">
        <f t="shared" si="11"/>
        <v>2000</v>
      </c>
      <c r="K167" s="185"/>
      <c r="V167" s="183">
        <f t="shared" si="12"/>
        <v>1</v>
      </c>
      <c r="W167" s="183">
        <f t="shared" si="13"/>
        <v>0</v>
      </c>
    </row>
    <row r="168" spans="1:23" hidden="1" x14ac:dyDescent="0.3">
      <c r="A168" s="184"/>
      <c r="B168" s="194">
        <v>21</v>
      </c>
      <c r="C168" s="195"/>
      <c r="D168" s="196"/>
      <c r="E168" s="222"/>
      <c r="F168" s="222"/>
      <c r="G168" s="222"/>
      <c r="H168" s="274"/>
      <c r="I168" s="218"/>
      <c r="J168" s="268">
        <f t="shared" si="11"/>
        <v>0</v>
      </c>
      <c r="K168" s="185"/>
      <c r="V168" s="183">
        <f t="shared" si="12"/>
        <v>0</v>
      </c>
      <c r="W168" s="183">
        <f t="shared" si="13"/>
        <v>0</v>
      </c>
    </row>
    <row r="169" spans="1:23" hidden="1" x14ac:dyDescent="0.3">
      <c r="A169" s="184"/>
      <c r="B169" s="194">
        <v>22</v>
      </c>
      <c r="C169" s="195"/>
      <c r="D169" s="196"/>
      <c r="E169" s="222"/>
      <c r="F169" s="222"/>
      <c r="G169" s="222"/>
      <c r="H169" s="222"/>
      <c r="I169" s="218"/>
      <c r="J169" s="268">
        <f>I169*H169</f>
        <v>0</v>
      </c>
      <c r="K169" s="185"/>
      <c r="V169" s="183">
        <f t="shared" si="12"/>
        <v>0</v>
      </c>
      <c r="W169" s="183">
        <f t="shared" si="13"/>
        <v>0</v>
      </c>
    </row>
    <row r="170" spans="1:23" ht="15" thickBot="1" x14ac:dyDescent="0.35">
      <c r="A170" s="184"/>
      <c r="B170" s="199">
        <v>23</v>
      </c>
      <c r="C170" s="200">
        <v>45504</v>
      </c>
      <c r="D170" s="201" t="s">
        <v>16</v>
      </c>
      <c r="E170" s="201" t="s">
        <v>913</v>
      </c>
      <c r="F170" s="284">
        <v>185</v>
      </c>
      <c r="G170" s="284">
        <v>200</v>
      </c>
      <c r="H170" s="284">
        <f>200-185</f>
        <v>15</v>
      </c>
      <c r="I170" s="285">
        <v>100</v>
      </c>
      <c r="J170" s="269">
        <f>I170*H170</f>
        <v>1500</v>
      </c>
      <c r="K170" s="185"/>
      <c r="V170" s="183">
        <f t="shared" si="12"/>
        <v>1</v>
      </c>
      <c r="W170" s="183">
        <f t="shared" si="13"/>
        <v>0</v>
      </c>
    </row>
    <row r="171" spans="1:23" ht="24" thickBot="1" x14ac:dyDescent="0.5">
      <c r="A171" s="184"/>
      <c r="B171" s="304" t="s">
        <v>879</v>
      </c>
      <c r="C171" s="305"/>
      <c r="D171" s="305"/>
      <c r="E171" s="305"/>
      <c r="F171" s="305"/>
      <c r="G171" s="305"/>
      <c r="H171" s="306"/>
      <c r="I171" s="203" t="s">
        <v>880</v>
      </c>
      <c r="J171" s="204">
        <f>SUM(J148:J170)</f>
        <v>48300</v>
      </c>
      <c r="K171" s="185"/>
      <c r="V171" s="183">
        <f>SUM(V148:V170)</f>
        <v>20</v>
      </c>
      <c r="W171" s="183">
        <f>SUM(W148:W170)</f>
        <v>1</v>
      </c>
    </row>
    <row r="172" spans="1:23" ht="30" customHeight="1" thickBot="1" x14ac:dyDescent="0.35">
      <c r="A172" s="205"/>
      <c r="B172" s="286"/>
      <c r="C172" s="286"/>
      <c r="D172" s="286"/>
      <c r="E172" s="286"/>
      <c r="F172" s="286"/>
      <c r="G172" s="286"/>
      <c r="H172" s="287"/>
      <c r="I172" s="286"/>
      <c r="J172" s="287"/>
      <c r="K172" s="207"/>
    </row>
  </sheetData>
  <mergeCells count="54">
    <mergeCell ref="M10:M11"/>
    <mergeCell ref="B145:J145"/>
    <mergeCell ref="B146:J146"/>
    <mergeCell ref="B171:H171"/>
    <mergeCell ref="B103:H103"/>
    <mergeCell ref="B107:J107"/>
    <mergeCell ref="B108:J108"/>
    <mergeCell ref="B109:J109"/>
    <mergeCell ref="B140:H140"/>
    <mergeCell ref="B144:J144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AFDA17E3-A38A-4997-96C6-4A9F233E6996}"/>
    <hyperlink ref="B103" r:id="rId2" xr:uid="{2A0862F1-31FB-4C23-8482-E2007F142A5F}"/>
    <hyperlink ref="M4:M5" location="'JULY 2024'!A1" display="BULLION" xr:uid="{6F87A959-7B3F-4304-91C1-1D945CB59899}"/>
    <hyperlink ref="B140" r:id="rId3" xr:uid="{D278829D-E2FC-47A5-B66C-8D34AE332F3E}"/>
    <hyperlink ref="M8:M9" location="'JULY 2024'!A86" display="BASE METAL" xr:uid="{01226DB3-5FB3-4448-BFB7-33CEF6274C6A}"/>
    <hyperlink ref="M1" location="MASTER!A1" display="Back" xr:uid="{8D481B35-AC11-4B19-A44C-22953C382EF3}"/>
    <hyperlink ref="M6:M7" location="'JULY 2024'!A55" display="ENERGY" xr:uid="{C369F172-15D8-4C96-AF61-C95EA8B9525B}"/>
    <hyperlink ref="B171" r:id="rId4" xr:uid="{44AC83AD-BD9B-4149-B777-7F098BBC6552}"/>
    <hyperlink ref="M10:M11" location="'JULY 2024'!A117" display="CRUDEOIL OPTION" xr:uid="{C9E232FD-4B5B-4B36-AF64-46436A882DDE}"/>
  </hyperlinks>
  <pageMargins left="0" right="0" top="0" bottom="0" header="0" footer="0"/>
  <pageSetup paperSize="9" orientation="portrait" r:id="rId5"/>
  <drawing r:id="rId6"/>
  <legacyDrawing r:id="rId7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C06D7-28D3-4647-9E7B-861EE4F450A9}">
  <dimension ref="A1:X172"/>
  <sheetViews>
    <sheetView zoomScaleNormal="100" workbookViewId="0">
      <selection activeCell="P6" sqref="P6:P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45505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40</v>
      </c>
      <c r="O4" s="369">
        <f>V52</f>
        <v>33</v>
      </c>
      <c r="P4" s="369">
        <f>W52</f>
        <v>7</v>
      </c>
      <c r="Q4" s="349">
        <f>N4-O4-P4</f>
        <v>0</v>
      </c>
      <c r="R4" s="343">
        <f>O4/N4</f>
        <v>0.82499999999999996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45505</v>
      </c>
      <c r="D6" s="192" t="s">
        <v>23</v>
      </c>
      <c r="E6" s="192" t="s">
        <v>24</v>
      </c>
      <c r="F6" s="193">
        <v>69850</v>
      </c>
      <c r="G6" s="193">
        <v>69725</v>
      </c>
      <c r="H6" s="192">
        <v>125</v>
      </c>
      <c r="I6" s="193">
        <v>100</v>
      </c>
      <c r="J6" s="267">
        <f>H6*I6</f>
        <v>12500</v>
      </c>
      <c r="K6" s="185"/>
      <c r="M6" s="364" t="s">
        <v>258</v>
      </c>
      <c r="N6" s="347">
        <f>COUNT(C60:C102)</f>
        <v>40</v>
      </c>
      <c r="O6" s="348">
        <f>V103</f>
        <v>35</v>
      </c>
      <c r="P6" s="348">
        <f>W103</f>
        <v>5</v>
      </c>
      <c r="Q6" s="349">
        <v>0</v>
      </c>
      <c r="R6" s="345">
        <f t="shared" ref="R6" si="0">O6/N6</f>
        <v>0.875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45505</v>
      </c>
      <c r="D7" s="196" t="s">
        <v>23</v>
      </c>
      <c r="E7" s="196" t="s">
        <v>22</v>
      </c>
      <c r="F7" s="197">
        <v>83800</v>
      </c>
      <c r="G7" s="197">
        <v>84100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45506</v>
      </c>
      <c r="D8" s="196" t="s">
        <v>23</v>
      </c>
      <c r="E8" s="196" t="s">
        <v>24</v>
      </c>
      <c r="F8" s="197">
        <v>70600</v>
      </c>
      <c r="G8" s="197">
        <v>70520</v>
      </c>
      <c r="H8" s="196">
        <f>70600-70520</f>
        <v>80</v>
      </c>
      <c r="I8" s="197">
        <v>100</v>
      </c>
      <c r="J8" s="268">
        <f t="shared" si="1"/>
        <v>8000</v>
      </c>
      <c r="K8" s="185"/>
      <c r="M8" s="362" t="s">
        <v>877</v>
      </c>
      <c r="N8" s="347">
        <v>40</v>
      </c>
      <c r="O8" s="348">
        <v>35</v>
      </c>
      <c r="P8" s="348">
        <v>5</v>
      </c>
      <c r="Q8" s="349">
        <v>0</v>
      </c>
      <c r="R8" s="345">
        <f t="shared" ref="R8" si="4">O8/N8</f>
        <v>0.875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45506</v>
      </c>
      <c r="D9" s="196" t="s">
        <v>23</v>
      </c>
      <c r="E9" s="196" t="s">
        <v>22</v>
      </c>
      <c r="F9" s="197">
        <v>84000</v>
      </c>
      <c r="G9" s="197">
        <v>83850</v>
      </c>
      <c r="H9" s="196">
        <f>84000-83850</f>
        <v>150</v>
      </c>
      <c r="I9" s="197">
        <v>30</v>
      </c>
      <c r="J9" s="268">
        <f t="shared" si="1"/>
        <v>4500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45509</v>
      </c>
      <c r="D10" s="196" t="s">
        <v>23</v>
      </c>
      <c r="E10" s="196" t="s">
        <v>24</v>
      </c>
      <c r="F10" s="197">
        <v>69720</v>
      </c>
      <c r="G10" s="197">
        <v>69520</v>
      </c>
      <c r="H10" s="196">
        <v>200</v>
      </c>
      <c r="I10" s="197">
        <v>100</v>
      </c>
      <c r="J10" s="268">
        <f t="shared" si="1"/>
        <v>20000</v>
      </c>
      <c r="K10" s="185"/>
      <c r="M10" s="364" t="s">
        <v>906</v>
      </c>
      <c r="N10" s="347">
        <f>COUNT(C148:C170)</f>
        <v>20</v>
      </c>
      <c r="O10" s="348">
        <f>V171</f>
        <v>16</v>
      </c>
      <c r="P10" s="348">
        <f>W171</f>
        <v>4</v>
      </c>
      <c r="Q10" s="349">
        <f>N10-O10-P10</f>
        <v>0</v>
      </c>
      <c r="R10" s="345">
        <f>O10/N10</f>
        <v>0.8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45509</v>
      </c>
      <c r="D11" s="196" t="s">
        <v>23</v>
      </c>
      <c r="E11" s="196" t="s">
        <v>22</v>
      </c>
      <c r="F11" s="197">
        <v>81000</v>
      </c>
      <c r="G11" s="197">
        <v>80400</v>
      </c>
      <c r="H11" s="196">
        <f>81000-80400</f>
        <v>600</v>
      </c>
      <c r="I11" s="197">
        <v>30</v>
      </c>
      <c r="J11" s="268">
        <f t="shared" si="1"/>
        <v>18000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45510</v>
      </c>
      <c r="D12" s="196" t="s">
        <v>23</v>
      </c>
      <c r="E12" s="196" t="s">
        <v>24</v>
      </c>
      <c r="F12" s="197">
        <v>69400</v>
      </c>
      <c r="G12" s="197">
        <v>69200</v>
      </c>
      <c r="H12" s="196">
        <v>200</v>
      </c>
      <c r="I12" s="197">
        <v>100</v>
      </c>
      <c r="J12" s="268">
        <f t="shared" si="1"/>
        <v>20000</v>
      </c>
      <c r="K12" s="185"/>
      <c r="M12" s="319" t="s">
        <v>300</v>
      </c>
      <c r="N12" s="371">
        <f>SUM(N4:N11)</f>
        <v>140</v>
      </c>
      <c r="O12" s="371">
        <f>SUM(O4:O11)</f>
        <v>119</v>
      </c>
      <c r="P12" s="371">
        <f>SUM(P4:P11)</f>
        <v>21</v>
      </c>
      <c r="Q12" s="371">
        <f>SUM(Q4:Q11)</f>
        <v>0</v>
      </c>
      <c r="R12" s="343">
        <f>O12/N12</f>
        <v>0.85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45510</v>
      </c>
      <c r="D13" s="196" t="s">
        <v>23</v>
      </c>
      <c r="E13" s="196" t="s">
        <v>22</v>
      </c>
      <c r="F13" s="197">
        <v>79100</v>
      </c>
      <c r="G13" s="197">
        <v>78617</v>
      </c>
      <c r="H13" s="196">
        <f>79100-78617</f>
        <v>483</v>
      </c>
      <c r="I13" s="197">
        <v>30</v>
      </c>
      <c r="J13" s="268">
        <f t="shared" si="1"/>
        <v>14490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45511</v>
      </c>
      <c r="D14" s="196" t="s">
        <v>23</v>
      </c>
      <c r="E14" s="196" t="s">
        <v>24</v>
      </c>
      <c r="F14" s="197">
        <v>68980</v>
      </c>
      <c r="G14" s="197">
        <v>68901</v>
      </c>
      <c r="H14" s="196">
        <f>68980-68901</f>
        <v>79</v>
      </c>
      <c r="I14" s="197">
        <v>100</v>
      </c>
      <c r="J14" s="268">
        <f t="shared" si="1"/>
        <v>7900</v>
      </c>
      <c r="K14" s="185"/>
      <c r="M14" s="323" t="s">
        <v>878</v>
      </c>
      <c r="N14" s="324"/>
      <c r="O14" s="325"/>
      <c r="P14" s="332">
        <f>R12</f>
        <v>0.85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45511</v>
      </c>
      <c r="D15" s="196" t="s">
        <v>23</v>
      </c>
      <c r="E15" s="196" t="s">
        <v>22</v>
      </c>
      <c r="F15" s="197">
        <v>79100</v>
      </c>
      <c r="G15" s="197">
        <v>78940</v>
      </c>
      <c r="H15" s="196">
        <f>79100-78940</f>
        <v>160</v>
      </c>
      <c r="I15" s="197">
        <v>30</v>
      </c>
      <c r="J15" s="268">
        <f t="shared" si="1"/>
        <v>4800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45512</v>
      </c>
      <c r="D16" s="196" t="s">
        <v>23</v>
      </c>
      <c r="E16" s="196" t="s">
        <v>24</v>
      </c>
      <c r="F16" s="197">
        <v>69000</v>
      </c>
      <c r="G16" s="197">
        <v>68940</v>
      </c>
      <c r="H16" s="196">
        <v>60</v>
      </c>
      <c r="I16" s="197">
        <v>100</v>
      </c>
      <c r="J16" s="268">
        <f t="shared" si="1"/>
        <v>6000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45512</v>
      </c>
      <c r="D17" s="196" t="s">
        <v>23</v>
      </c>
      <c r="E17" s="196" t="s">
        <v>22</v>
      </c>
      <c r="F17" s="197">
        <v>78950</v>
      </c>
      <c r="G17" s="197">
        <v>78750</v>
      </c>
      <c r="H17" s="196">
        <v>200</v>
      </c>
      <c r="I17" s="197">
        <v>30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45513</v>
      </c>
      <c r="D18" s="196" t="s">
        <v>23</v>
      </c>
      <c r="E18" s="196" t="s">
        <v>24</v>
      </c>
      <c r="F18" s="197">
        <v>69720</v>
      </c>
      <c r="G18" s="197">
        <v>69820</v>
      </c>
      <c r="H18" s="196">
        <v>-100</v>
      </c>
      <c r="I18" s="197">
        <v>100</v>
      </c>
      <c r="J18" s="268">
        <f t="shared" si="1"/>
        <v>-10000</v>
      </c>
      <c r="K18" s="185"/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45513</v>
      </c>
      <c r="D19" s="196" t="s">
        <v>23</v>
      </c>
      <c r="E19" s="196" t="s">
        <v>22</v>
      </c>
      <c r="F19" s="197">
        <v>80550</v>
      </c>
      <c r="G19" s="197">
        <v>80850</v>
      </c>
      <c r="H19" s="196">
        <v>-300</v>
      </c>
      <c r="I19" s="197">
        <v>30</v>
      </c>
      <c r="J19" s="268">
        <f t="shared" si="1"/>
        <v>-9000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45516</v>
      </c>
      <c r="D20" s="196" t="s">
        <v>23</v>
      </c>
      <c r="E20" s="196" t="s">
        <v>24</v>
      </c>
      <c r="F20" s="197">
        <v>70150</v>
      </c>
      <c r="G20" s="197">
        <v>70250</v>
      </c>
      <c r="H20" s="196">
        <v>-100</v>
      </c>
      <c r="I20" s="197">
        <v>100</v>
      </c>
      <c r="J20" s="268">
        <f t="shared" si="1"/>
        <v>-10000</v>
      </c>
      <c r="K20" s="185"/>
      <c r="M20" s="183" t="s">
        <v>870</v>
      </c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45516</v>
      </c>
      <c r="D21" s="196" t="s">
        <v>23</v>
      </c>
      <c r="E21" s="196" t="s">
        <v>22</v>
      </c>
      <c r="F21" s="197">
        <v>81500</v>
      </c>
      <c r="G21" s="197">
        <v>81200</v>
      </c>
      <c r="H21" s="196">
        <v>300</v>
      </c>
      <c r="I21" s="197">
        <v>30</v>
      </c>
      <c r="J21" s="268">
        <f t="shared" si="1"/>
        <v>9000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45517</v>
      </c>
      <c r="D22" s="196" t="s">
        <v>23</v>
      </c>
      <c r="E22" s="196" t="s">
        <v>24</v>
      </c>
      <c r="F22" s="197">
        <v>70600</v>
      </c>
      <c r="G22" s="197">
        <v>70540</v>
      </c>
      <c r="H22" s="196">
        <f>70600-70540</f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45517</v>
      </c>
      <c r="D23" s="196" t="s">
        <v>23</v>
      </c>
      <c r="E23" s="196" t="s">
        <v>22</v>
      </c>
      <c r="F23" s="197">
        <v>81200</v>
      </c>
      <c r="G23" s="197">
        <v>80900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45518</v>
      </c>
      <c r="D24" s="196" t="s">
        <v>23</v>
      </c>
      <c r="E24" s="196" t="s">
        <v>24</v>
      </c>
      <c r="F24" s="197">
        <v>70950</v>
      </c>
      <c r="G24" s="197">
        <v>70850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45518</v>
      </c>
      <c r="D25" s="196" t="s">
        <v>23</v>
      </c>
      <c r="E25" s="196" t="s">
        <v>22</v>
      </c>
      <c r="F25" s="197">
        <v>81550</v>
      </c>
      <c r="G25" s="197">
        <v>81250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45520</v>
      </c>
      <c r="D26" s="196" t="s">
        <v>23</v>
      </c>
      <c r="E26" s="196" t="s">
        <v>24</v>
      </c>
      <c r="F26" s="197">
        <v>70600</v>
      </c>
      <c r="G26" s="197">
        <v>70515</v>
      </c>
      <c r="H26" s="196">
        <f>70600-70515</f>
        <v>85</v>
      </c>
      <c r="I26" s="197">
        <v>100</v>
      </c>
      <c r="J26" s="268">
        <f t="shared" si="1"/>
        <v>8500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45520</v>
      </c>
      <c r="D27" s="196" t="s">
        <v>23</v>
      </c>
      <c r="E27" s="196" t="s">
        <v>22</v>
      </c>
      <c r="F27" s="197">
        <v>82200</v>
      </c>
      <c r="G27" s="197">
        <v>81800</v>
      </c>
      <c r="H27" s="196">
        <f>82200-81800</f>
        <v>400</v>
      </c>
      <c r="I27" s="197">
        <v>30</v>
      </c>
      <c r="J27" s="268">
        <f t="shared" si="1"/>
        <v>12000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45523</v>
      </c>
      <c r="D28" s="196" t="s">
        <v>23</v>
      </c>
      <c r="E28" s="196" t="s">
        <v>24</v>
      </c>
      <c r="F28" s="197">
        <v>71650</v>
      </c>
      <c r="G28" s="197">
        <v>71450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45523</v>
      </c>
      <c r="D29" s="196" t="s">
        <v>23</v>
      </c>
      <c r="E29" s="196" t="s">
        <v>22</v>
      </c>
      <c r="F29" s="197">
        <v>84200</v>
      </c>
      <c r="G29" s="197">
        <v>83600</v>
      </c>
      <c r="H29" s="196">
        <v>600</v>
      </c>
      <c r="I29" s="197">
        <v>30</v>
      </c>
      <c r="J29" s="268">
        <f t="shared" si="1"/>
        <v>18000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45524</v>
      </c>
      <c r="D30" s="196" t="s">
        <v>23</v>
      </c>
      <c r="E30" s="196" t="s">
        <v>24</v>
      </c>
      <c r="F30" s="197">
        <v>71900</v>
      </c>
      <c r="G30" s="197">
        <v>72000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45524</v>
      </c>
      <c r="D31" s="196" t="s">
        <v>23</v>
      </c>
      <c r="E31" s="196" t="s">
        <v>22</v>
      </c>
      <c r="F31" s="197">
        <v>85200</v>
      </c>
      <c r="G31" s="197">
        <v>84950</v>
      </c>
      <c r="H31" s="196">
        <f>85200-84950</f>
        <v>250</v>
      </c>
      <c r="I31" s="197">
        <v>30</v>
      </c>
      <c r="J31" s="268">
        <f t="shared" si="1"/>
        <v>7500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45525</v>
      </c>
      <c r="D32" s="196" t="s">
        <v>23</v>
      </c>
      <c r="E32" s="196" t="s">
        <v>24</v>
      </c>
      <c r="F32" s="197">
        <v>71880</v>
      </c>
      <c r="G32" s="197">
        <v>71780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45525</v>
      </c>
      <c r="D33" s="196" t="s">
        <v>23</v>
      </c>
      <c r="E33" s="196" t="s">
        <v>22</v>
      </c>
      <c r="F33" s="197">
        <v>85000</v>
      </c>
      <c r="G33" s="197">
        <v>85300</v>
      </c>
      <c r="H33" s="196">
        <v>-300</v>
      </c>
      <c r="I33" s="197">
        <v>30</v>
      </c>
      <c r="J33" s="268">
        <f t="shared" si="1"/>
        <v>-9000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45526</v>
      </c>
      <c r="D34" s="196" t="s">
        <v>23</v>
      </c>
      <c r="E34" s="196" t="s">
        <v>24</v>
      </c>
      <c r="F34" s="197">
        <v>71720</v>
      </c>
      <c r="G34" s="197">
        <v>71545</v>
      </c>
      <c r="H34" s="196">
        <f>71720-71545</f>
        <v>175</v>
      </c>
      <c r="I34" s="197">
        <v>100</v>
      </c>
      <c r="J34" s="268">
        <f t="shared" si="1"/>
        <v>17500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45526</v>
      </c>
      <c r="D35" s="196" t="s">
        <v>23</v>
      </c>
      <c r="E35" s="196" t="s">
        <v>22</v>
      </c>
      <c r="F35" s="197">
        <v>85000</v>
      </c>
      <c r="G35" s="197">
        <v>84760</v>
      </c>
      <c r="H35" s="196">
        <f>85000-84760</f>
        <v>240</v>
      </c>
      <c r="I35" s="197">
        <v>30</v>
      </c>
      <c r="J35" s="268">
        <f t="shared" si="1"/>
        <v>7200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45527</v>
      </c>
      <c r="D36" s="196" t="s">
        <v>23</v>
      </c>
      <c r="E36" s="196" t="s">
        <v>24</v>
      </c>
      <c r="F36" s="197">
        <v>71520</v>
      </c>
      <c r="G36" s="197">
        <v>71436</v>
      </c>
      <c r="H36" s="196">
        <f>71520-71436</f>
        <v>84</v>
      </c>
      <c r="I36" s="197">
        <v>100</v>
      </c>
      <c r="J36" s="268">
        <f t="shared" si="1"/>
        <v>8400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45527</v>
      </c>
      <c r="D37" s="196" t="s">
        <v>23</v>
      </c>
      <c r="E37" s="196" t="s">
        <v>22</v>
      </c>
      <c r="F37" s="197">
        <v>84500</v>
      </c>
      <c r="G37" s="197">
        <v>84350</v>
      </c>
      <c r="H37" s="196">
        <f>84500-84350</f>
        <v>150</v>
      </c>
      <c r="I37" s="197">
        <v>30</v>
      </c>
      <c r="J37" s="268">
        <f t="shared" si="1"/>
        <v>4500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45531</v>
      </c>
      <c r="D38" s="196" t="s">
        <v>23</v>
      </c>
      <c r="E38" s="196" t="s">
        <v>24</v>
      </c>
      <c r="F38" s="197">
        <v>71920</v>
      </c>
      <c r="G38" s="197">
        <v>71880</v>
      </c>
      <c r="H38" s="196">
        <f>71920-71880</f>
        <v>40</v>
      </c>
      <c r="I38" s="197">
        <v>100</v>
      </c>
      <c r="J38" s="268">
        <f t="shared" si="1"/>
        <v>4000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45531</v>
      </c>
      <c r="D39" s="196" t="s">
        <v>23</v>
      </c>
      <c r="E39" s="196" t="s">
        <v>22</v>
      </c>
      <c r="F39" s="197">
        <v>85700</v>
      </c>
      <c r="G39" s="197">
        <v>85470</v>
      </c>
      <c r="H39" s="196">
        <f>85700-85470</f>
        <v>230</v>
      </c>
      <c r="I39" s="197">
        <v>30</v>
      </c>
      <c r="J39" s="268">
        <f t="shared" si="1"/>
        <v>6900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45532</v>
      </c>
      <c r="D40" s="196" t="s">
        <v>23</v>
      </c>
      <c r="E40" s="196" t="s">
        <v>24</v>
      </c>
      <c r="F40" s="197">
        <v>71880</v>
      </c>
      <c r="G40" s="197">
        <v>71680</v>
      </c>
      <c r="H40" s="196">
        <v>200</v>
      </c>
      <c r="I40" s="197">
        <v>100</v>
      </c>
      <c r="J40" s="268">
        <f t="shared" si="1"/>
        <v>20000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45532</v>
      </c>
      <c r="D41" s="196" t="s">
        <v>23</v>
      </c>
      <c r="E41" s="196" t="s">
        <v>22</v>
      </c>
      <c r="F41" s="197">
        <v>84500</v>
      </c>
      <c r="G41" s="197">
        <v>84200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45533</v>
      </c>
      <c r="D42" s="196" t="s">
        <v>23</v>
      </c>
      <c r="E42" s="196" t="s">
        <v>24</v>
      </c>
      <c r="F42" s="197">
        <v>71960</v>
      </c>
      <c r="G42" s="197">
        <v>72060</v>
      </c>
      <c r="H42" s="196">
        <v>-100</v>
      </c>
      <c r="I42" s="197">
        <v>100</v>
      </c>
      <c r="J42" s="268">
        <f t="shared" si="1"/>
        <v>-10000</v>
      </c>
      <c r="K42" s="185"/>
      <c r="V42" s="183">
        <f t="shared" si="2"/>
        <v>0</v>
      </c>
      <c r="W42" s="183">
        <f t="shared" si="3"/>
        <v>1</v>
      </c>
    </row>
    <row r="43" spans="1:23" x14ac:dyDescent="0.3">
      <c r="A43" s="184"/>
      <c r="B43" s="194">
        <v>38</v>
      </c>
      <c r="C43" s="195">
        <v>45533</v>
      </c>
      <c r="D43" s="196" t="s">
        <v>23</v>
      </c>
      <c r="E43" s="196" t="s">
        <v>22</v>
      </c>
      <c r="F43" s="197">
        <v>84700</v>
      </c>
      <c r="G43" s="197">
        <v>84100</v>
      </c>
      <c r="H43" s="196">
        <v>600</v>
      </c>
      <c r="I43" s="197">
        <v>30</v>
      </c>
      <c r="J43" s="268">
        <f t="shared" si="1"/>
        <v>18000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45534</v>
      </c>
      <c r="D44" s="196" t="s">
        <v>23</v>
      </c>
      <c r="E44" s="196" t="s">
        <v>24</v>
      </c>
      <c r="F44" s="197">
        <v>72170</v>
      </c>
      <c r="G44" s="197">
        <v>71970</v>
      </c>
      <c r="H44" s="196">
        <v>200</v>
      </c>
      <c r="I44" s="197">
        <v>100</v>
      </c>
      <c r="J44" s="268">
        <f t="shared" si="1"/>
        <v>20000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45534</v>
      </c>
      <c r="D45" s="196" t="s">
        <v>23</v>
      </c>
      <c r="E45" s="196" t="s">
        <v>22</v>
      </c>
      <c r="F45" s="197">
        <v>84900</v>
      </c>
      <c r="G45" s="197">
        <v>84600</v>
      </c>
      <c r="H45" s="196">
        <v>300</v>
      </c>
      <c r="I45" s="197">
        <v>30</v>
      </c>
      <c r="J45" s="268">
        <f t="shared" si="1"/>
        <v>9000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ht="15" thickBot="1" x14ac:dyDescent="0.35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hidden="1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idden="1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idden="1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hidden="1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298690</v>
      </c>
      <c r="K52" s="185"/>
      <c r="V52" s="183">
        <f>SUM(V6:V51)</f>
        <v>33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45505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45505</v>
      </c>
      <c r="D60" s="192" t="s">
        <v>23</v>
      </c>
      <c r="E60" s="192" t="s">
        <v>25</v>
      </c>
      <c r="F60" s="193">
        <v>6600</v>
      </c>
      <c r="G60" s="193">
        <v>6540</v>
      </c>
      <c r="H60" s="192">
        <f>6600-6540</f>
        <v>60</v>
      </c>
      <c r="I60" s="193">
        <v>100</v>
      </c>
      <c r="J60" s="267">
        <f t="shared" ref="J60:J102" si="5">I60*H60</f>
        <v>6000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45505</v>
      </c>
      <c r="D61" s="196" t="s">
        <v>23</v>
      </c>
      <c r="E61" s="196" t="s">
        <v>939</v>
      </c>
      <c r="F61" s="222">
        <v>174</v>
      </c>
      <c r="G61" s="222">
        <v>171</v>
      </c>
      <c r="H61" s="222">
        <v>3</v>
      </c>
      <c r="I61" s="197">
        <v>2000</v>
      </c>
      <c r="J61" s="268">
        <f t="shared" si="5"/>
        <v>6000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45506</v>
      </c>
      <c r="D62" s="196" t="s">
        <v>23</v>
      </c>
      <c r="E62" s="196" t="s">
        <v>25</v>
      </c>
      <c r="F62" s="197">
        <v>6450</v>
      </c>
      <c r="G62" s="197">
        <v>6420</v>
      </c>
      <c r="H62" s="222">
        <v>30</v>
      </c>
      <c r="I62" s="197">
        <v>100</v>
      </c>
      <c r="J62" s="268">
        <f t="shared" si="5"/>
        <v>3000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45506</v>
      </c>
      <c r="D63" s="196" t="s">
        <v>23</v>
      </c>
      <c r="E63" s="196" t="s">
        <v>939</v>
      </c>
      <c r="F63" s="222">
        <v>167</v>
      </c>
      <c r="G63" s="222">
        <v>166</v>
      </c>
      <c r="H63" s="222">
        <v>1</v>
      </c>
      <c r="I63" s="197">
        <v>2000</v>
      </c>
      <c r="J63" s="268">
        <f t="shared" si="5"/>
        <v>2000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45509</v>
      </c>
      <c r="D64" s="196" t="s">
        <v>23</v>
      </c>
      <c r="E64" s="196" t="s">
        <v>25</v>
      </c>
      <c r="F64" s="197">
        <v>6045</v>
      </c>
      <c r="G64" s="197">
        <v>6085</v>
      </c>
      <c r="H64" s="196">
        <v>-40</v>
      </c>
      <c r="I64" s="197">
        <v>100</v>
      </c>
      <c r="J64" s="268">
        <f t="shared" si="5"/>
        <v>-4000</v>
      </c>
      <c r="K64" s="185"/>
      <c r="V64" s="183">
        <f t="shared" si="6"/>
        <v>0</v>
      </c>
      <c r="W64" s="183">
        <f t="shared" si="7"/>
        <v>1</v>
      </c>
    </row>
    <row r="65" spans="1:23" x14ac:dyDescent="0.3">
      <c r="A65" s="184"/>
      <c r="B65" s="194">
        <v>6</v>
      </c>
      <c r="C65" s="195">
        <v>45509</v>
      </c>
      <c r="D65" s="196" t="s">
        <v>23</v>
      </c>
      <c r="E65" s="196" t="s">
        <v>939</v>
      </c>
      <c r="F65" s="222">
        <v>162</v>
      </c>
      <c r="G65" s="222">
        <v>160</v>
      </c>
      <c r="H65" s="196">
        <v>2</v>
      </c>
      <c r="I65" s="197">
        <v>2000</v>
      </c>
      <c r="J65" s="268">
        <f t="shared" si="5"/>
        <v>4000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45510</v>
      </c>
      <c r="D66" s="196" t="s">
        <v>23</v>
      </c>
      <c r="E66" s="196" t="s">
        <v>25</v>
      </c>
      <c r="F66" s="222">
        <v>6160</v>
      </c>
      <c r="G66" s="222">
        <v>6090</v>
      </c>
      <c r="H66" s="196">
        <f>6160-6090</f>
        <v>70</v>
      </c>
      <c r="I66" s="197">
        <v>100</v>
      </c>
      <c r="J66" s="268">
        <f t="shared" si="5"/>
        <v>7000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45510</v>
      </c>
      <c r="D67" s="196" t="s">
        <v>23</v>
      </c>
      <c r="E67" s="196" t="s">
        <v>939</v>
      </c>
      <c r="F67" s="222">
        <v>164</v>
      </c>
      <c r="G67" s="222">
        <v>161</v>
      </c>
      <c r="H67" s="222">
        <v>3</v>
      </c>
      <c r="I67" s="197">
        <v>2000</v>
      </c>
      <c r="J67" s="268">
        <f t="shared" si="5"/>
        <v>6000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45511</v>
      </c>
      <c r="D68" s="196" t="s">
        <v>23</v>
      </c>
      <c r="E68" s="196" t="s">
        <v>25</v>
      </c>
      <c r="F68" s="197">
        <v>6160</v>
      </c>
      <c r="G68" s="197">
        <v>6200</v>
      </c>
      <c r="H68" s="196">
        <f>6200-6160</f>
        <v>40</v>
      </c>
      <c r="I68" s="197">
        <v>100</v>
      </c>
      <c r="J68" s="268">
        <f t="shared" si="5"/>
        <v>4000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45511</v>
      </c>
      <c r="D69" s="196" t="s">
        <v>23</v>
      </c>
      <c r="E69" s="196" t="s">
        <v>939</v>
      </c>
      <c r="F69" s="222">
        <v>171</v>
      </c>
      <c r="G69" s="222">
        <v>169</v>
      </c>
      <c r="H69" s="222">
        <v>2</v>
      </c>
      <c r="I69" s="197">
        <v>2000</v>
      </c>
      <c r="J69" s="268">
        <f t="shared" si="5"/>
        <v>4000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45512</v>
      </c>
      <c r="D70" s="196" t="s">
        <v>23</v>
      </c>
      <c r="E70" s="196" t="s">
        <v>25</v>
      </c>
      <c r="F70" s="197">
        <v>6325</v>
      </c>
      <c r="G70" s="222">
        <v>6272</v>
      </c>
      <c r="H70" s="196">
        <f>6325-6272</f>
        <v>53</v>
      </c>
      <c r="I70" s="197">
        <v>100</v>
      </c>
      <c r="J70" s="268">
        <f t="shared" si="5"/>
        <v>5300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45512</v>
      </c>
      <c r="D71" s="196" t="s">
        <v>16</v>
      </c>
      <c r="E71" s="196" t="s">
        <v>939</v>
      </c>
      <c r="F71" s="222">
        <v>175.7</v>
      </c>
      <c r="G71" s="222">
        <v>177.2</v>
      </c>
      <c r="H71" s="222">
        <f>177.2-175.7</f>
        <v>1.5</v>
      </c>
      <c r="I71" s="197">
        <v>2000</v>
      </c>
      <c r="J71" s="268">
        <f t="shared" si="5"/>
        <v>3000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45513</v>
      </c>
      <c r="D72" s="196" t="s">
        <v>23</v>
      </c>
      <c r="E72" s="196" t="s">
        <v>25</v>
      </c>
      <c r="F72" s="197">
        <v>6405</v>
      </c>
      <c r="G72" s="222">
        <v>6376</v>
      </c>
      <c r="H72" s="196">
        <f>6405-6376</f>
        <v>29</v>
      </c>
      <c r="I72" s="197">
        <v>100</v>
      </c>
      <c r="J72" s="268">
        <f t="shared" si="5"/>
        <v>2900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45513</v>
      </c>
      <c r="D73" s="196" t="s">
        <v>16</v>
      </c>
      <c r="E73" s="196" t="s">
        <v>939</v>
      </c>
      <c r="F73" s="222">
        <v>181</v>
      </c>
      <c r="G73" s="222">
        <v>183</v>
      </c>
      <c r="H73" s="196">
        <v>2</v>
      </c>
      <c r="I73" s="197">
        <v>2000</v>
      </c>
      <c r="J73" s="268">
        <f t="shared" si="5"/>
        <v>4000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45516</v>
      </c>
      <c r="D74" s="196" t="s">
        <v>23</v>
      </c>
      <c r="E74" s="196" t="s">
        <v>25</v>
      </c>
      <c r="F74" s="197">
        <v>6530</v>
      </c>
      <c r="G74" s="222">
        <v>6570</v>
      </c>
      <c r="H74" s="196">
        <v>-40</v>
      </c>
      <c r="I74" s="197">
        <v>100</v>
      </c>
      <c r="J74" s="268">
        <f t="shared" si="5"/>
        <v>-4000</v>
      </c>
      <c r="K74" s="185"/>
      <c r="V74" s="183">
        <f t="shared" si="6"/>
        <v>0</v>
      </c>
      <c r="W74" s="183">
        <f t="shared" si="7"/>
        <v>1</v>
      </c>
    </row>
    <row r="75" spans="1:23" x14ac:dyDescent="0.3">
      <c r="A75" s="184"/>
      <c r="B75" s="194">
        <v>16</v>
      </c>
      <c r="C75" s="195">
        <v>45516</v>
      </c>
      <c r="D75" s="196" t="s">
        <v>23</v>
      </c>
      <c r="E75" s="196" t="s">
        <v>939</v>
      </c>
      <c r="F75" s="222">
        <v>188.5</v>
      </c>
      <c r="G75" s="222">
        <v>185.5</v>
      </c>
      <c r="H75" s="196">
        <v>3</v>
      </c>
      <c r="I75" s="197">
        <v>2000</v>
      </c>
      <c r="J75" s="268">
        <f t="shared" si="5"/>
        <v>6000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45517</v>
      </c>
      <c r="D76" s="196" t="s">
        <v>23</v>
      </c>
      <c r="E76" s="196" t="s">
        <v>25</v>
      </c>
      <c r="F76" s="197">
        <v>6700</v>
      </c>
      <c r="G76" s="197">
        <v>6680</v>
      </c>
      <c r="H76" s="196">
        <f>6700-6680</f>
        <v>20</v>
      </c>
      <c r="I76" s="197">
        <v>100</v>
      </c>
      <c r="J76" s="268">
        <f t="shared" si="5"/>
        <v>2000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45517</v>
      </c>
      <c r="D77" s="196" t="s">
        <v>23</v>
      </c>
      <c r="E77" s="196" t="s">
        <v>939</v>
      </c>
      <c r="F77" s="222">
        <v>184</v>
      </c>
      <c r="G77" s="222">
        <v>182.2</v>
      </c>
      <c r="H77" s="222">
        <f>184-182.2</f>
        <v>1.8000000000000114</v>
      </c>
      <c r="I77" s="197">
        <v>2000</v>
      </c>
      <c r="J77" s="268">
        <f t="shared" si="5"/>
        <v>3600.0000000000227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45518</v>
      </c>
      <c r="D78" s="196" t="s">
        <v>23</v>
      </c>
      <c r="E78" s="196" t="s">
        <v>25</v>
      </c>
      <c r="F78" s="197">
        <v>6635</v>
      </c>
      <c r="G78" s="197">
        <v>6565</v>
      </c>
      <c r="H78" s="196">
        <f>6635-6565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45518</v>
      </c>
      <c r="D79" s="196" t="s">
        <v>23</v>
      </c>
      <c r="E79" s="196" t="s">
        <v>939</v>
      </c>
      <c r="F79" s="222">
        <v>182</v>
      </c>
      <c r="G79" s="222">
        <v>181</v>
      </c>
      <c r="H79" s="196">
        <v>1</v>
      </c>
      <c r="I79" s="197">
        <v>2000</v>
      </c>
      <c r="J79" s="268">
        <f t="shared" si="5"/>
        <v>2000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45520</v>
      </c>
      <c r="D80" s="196" t="s">
        <v>23</v>
      </c>
      <c r="E80" s="196" t="s">
        <v>25</v>
      </c>
      <c r="F80" s="197">
        <v>6455</v>
      </c>
      <c r="G80" s="197">
        <v>6390</v>
      </c>
      <c r="H80" s="196">
        <f>6455-6390</f>
        <v>65</v>
      </c>
      <c r="I80" s="197">
        <v>100</v>
      </c>
      <c r="J80" s="268">
        <f t="shared" si="5"/>
        <v>6500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45520</v>
      </c>
      <c r="D81" s="196" t="s">
        <v>23</v>
      </c>
      <c r="E81" s="196" t="s">
        <v>939</v>
      </c>
      <c r="F81" s="197">
        <v>186</v>
      </c>
      <c r="G81" s="222">
        <v>189</v>
      </c>
      <c r="H81" s="222">
        <v>3</v>
      </c>
      <c r="I81" s="197">
        <v>2000</v>
      </c>
      <c r="J81" s="268">
        <f t="shared" si="5"/>
        <v>6000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45523</v>
      </c>
      <c r="D82" s="196" t="s">
        <v>23</v>
      </c>
      <c r="E82" s="196" t="s">
        <v>25</v>
      </c>
      <c r="F82" s="197">
        <v>6340</v>
      </c>
      <c r="G82" s="197">
        <v>6270</v>
      </c>
      <c r="H82" s="196">
        <f>6340-6270</f>
        <v>70</v>
      </c>
      <c r="I82" s="197">
        <v>100</v>
      </c>
      <c r="J82" s="268">
        <f t="shared" si="5"/>
        <v>7000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45523</v>
      </c>
      <c r="D83" s="196" t="s">
        <v>23</v>
      </c>
      <c r="E83" s="196" t="s">
        <v>939</v>
      </c>
      <c r="F83" s="197">
        <v>178</v>
      </c>
      <c r="G83" s="222">
        <v>175</v>
      </c>
      <c r="H83" s="222">
        <v>3</v>
      </c>
      <c r="I83" s="197">
        <v>2000</v>
      </c>
      <c r="J83" s="268">
        <f t="shared" si="5"/>
        <v>6000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184"/>
      <c r="B84" s="194">
        <v>25</v>
      </c>
      <c r="C84" s="195">
        <v>45524</v>
      </c>
      <c r="D84" s="196" t="s">
        <v>23</v>
      </c>
      <c r="E84" s="196" t="s">
        <v>25</v>
      </c>
      <c r="F84" s="197">
        <v>6130</v>
      </c>
      <c r="G84" s="222">
        <v>6100</v>
      </c>
      <c r="H84" s="222">
        <v>30</v>
      </c>
      <c r="I84" s="197">
        <v>100</v>
      </c>
      <c r="J84" s="268">
        <f t="shared" si="5"/>
        <v>3000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45524</v>
      </c>
      <c r="D85" s="196" t="s">
        <v>23</v>
      </c>
      <c r="E85" s="196" t="s">
        <v>939</v>
      </c>
      <c r="F85" s="222">
        <v>187.5</v>
      </c>
      <c r="G85" s="222">
        <v>186.3</v>
      </c>
      <c r="H85" s="196">
        <f>187.5-186.3</f>
        <v>1.1999999999999886</v>
      </c>
      <c r="I85" s="197">
        <v>2000</v>
      </c>
      <c r="J85" s="268">
        <f t="shared" si="5"/>
        <v>2399.9999999999773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45525</v>
      </c>
      <c r="D86" s="196" t="s">
        <v>23</v>
      </c>
      <c r="E86" s="196" t="s">
        <v>25</v>
      </c>
      <c r="F86" s="197">
        <v>6150</v>
      </c>
      <c r="G86" s="197">
        <v>6190</v>
      </c>
      <c r="H86" s="196">
        <v>-40</v>
      </c>
      <c r="I86" s="197">
        <v>100</v>
      </c>
      <c r="J86" s="268">
        <f t="shared" si="5"/>
        <v>-4000</v>
      </c>
      <c r="K86" s="185"/>
      <c r="V86" s="183">
        <f t="shared" si="6"/>
        <v>0</v>
      </c>
      <c r="W86" s="183">
        <f t="shared" si="7"/>
        <v>1</v>
      </c>
    </row>
    <row r="87" spans="1:23" x14ac:dyDescent="0.3">
      <c r="A87" s="184"/>
      <c r="B87" s="194">
        <v>28</v>
      </c>
      <c r="C87" s="195">
        <v>45525</v>
      </c>
      <c r="D87" s="196" t="s">
        <v>23</v>
      </c>
      <c r="E87" s="196" t="s">
        <v>939</v>
      </c>
      <c r="F87" s="222">
        <v>184.5</v>
      </c>
      <c r="G87" s="222">
        <v>183</v>
      </c>
      <c r="H87" s="222">
        <v>1.5</v>
      </c>
      <c r="I87" s="197">
        <v>2000</v>
      </c>
      <c r="J87" s="268">
        <f t="shared" si="5"/>
        <v>3000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45526</v>
      </c>
      <c r="D88" s="196" t="s">
        <v>23</v>
      </c>
      <c r="E88" s="196" t="s">
        <v>25</v>
      </c>
      <c r="F88" s="197">
        <v>6045</v>
      </c>
      <c r="G88" s="197">
        <v>6085</v>
      </c>
      <c r="H88" s="196">
        <v>-40</v>
      </c>
      <c r="I88" s="197">
        <v>100</v>
      </c>
      <c r="J88" s="268">
        <f t="shared" si="5"/>
        <v>-4000</v>
      </c>
      <c r="K88" s="185"/>
      <c r="V88" s="183">
        <f t="shared" si="6"/>
        <v>0</v>
      </c>
      <c r="W88" s="183">
        <f t="shared" si="7"/>
        <v>1</v>
      </c>
    </row>
    <row r="89" spans="1:23" x14ac:dyDescent="0.3">
      <c r="A89" s="184"/>
      <c r="B89" s="194">
        <v>30</v>
      </c>
      <c r="C89" s="195">
        <v>45526</v>
      </c>
      <c r="D89" s="196" t="s">
        <v>23</v>
      </c>
      <c r="E89" s="196" t="s">
        <v>939</v>
      </c>
      <c r="F89" s="222">
        <v>183.5</v>
      </c>
      <c r="G89" s="222">
        <v>179.2</v>
      </c>
      <c r="H89" s="196">
        <f>183.5-179.2</f>
        <v>4.3000000000000114</v>
      </c>
      <c r="I89" s="197">
        <v>2000</v>
      </c>
      <c r="J89" s="268">
        <f t="shared" si="5"/>
        <v>8600.0000000000218</v>
      </c>
      <c r="K89" s="185"/>
      <c r="V89" s="183">
        <f t="shared" si="6"/>
        <v>1</v>
      </c>
      <c r="W89" s="183">
        <f t="shared" si="7"/>
        <v>0</v>
      </c>
    </row>
    <row r="90" spans="1:23" x14ac:dyDescent="0.3">
      <c r="A90" s="184"/>
      <c r="B90" s="194">
        <v>31</v>
      </c>
      <c r="C90" s="195">
        <v>45527</v>
      </c>
      <c r="D90" s="196" t="s">
        <v>23</v>
      </c>
      <c r="E90" s="196" t="s">
        <v>25</v>
      </c>
      <c r="F90" s="197">
        <v>6205</v>
      </c>
      <c r="G90" s="197">
        <v>6175</v>
      </c>
      <c r="H90" s="196">
        <f>6205-6175</f>
        <v>30</v>
      </c>
      <c r="I90" s="197">
        <v>100</v>
      </c>
      <c r="J90" s="268">
        <f t="shared" si="5"/>
        <v>3000</v>
      </c>
      <c r="K90" s="185"/>
      <c r="V90" s="183">
        <f t="shared" si="6"/>
        <v>1</v>
      </c>
      <c r="W90" s="183">
        <f t="shared" si="7"/>
        <v>0</v>
      </c>
    </row>
    <row r="91" spans="1:23" x14ac:dyDescent="0.3">
      <c r="A91" s="184"/>
      <c r="B91" s="194">
        <v>32</v>
      </c>
      <c r="C91" s="195">
        <v>45527</v>
      </c>
      <c r="D91" s="196" t="s">
        <v>23</v>
      </c>
      <c r="E91" s="196" t="s">
        <v>939</v>
      </c>
      <c r="F91" s="222">
        <v>171.5</v>
      </c>
      <c r="G91" s="222">
        <v>168.5</v>
      </c>
      <c r="H91" s="222">
        <v>3</v>
      </c>
      <c r="I91" s="197">
        <v>2000</v>
      </c>
      <c r="J91" s="268">
        <f t="shared" si="5"/>
        <v>6000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45531</v>
      </c>
      <c r="D92" s="196" t="s">
        <v>23</v>
      </c>
      <c r="E92" s="196" t="s">
        <v>25</v>
      </c>
      <c r="F92" s="197">
        <v>6480</v>
      </c>
      <c r="G92" s="197">
        <v>6438</v>
      </c>
      <c r="H92" s="196">
        <f>6480-6438</f>
        <v>42</v>
      </c>
      <c r="I92" s="197">
        <v>100</v>
      </c>
      <c r="J92" s="268">
        <f t="shared" si="5"/>
        <v>4200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45531</v>
      </c>
      <c r="D93" s="196" t="s">
        <v>23</v>
      </c>
      <c r="E93" s="196" t="s">
        <v>939</v>
      </c>
      <c r="F93" s="222">
        <v>161</v>
      </c>
      <c r="G93" s="222">
        <v>164</v>
      </c>
      <c r="H93" s="222">
        <v>-3</v>
      </c>
      <c r="I93" s="197">
        <v>2000</v>
      </c>
      <c r="J93" s="268">
        <f t="shared" si="5"/>
        <v>-6000</v>
      </c>
      <c r="K93" s="185"/>
      <c r="V93" s="183">
        <f t="shared" si="6"/>
        <v>0</v>
      </c>
      <c r="W93" s="183">
        <f t="shared" si="7"/>
        <v>1</v>
      </c>
    </row>
    <row r="94" spans="1:23" x14ac:dyDescent="0.3">
      <c r="A94" s="184"/>
      <c r="B94" s="194">
        <v>35</v>
      </c>
      <c r="C94" s="195">
        <v>45532</v>
      </c>
      <c r="D94" s="196" t="s">
        <v>23</v>
      </c>
      <c r="E94" s="196" t="s">
        <v>25</v>
      </c>
      <c r="F94" s="197">
        <v>6320</v>
      </c>
      <c r="G94" s="197">
        <v>6250</v>
      </c>
      <c r="H94" s="196">
        <f>6320-6250</f>
        <v>70</v>
      </c>
      <c r="I94" s="197">
        <v>100</v>
      </c>
      <c r="J94" s="268">
        <f t="shared" si="5"/>
        <v>7000</v>
      </c>
      <c r="K94" s="185"/>
      <c r="V94" s="183">
        <f t="shared" si="6"/>
        <v>1</v>
      </c>
      <c r="W94" s="183">
        <f t="shared" si="7"/>
        <v>0</v>
      </c>
    </row>
    <row r="95" spans="1:23" x14ac:dyDescent="0.3">
      <c r="A95" s="184"/>
      <c r="B95" s="194">
        <v>36</v>
      </c>
      <c r="C95" s="195">
        <v>45532</v>
      </c>
      <c r="D95" s="196" t="s">
        <v>23</v>
      </c>
      <c r="E95" s="196" t="s">
        <v>939</v>
      </c>
      <c r="F95" s="197">
        <v>176</v>
      </c>
      <c r="G95" s="222">
        <v>174.5</v>
      </c>
      <c r="H95" s="222">
        <f>176-174.5</f>
        <v>1.5</v>
      </c>
      <c r="I95" s="197">
        <v>2000</v>
      </c>
      <c r="J95" s="268">
        <f t="shared" si="5"/>
        <v>3000</v>
      </c>
      <c r="K95" s="185"/>
      <c r="V95" s="183">
        <f t="shared" si="6"/>
        <v>1</v>
      </c>
      <c r="W95" s="183">
        <f t="shared" si="7"/>
        <v>0</v>
      </c>
    </row>
    <row r="96" spans="1:23" x14ac:dyDescent="0.3">
      <c r="A96" s="184"/>
      <c r="B96" s="194">
        <v>37</v>
      </c>
      <c r="C96" s="195">
        <v>45533</v>
      </c>
      <c r="D96" s="196" t="s">
        <v>23</v>
      </c>
      <c r="E96" s="196" t="s">
        <v>25</v>
      </c>
      <c r="F96" s="197">
        <v>6255</v>
      </c>
      <c r="G96" s="197">
        <v>6225</v>
      </c>
      <c r="H96" s="196">
        <f>6255-6225</f>
        <v>30</v>
      </c>
      <c r="I96" s="197">
        <v>100</v>
      </c>
      <c r="J96" s="268">
        <f t="shared" si="5"/>
        <v>3000</v>
      </c>
      <c r="K96" s="185"/>
      <c r="V96" s="183">
        <f t="shared" si="6"/>
        <v>1</v>
      </c>
      <c r="W96" s="183">
        <f t="shared" si="7"/>
        <v>0</v>
      </c>
    </row>
    <row r="97" spans="1:23" x14ac:dyDescent="0.3">
      <c r="A97" s="255"/>
      <c r="B97" s="194">
        <v>38</v>
      </c>
      <c r="C97" s="195">
        <v>45533</v>
      </c>
      <c r="D97" s="196" t="s">
        <v>23</v>
      </c>
      <c r="E97" s="196" t="s">
        <v>939</v>
      </c>
      <c r="F97" s="197">
        <v>178</v>
      </c>
      <c r="G97" s="197">
        <v>172</v>
      </c>
      <c r="H97" s="196">
        <v>6</v>
      </c>
      <c r="I97" s="197">
        <v>2000</v>
      </c>
      <c r="J97" s="268">
        <f t="shared" si="5"/>
        <v>12000</v>
      </c>
      <c r="K97" s="185"/>
      <c r="V97" s="183">
        <f t="shared" si="6"/>
        <v>1</v>
      </c>
      <c r="W97" s="183">
        <f t="shared" si="7"/>
        <v>0</v>
      </c>
    </row>
    <row r="98" spans="1:23" x14ac:dyDescent="0.3">
      <c r="A98" s="184"/>
      <c r="B98" s="194">
        <v>39</v>
      </c>
      <c r="C98" s="195">
        <v>45534</v>
      </c>
      <c r="D98" s="196" t="s">
        <v>23</v>
      </c>
      <c r="E98" s="196" t="s">
        <v>25</v>
      </c>
      <c r="F98" s="197">
        <v>6380</v>
      </c>
      <c r="G98" s="222">
        <v>6310</v>
      </c>
      <c r="H98" s="196">
        <v>70</v>
      </c>
      <c r="I98" s="197">
        <v>100</v>
      </c>
      <c r="J98" s="268">
        <f t="shared" si="5"/>
        <v>7000</v>
      </c>
      <c r="K98" s="185"/>
      <c r="V98" s="183">
        <f t="shared" si="6"/>
        <v>1</v>
      </c>
      <c r="W98" s="183">
        <f t="shared" si="7"/>
        <v>0</v>
      </c>
    </row>
    <row r="99" spans="1:23" x14ac:dyDescent="0.3">
      <c r="A99" s="184"/>
      <c r="B99" s="194">
        <v>40</v>
      </c>
      <c r="C99" s="195">
        <v>45534</v>
      </c>
      <c r="D99" s="196" t="s">
        <v>23</v>
      </c>
      <c r="E99" s="196" t="s">
        <v>939</v>
      </c>
      <c r="F99" s="222">
        <v>180</v>
      </c>
      <c r="G99" s="222">
        <v>179</v>
      </c>
      <c r="H99" s="222">
        <v>1</v>
      </c>
      <c r="I99" s="197">
        <v>2000</v>
      </c>
      <c r="J99" s="268">
        <f t="shared" si="5"/>
        <v>2000</v>
      </c>
      <c r="K99" s="185"/>
      <c r="V99" s="183">
        <f t="shared" si="6"/>
        <v>1</v>
      </c>
      <c r="W99" s="183">
        <f t="shared" si="7"/>
        <v>0</v>
      </c>
    </row>
    <row r="100" spans="1:23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5"/>
        <v>0</v>
      </c>
      <c r="K100" s="185"/>
      <c r="V100" s="183">
        <f t="shared" si="6"/>
        <v>0</v>
      </c>
      <c r="W100" s="183">
        <f t="shared" si="7"/>
        <v>0</v>
      </c>
    </row>
    <row r="101" spans="1:23" x14ac:dyDescent="0.3">
      <c r="A101" s="184"/>
      <c r="B101" s="194">
        <v>42</v>
      </c>
      <c r="C101" s="195"/>
      <c r="D101" s="196"/>
      <c r="E101" s="196"/>
      <c r="F101" s="197"/>
      <c r="G101" s="197"/>
      <c r="H101" s="196"/>
      <c r="I101" s="197"/>
      <c r="J101" s="268">
        <f t="shared" si="5"/>
        <v>0</v>
      </c>
      <c r="K101" s="185"/>
      <c r="V101" s="183">
        <f t="shared" si="6"/>
        <v>0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8" t="s">
        <v>879</v>
      </c>
      <c r="C103" s="305"/>
      <c r="D103" s="305"/>
      <c r="E103" s="305"/>
      <c r="F103" s="305"/>
      <c r="G103" s="305"/>
      <c r="H103" s="306"/>
      <c r="I103" s="203" t="s">
        <v>880</v>
      </c>
      <c r="J103" s="204">
        <f>SUM(J60:J102)</f>
        <v>145500.00000000003</v>
      </c>
      <c r="K103" s="185"/>
      <c r="V103" s="183">
        <f>SUM(V60:V102)</f>
        <v>35</v>
      </c>
      <c r="W103" s="183">
        <f>SUM(W60:W102)</f>
        <v>5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07" t="s">
        <v>873</v>
      </c>
      <c r="C107" s="308"/>
      <c r="D107" s="308"/>
      <c r="E107" s="308"/>
      <c r="F107" s="308"/>
      <c r="G107" s="308"/>
      <c r="H107" s="308"/>
      <c r="I107" s="308"/>
      <c r="J107" s="309"/>
      <c r="K107" s="185"/>
    </row>
    <row r="108" spans="1:23" ht="16.2" thickBot="1" x14ac:dyDescent="0.35">
      <c r="A108" s="184"/>
      <c r="B108" s="310">
        <v>45505</v>
      </c>
      <c r="C108" s="311"/>
      <c r="D108" s="311"/>
      <c r="E108" s="311"/>
      <c r="F108" s="311"/>
      <c r="G108" s="311"/>
      <c r="H108" s="311"/>
      <c r="I108" s="311"/>
      <c r="J108" s="312"/>
      <c r="K108" s="185"/>
    </row>
    <row r="109" spans="1:23" ht="16.2" thickBot="1" x14ac:dyDescent="0.35">
      <c r="A109" s="184"/>
      <c r="B109" s="313" t="s">
        <v>882</v>
      </c>
      <c r="C109" s="314"/>
      <c r="D109" s="314"/>
      <c r="E109" s="314"/>
      <c r="F109" s="314"/>
      <c r="G109" s="314"/>
      <c r="H109" s="314"/>
      <c r="I109" s="314"/>
      <c r="J109" s="315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45505</v>
      </c>
      <c r="D111" s="216" t="s">
        <v>23</v>
      </c>
      <c r="E111" s="256" t="s">
        <v>28</v>
      </c>
      <c r="F111" s="256">
        <v>251.3</v>
      </c>
      <c r="G111" s="256">
        <v>250.3</v>
      </c>
      <c r="H111" s="256">
        <v>1</v>
      </c>
      <c r="I111" s="218">
        <v>5000</v>
      </c>
      <c r="J111" s="273">
        <f>I111*H111</f>
        <v>5000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</v>
      </c>
      <c r="C112" s="195">
        <v>45506</v>
      </c>
      <c r="D112" s="196" t="s">
        <v>23</v>
      </c>
      <c r="E112" s="222" t="s">
        <v>28</v>
      </c>
      <c r="F112" s="222">
        <v>252.5</v>
      </c>
      <c r="G112" s="222">
        <v>251.5</v>
      </c>
      <c r="H112" s="222">
        <v>1</v>
      </c>
      <c r="I112" s="218">
        <v>5000</v>
      </c>
      <c r="J112" s="268">
        <f t="shared" ref="J112:J137" si="8">I112*H112</f>
        <v>5000</v>
      </c>
      <c r="K112" s="185"/>
      <c r="V112" s="183">
        <f t="shared" ref="V112:V136" si="9">IF($J112&gt;0,1,0)</f>
        <v>1</v>
      </c>
      <c r="W112" s="183">
        <f t="shared" ref="W112:W136" si="10">IF($J112&lt;0,1,0)</f>
        <v>0</v>
      </c>
    </row>
    <row r="113" spans="1:23" x14ac:dyDescent="0.3">
      <c r="A113" s="184"/>
      <c r="B113" s="194">
        <v>3</v>
      </c>
      <c r="C113" s="195">
        <v>45509</v>
      </c>
      <c r="D113" s="196" t="s">
        <v>23</v>
      </c>
      <c r="E113" s="222" t="s">
        <v>28</v>
      </c>
      <c r="F113" s="222">
        <v>247.6</v>
      </c>
      <c r="G113" s="222">
        <v>246.6</v>
      </c>
      <c r="H113" s="222">
        <v>1</v>
      </c>
      <c r="I113" s="218">
        <v>5000</v>
      </c>
      <c r="J113" s="268">
        <f t="shared" si="8"/>
        <v>5000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45510</v>
      </c>
      <c r="D114" s="196" t="s">
        <v>23</v>
      </c>
      <c r="E114" s="222" t="s">
        <v>28</v>
      </c>
      <c r="F114" s="222">
        <v>246.7</v>
      </c>
      <c r="G114" s="222">
        <v>245.2</v>
      </c>
      <c r="H114" s="222">
        <f>247.7-245.2</f>
        <v>2.5</v>
      </c>
      <c r="I114" s="218">
        <v>5000</v>
      </c>
      <c r="J114" s="268">
        <f t="shared" si="8"/>
        <v>12500</v>
      </c>
      <c r="K114" s="185"/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5</v>
      </c>
      <c r="C115" s="195">
        <v>45511</v>
      </c>
      <c r="D115" s="196" t="s">
        <v>23</v>
      </c>
      <c r="E115" s="222" t="s">
        <v>28</v>
      </c>
      <c r="F115" s="222">
        <v>245.5</v>
      </c>
      <c r="G115" s="222">
        <v>243.8</v>
      </c>
      <c r="H115" s="222">
        <f>245.5-243.8</f>
        <v>1.6999999999999886</v>
      </c>
      <c r="I115" s="197">
        <v>5000</v>
      </c>
      <c r="J115" s="268">
        <f t="shared" si="8"/>
        <v>8499.9999999999436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6</v>
      </c>
      <c r="C116" s="195">
        <v>45512</v>
      </c>
      <c r="D116" s="196" t="s">
        <v>16</v>
      </c>
      <c r="E116" s="222" t="s">
        <v>28</v>
      </c>
      <c r="F116" s="222">
        <v>246.7</v>
      </c>
      <c r="G116" s="222">
        <v>245.7</v>
      </c>
      <c r="H116" s="222">
        <v>-1</v>
      </c>
      <c r="I116" s="197">
        <v>5000</v>
      </c>
      <c r="J116" s="268">
        <f t="shared" si="8"/>
        <v>-5000</v>
      </c>
      <c r="K116" s="185"/>
      <c r="V116" s="183">
        <f t="shared" si="9"/>
        <v>0</v>
      </c>
      <c r="W116" s="183">
        <f t="shared" si="10"/>
        <v>1</v>
      </c>
    </row>
    <row r="117" spans="1:23" x14ac:dyDescent="0.3">
      <c r="A117" s="184"/>
      <c r="B117" s="194">
        <v>7</v>
      </c>
      <c r="C117" s="195">
        <v>45513</v>
      </c>
      <c r="D117" s="196" t="s">
        <v>16</v>
      </c>
      <c r="E117" s="222" t="s">
        <v>28</v>
      </c>
      <c r="F117" s="222">
        <v>254.5</v>
      </c>
      <c r="G117" s="222">
        <v>256.5</v>
      </c>
      <c r="H117" s="274">
        <v>2</v>
      </c>
      <c r="I117" s="197">
        <v>5000</v>
      </c>
      <c r="J117" s="268">
        <f t="shared" si="8"/>
        <v>10000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8</v>
      </c>
      <c r="C118" s="195">
        <v>45516</v>
      </c>
      <c r="D118" s="196" t="s">
        <v>23</v>
      </c>
      <c r="E118" s="222" t="s">
        <v>28</v>
      </c>
      <c r="F118" s="222">
        <v>261</v>
      </c>
      <c r="G118" s="222">
        <v>259.25</v>
      </c>
      <c r="H118" s="222">
        <f>261-259.25</f>
        <v>1.75</v>
      </c>
      <c r="I118" s="197">
        <v>5000</v>
      </c>
      <c r="J118" s="268">
        <f t="shared" si="8"/>
        <v>8750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45517</v>
      </c>
      <c r="D119" s="196" t="s">
        <v>23</v>
      </c>
      <c r="E119" s="222" t="s">
        <v>28</v>
      </c>
      <c r="F119" s="222">
        <v>255.8</v>
      </c>
      <c r="G119" s="222">
        <v>254.8</v>
      </c>
      <c r="H119" s="222">
        <v>1</v>
      </c>
      <c r="I119" s="197">
        <v>5000</v>
      </c>
      <c r="J119" s="268">
        <f t="shared" si="8"/>
        <v>5000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45518</v>
      </c>
      <c r="D120" s="196" t="s">
        <v>23</v>
      </c>
      <c r="E120" s="222" t="s">
        <v>28</v>
      </c>
      <c r="F120" s="222">
        <v>259.5</v>
      </c>
      <c r="G120" s="222">
        <v>259.10000000000002</v>
      </c>
      <c r="H120" s="222">
        <f>259.5-259.1</f>
        <v>0.39999999999997726</v>
      </c>
      <c r="I120" s="197">
        <v>5000</v>
      </c>
      <c r="J120" s="268">
        <f t="shared" si="8"/>
        <v>1999.9999999998863</v>
      </c>
      <c r="K120" s="185"/>
      <c r="V120" s="183">
        <f t="shared" si="9"/>
        <v>1</v>
      </c>
      <c r="W120" s="183">
        <f t="shared" si="10"/>
        <v>0</v>
      </c>
    </row>
    <row r="121" spans="1:23" x14ac:dyDescent="0.3">
      <c r="A121" s="184"/>
      <c r="B121" s="194">
        <v>11</v>
      </c>
      <c r="C121" s="195">
        <v>45520</v>
      </c>
      <c r="D121" s="196" t="s">
        <v>23</v>
      </c>
      <c r="E121" s="222" t="s">
        <v>28</v>
      </c>
      <c r="F121" s="222">
        <v>262.39999999999998</v>
      </c>
      <c r="G121" s="222">
        <v>261.39999999999998</v>
      </c>
      <c r="H121" s="274">
        <v>1</v>
      </c>
      <c r="I121" s="197">
        <v>5000</v>
      </c>
      <c r="J121" s="268">
        <f t="shared" si="8"/>
        <v>5000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45523</v>
      </c>
      <c r="D122" s="196" t="s">
        <v>23</v>
      </c>
      <c r="E122" s="222" t="s">
        <v>28</v>
      </c>
      <c r="F122" s="222">
        <v>265.3</v>
      </c>
      <c r="G122" s="222">
        <v>264.7</v>
      </c>
      <c r="H122" s="274">
        <f>265.3-264.7</f>
        <v>0.60000000000002274</v>
      </c>
      <c r="I122" s="197">
        <v>5000</v>
      </c>
      <c r="J122" s="268">
        <f t="shared" si="8"/>
        <v>3000.0000000001137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45524</v>
      </c>
      <c r="D123" s="196" t="s">
        <v>23</v>
      </c>
      <c r="E123" s="222" t="s">
        <v>28</v>
      </c>
      <c r="F123" s="222">
        <v>264.8</v>
      </c>
      <c r="G123" s="222">
        <v>264.39999999999998</v>
      </c>
      <c r="H123" s="274">
        <v>0.4</v>
      </c>
      <c r="I123" s="197">
        <v>5000</v>
      </c>
      <c r="J123" s="268">
        <f t="shared" si="8"/>
        <v>2000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45525</v>
      </c>
      <c r="D124" s="196" t="s">
        <v>23</v>
      </c>
      <c r="E124" s="222" t="s">
        <v>28</v>
      </c>
      <c r="F124" s="222">
        <v>267.3</v>
      </c>
      <c r="G124" s="222">
        <v>266.89999999999998</v>
      </c>
      <c r="H124" s="274">
        <v>0.4</v>
      </c>
      <c r="I124" s="197">
        <v>5000</v>
      </c>
      <c r="J124" s="268">
        <f t="shared" si="8"/>
        <v>2000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45526</v>
      </c>
      <c r="D125" s="196" t="s">
        <v>23</v>
      </c>
      <c r="E125" s="196" t="s">
        <v>28</v>
      </c>
      <c r="F125" s="222">
        <v>268.8</v>
      </c>
      <c r="G125" s="222">
        <v>266.8</v>
      </c>
      <c r="H125" s="222">
        <v>2</v>
      </c>
      <c r="I125" s="197">
        <v>5000</v>
      </c>
      <c r="J125" s="268">
        <f t="shared" si="8"/>
        <v>10000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45527</v>
      </c>
      <c r="D126" s="196" t="s">
        <v>23</v>
      </c>
      <c r="E126" s="196" t="s">
        <v>28</v>
      </c>
      <c r="F126" s="222">
        <v>267</v>
      </c>
      <c r="G126" s="222">
        <v>266.5</v>
      </c>
      <c r="H126" s="222">
        <f>267-266.5</f>
        <v>0.5</v>
      </c>
      <c r="I126" s="197">
        <v>5000</v>
      </c>
      <c r="J126" s="268">
        <f t="shared" si="8"/>
        <v>2500</v>
      </c>
      <c r="K126" s="185"/>
      <c r="V126" s="183">
        <f t="shared" si="9"/>
        <v>1</v>
      </c>
      <c r="W126" s="183">
        <f t="shared" si="10"/>
        <v>0</v>
      </c>
    </row>
    <row r="127" spans="1:23" x14ac:dyDescent="0.3">
      <c r="A127" s="184"/>
      <c r="B127" s="194">
        <v>17</v>
      </c>
      <c r="C127" s="195">
        <v>45531</v>
      </c>
      <c r="D127" s="196" t="s">
        <v>23</v>
      </c>
      <c r="E127" s="196" t="s">
        <v>28</v>
      </c>
      <c r="F127" s="222">
        <v>269.3</v>
      </c>
      <c r="G127" s="274">
        <v>268.3</v>
      </c>
      <c r="H127" s="274">
        <v>1</v>
      </c>
      <c r="I127" s="197">
        <v>5000</v>
      </c>
      <c r="J127" s="268">
        <f t="shared" si="8"/>
        <v>5000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45532</v>
      </c>
      <c r="D128" s="196" t="s">
        <v>23</v>
      </c>
      <c r="E128" s="196" t="s">
        <v>28</v>
      </c>
      <c r="F128" s="222">
        <v>266.8</v>
      </c>
      <c r="G128" s="222">
        <v>265.8</v>
      </c>
      <c r="H128" s="274">
        <v>1</v>
      </c>
      <c r="I128" s="197">
        <v>5000</v>
      </c>
      <c r="J128" s="268">
        <f t="shared" si="8"/>
        <v>5000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>
        <v>45533</v>
      </c>
      <c r="D129" s="196" t="s">
        <v>23</v>
      </c>
      <c r="E129" s="196" t="s">
        <v>28</v>
      </c>
      <c r="F129" s="222">
        <v>266.8</v>
      </c>
      <c r="G129" s="222">
        <v>266.39999999999998</v>
      </c>
      <c r="H129" s="274">
        <f>266.8-266.4</f>
        <v>0.40000000000003411</v>
      </c>
      <c r="I129" s="197">
        <v>5000</v>
      </c>
      <c r="J129" s="268">
        <f t="shared" si="8"/>
        <v>2000.0000000001705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20</v>
      </c>
      <c r="C130" s="195">
        <v>45534</v>
      </c>
      <c r="D130" s="196" t="s">
        <v>23</v>
      </c>
      <c r="E130" s="196" t="s">
        <v>28</v>
      </c>
      <c r="F130" s="222">
        <v>270.8</v>
      </c>
      <c r="G130" s="222">
        <v>268.8</v>
      </c>
      <c r="H130" s="274">
        <v>2</v>
      </c>
      <c r="I130" s="197">
        <v>5000</v>
      </c>
      <c r="J130" s="268">
        <f t="shared" si="8"/>
        <v>10000</v>
      </c>
      <c r="K130" s="185"/>
    </row>
    <row r="131" spans="1:23" x14ac:dyDescent="0.3">
      <c r="A131" s="184"/>
      <c r="B131" s="194">
        <v>21</v>
      </c>
      <c r="C131" s="195"/>
      <c r="D131" s="196"/>
      <c r="E131" s="196"/>
      <c r="F131" s="222"/>
      <c r="G131" s="222"/>
      <c r="H131" s="274"/>
      <c r="I131" s="197"/>
      <c r="J131" s="268">
        <f t="shared" si="8"/>
        <v>0</v>
      </c>
      <c r="K131" s="185"/>
    </row>
    <row r="132" spans="1:23" hidden="1" x14ac:dyDescent="0.3">
      <c r="A132" s="184"/>
      <c r="B132" s="194">
        <v>22</v>
      </c>
      <c r="C132" s="195"/>
      <c r="D132" s="196"/>
      <c r="E132" s="196"/>
      <c r="F132" s="222"/>
      <c r="G132" s="222"/>
      <c r="H132" s="274"/>
      <c r="I132" s="197"/>
      <c r="J132" s="268">
        <f t="shared" si="8"/>
        <v>0</v>
      </c>
      <c r="K132" s="185"/>
    </row>
    <row r="133" spans="1:23" hidden="1" x14ac:dyDescent="0.3">
      <c r="A133" s="184"/>
      <c r="B133" s="194">
        <v>23</v>
      </c>
      <c r="C133" s="195"/>
      <c r="D133" s="196"/>
      <c r="E133" s="196"/>
      <c r="F133" s="222"/>
      <c r="G133" s="222"/>
      <c r="H133" s="274"/>
      <c r="I133" s="197"/>
      <c r="J133" s="268">
        <f t="shared" si="8"/>
        <v>0</v>
      </c>
      <c r="K133" s="185"/>
    </row>
    <row r="134" spans="1:23" hidden="1" x14ac:dyDescent="0.3">
      <c r="A134" s="184"/>
      <c r="B134" s="194">
        <v>24</v>
      </c>
      <c r="C134" s="195"/>
      <c r="D134" s="196"/>
      <c r="E134" s="196"/>
      <c r="F134" s="222"/>
      <c r="G134" s="222"/>
      <c r="H134" s="274"/>
      <c r="I134" s="197"/>
      <c r="J134" s="268">
        <f t="shared" si="8"/>
        <v>0</v>
      </c>
      <c r="K134" s="185"/>
    </row>
    <row r="135" spans="1:23" hidden="1" x14ac:dyDescent="0.3">
      <c r="A135" s="184"/>
      <c r="B135" s="194">
        <v>25</v>
      </c>
      <c r="C135" s="195"/>
      <c r="D135" s="196"/>
      <c r="E135" s="196"/>
      <c r="F135" s="222"/>
      <c r="G135" s="222"/>
      <c r="H135" s="274"/>
      <c r="I135" s="197"/>
      <c r="J135" s="268">
        <f t="shared" si="8"/>
        <v>0</v>
      </c>
      <c r="K135" s="185"/>
      <c r="V135" s="183">
        <f t="shared" si="9"/>
        <v>0</v>
      </c>
      <c r="W135" s="183">
        <f t="shared" si="10"/>
        <v>0</v>
      </c>
    </row>
    <row r="136" spans="1:23" hidden="1" x14ac:dyDescent="0.3">
      <c r="A136" s="184"/>
      <c r="B136" s="194">
        <v>21</v>
      </c>
      <c r="C136" s="195"/>
      <c r="D136" s="196"/>
      <c r="E136" s="222"/>
      <c r="F136" s="222"/>
      <c r="G136" s="222"/>
      <c r="H136" s="274"/>
      <c r="I136" s="197"/>
      <c r="J136" s="268">
        <f t="shared" si="8"/>
        <v>0</v>
      </c>
      <c r="K136" s="185"/>
      <c r="V136" s="183">
        <f t="shared" si="9"/>
        <v>0</v>
      </c>
      <c r="W136" s="183">
        <f t="shared" si="10"/>
        <v>0</v>
      </c>
    </row>
    <row r="137" spans="1:23" hidden="1" x14ac:dyDescent="0.3">
      <c r="A137" s="184"/>
      <c r="B137" s="194">
        <v>22</v>
      </c>
      <c r="C137" s="195"/>
      <c r="D137" s="196"/>
      <c r="E137" s="222"/>
      <c r="F137" s="222"/>
      <c r="G137" s="222"/>
      <c r="H137" s="274"/>
      <c r="I137" s="197"/>
      <c r="J137" s="268">
        <f t="shared" si="8"/>
        <v>0</v>
      </c>
      <c r="K137" s="185"/>
      <c r="V137" s="183">
        <f>IF($J137&gt;0,1,0)</f>
        <v>0</v>
      </c>
      <c r="W137" s="183">
        <f>IF($J137&lt;0,1,0)</f>
        <v>0</v>
      </c>
    </row>
    <row r="138" spans="1:23" hidden="1" x14ac:dyDescent="0.3">
      <c r="A138" s="184"/>
      <c r="B138" s="194">
        <v>23</v>
      </c>
      <c r="C138" s="195"/>
      <c r="D138" s="196"/>
      <c r="E138" s="222"/>
      <c r="F138" s="222"/>
      <c r="G138" s="222"/>
      <c r="H138" s="222"/>
      <c r="I138" s="197"/>
      <c r="J138" s="268">
        <f>I138*H138</f>
        <v>0</v>
      </c>
      <c r="K138" s="185"/>
      <c r="V138" s="183">
        <f>IF($J138&gt;0,1,0)</f>
        <v>0</v>
      </c>
      <c r="W138" s="183">
        <f>IF($J138&lt;0,1,0)</f>
        <v>0</v>
      </c>
    </row>
    <row r="139" spans="1:23" ht="15" hidden="1" thickBot="1" x14ac:dyDescent="0.35">
      <c r="A139" s="184"/>
      <c r="B139" s="194">
        <v>26</v>
      </c>
      <c r="C139" s="220"/>
      <c r="D139" s="221"/>
      <c r="E139" s="221"/>
      <c r="F139" s="222"/>
      <c r="G139" s="222"/>
      <c r="H139" s="222"/>
      <c r="I139" s="211"/>
      <c r="J139" s="272">
        <f>I139*H139</f>
        <v>0</v>
      </c>
      <c r="K139" s="185"/>
      <c r="V139" s="183">
        <f>IF($J139&gt;0,1,0)</f>
        <v>0</v>
      </c>
      <c r="W139" s="183">
        <f>IF($J139&lt;0,1,0)</f>
        <v>0</v>
      </c>
    </row>
    <row r="140" spans="1:23" ht="24" thickBot="1" x14ac:dyDescent="0.5">
      <c r="A140" s="184"/>
      <c r="B140" s="316" t="s">
        <v>879</v>
      </c>
      <c r="C140" s="317"/>
      <c r="D140" s="317"/>
      <c r="E140" s="317"/>
      <c r="F140" s="317"/>
      <c r="G140" s="317"/>
      <c r="H140" s="318"/>
      <c r="I140" s="212" t="s">
        <v>880</v>
      </c>
      <c r="J140" s="213">
        <f>SUM(J111:J139)</f>
        <v>103250.00000000012</v>
      </c>
      <c r="K140" s="185"/>
      <c r="V140" s="183">
        <f>SUM(V111:V139)</f>
        <v>18</v>
      </c>
      <c r="W140" s="183">
        <f>SUM(W111:W139)</f>
        <v>1</v>
      </c>
    </row>
    <row r="141" spans="1:23" ht="30" customHeight="1" thickBot="1" x14ac:dyDescent="0.35">
      <c r="A141" s="205"/>
      <c r="B141" s="206"/>
      <c r="C141" s="206"/>
      <c r="D141" s="206"/>
      <c r="E141" s="206"/>
      <c r="F141" s="206"/>
      <c r="G141" s="206"/>
      <c r="H141" s="261"/>
      <c r="I141" s="206"/>
      <c r="J141" s="261"/>
      <c r="K141" s="207"/>
      <c r="L141" s="183" t="s">
        <v>926</v>
      </c>
    </row>
    <row r="142" spans="1:23" ht="15" thickBot="1" x14ac:dyDescent="0.35"/>
    <row r="143" spans="1:23" ht="30" customHeight="1" thickBot="1" x14ac:dyDescent="0.35">
      <c r="A143" s="180"/>
      <c r="B143" s="181"/>
      <c r="C143" s="181"/>
      <c r="D143" s="181"/>
      <c r="E143" s="181"/>
      <c r="F143" s="181"/>
      <c r="G143" s="181"/>
      <c r="H143" s="259"/>
      <c r="I143" s="181"/>
      <c r="J143" s="259"/>
      <c r="K143" s="182"/>
    </row>
    <row r="144" spans="1:23" ht="25.2" thickBot="1" x14ac:dyDescent="0.35">
      <c r="A144" s="184" t="s">
        <v>0</v>
      </c>
      <c r="B144" s="307" t="s">
        <v>873</v>
      </c>
      <c r="C144" s="308"/>
      <c r="D144" s="308"/>
      <c r="E144" s="308"/>
      <c r="F144" s="308"/>
      <c r="G144" s="308"/>
      <c r="H144" s="308"/>
      <c r="I144" s="308"/>
      <c r="J144" s="309"/>
      <c r="K144" s="185"/>
    </row>
    <row r="145" spans="1:23" ht="16.2" thickBot="1" x14ac:dyDescent="0.35">
      <c r="A145" s="184"/>
      <c r="B145" s="310">
        <v>45505</v>
      </c>
      <c r="C145" s="311"/>
      <c r="D145" s="311"/>
      <c r="E145" s="311"/>
      <c r="F145" s="311"/>
      <c r="G145" s="311"/>
      <c r="H145" s="311"/>
      <c r="I145" s="311"/>
      <c r="J145" s="312"/>
      <c r="K145" s="185"/>
    </row>
    <row r="146" spans="1:23" ht="16.2" thickBot="1" x14ac:dyDescent="0.35">
      <c r="A146" s="184"/>
      <c r="B146" s="313" t="s">
        <v>905</v>
      </c>
      <c r="C146" s="314"/>
      <c r="D146" s="314"/>
      <c r="E146" s="314"/>
      <c r="F146" s="314"/>
      <c r="G146" s="314"/>
      <c r="H146" s="314"/>
      <c r="I146" s="314"/>
      <c r="J146" s="315"/>
      <c r="K146" s="185"/>
    </row>
    <row r="147" spans="1:23" ht="15" thickBot="1" x14ac:dyDescent="0.35">
      <c r="A147" s="208"/>
      <c r="B147" s="186" t="s">
        <v>876</v>
      </c>
      <c r="C147" s="187" t="s">
        <v>1</v>
      </c>
      <c r="D147" s="188" t="s">
        <v>2</v>
      </c>
      <c r="E147" s="188" t="s">
        <v>3</v>
      </c>
      <c r="F147" s="189" t="s">
        <v>4</v>
      </c>
      <c r="G147" s="189" t="s">
        <v>5</v>
      </c>
      <c r="H147" s="260" t="s">
        <v>720</v>
      </c>
      <c r="I147" s="189" t="s">
        <v>6</v>
      </c>
      <c r="J147" s="266" t="s">
        <v>7</v>
      </c>
      <c r="K147" s="209"/>
      <c r="L147" s="198"/>
      <c r="V147" s="183" t="s">
        <v>254</v>
      </c>
      <c r="W147" s="183" t="s">
        <v>255</v>
      </c>
    </row>
    <row r="148" spans="1:23" x14ac:dyDescent="0.3">
      <c r="A148" s="184"/>
      <c r="B148" s="214">
        <v>1</v>
      </c>
      <c r="C148" s="215">
        <v>45505</v>
      </c>
      <c r="D148" s="216" t="s">
        <v>16</v>
      </c>
      <c r="E148" s="256" t="s">
        <v>912</v>
      </c>
      <c r="F148" s="256">
        <v>160</v>
      </c>
      <c r="G148" s="256">
        <v>190</v>
      </c>
      <c r="H148" s="256">
        <v>30</v>
      </c>
      <c r="I148" s="218">
        <v>100</v>
      </c>
      <c r="J148" s="273">
        <f>I148*H148</f>
        <v>3000</v>
      </c>
      <c r="K148" s="185"/>
      <c r="V148" s="183">
        <f>IF($J148&gt;0,1,0)</f>
        <v>1</v>
      </c>
      <c r="W148" s="183">
        <f>IF($J148&lt;0,1,0)</f>
        <v>0</v>
      </c>
    </row>
    <row r="149" spans="1:23" x14ac:dyDescent="0.3">
      <c r="A149" s="184"/>
      <c r="B149" s="194">
        <v>2</v>
      </c>
      <c r="C149" s="195">
        <v>45506</v>
      </c>
      <c r="D149" s="196" t="s">
        <v>16</v>
      </c>
      <c r="E149" s="222" t="s">
        <v>913</v>
      </c>
      <c r="F149" s="222">
        <v>180</v>
      </c>
      <c r="G149" s="222">
        <v>220</v>
      </c>
      <c r="H149" s="222">
        <f>200-180</f>
        <v>20</v>
      </c>
      <c r="I149" s="218">
        <v>100</v>
      </c>
      <c r="J149" s="268">
        <f t="shared" ref="J149:J168" si="11">I149*H149</f>
        <v>2000</v>
      </c>
      <c r="K149" s="185"/>
      <c r="V149" s="183">
        <f t="shared" ref="V149:V170" si="12">IF($J149&gt;0,1,0)</f>
        <v>1</v>
      </c>
      <c r="W149" s="183">
        <f t="shared" ref="W149:W170" si="13">IF($J149&lt;0,1,0)</f>
        <v>0</v>
      </c>
    </row>
    <row r="150" spans="1:23" x14ac:dyDescent="0.3">
      <c r="A150" s="184"/>
      <c r="B150" s="194">
        <v>3</v>
      </c>
      <c r="C150" s="195">
        <v>45509</v>
      </c>
      <c r="D150" s="196" t="s">
        <v>16</v>
      </c>
      <c r="E150" s="222" t="s">
        <v>915</v>
      </c>
      <c r="F150" s="222">
        <v>210</v>
      </c>
      <c r="G150" s="222">
        <v>190</v>
      </c>
      <c r="H150" s="222">
        <v>-20</v>
      </c>
      <c r="I150" s="218">
        <v>100</v>
      </c>
      <c r="J150" s="268">
        <f t="shared" si="11"/>
        <v>-2000</v>
      </c>
      <c r="K150" s="185"/>
      <c r="M150" s="183" t="s">
        <v>870</v>
      </c>
      <c r="V150" s="183">
        <f t="shared" si="12"/>
        <v>0</v>
      </c>
      <c r="W150" s="183">
        <f t="shared" si="13"/>
        <v>1</v>
      </c>
    </row>
    <row r="151" spans="1:23" x14ac:dyDescent="0.3">
      <c r="A151" s="184"/>
      <c r="B151" s="194">
        <v>4</v>
      </c>
      <c r="C151" s="195">
        <v>45510</v>
      </c>
      <c r="D151" s="196" t="s">
        <v>16</v>
      </c>
      <c r="E151" s="222" t="s">
        <v>908</v>
      </c>
      <c r="F151" s="222">
        <v>180</v>
      </c>
      <c r="G151" s="222">
        <v>196</v>
      </c>
      <c r="H151" s="222">
        <v>16</v>
      </c>
      <c r="I151" s="218">
        <v>100</v>
      </c>
      <c r="J151" s="268">
        <f t="shared" si="11"/>
        <v>1600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5</v>
      </c>
      <c r="C152" s="195">
        <v>45511</v>
      </c>
      <c r="D152" s="196" t="s">
        <v>16</v>
      </c>
      <c r="E152" s="222" t="s">
        <v>908</v>
      </c>
      <c r="F152" s="222">
        <v>170</v>
      </c>
      <c r="G152" s="222">
        <v>150</v>
      </c>
      <c r="H152" s="222">
        <v>-20</v>
      </c>
      <c r="I152" s="218">
        <v>100</v>
      </c>
      <c r="J152" s="268">
        <f t="shared" si="11"/>
        <v>-2000</v>
      </c>
      <c r="K152" s="185"/>
      <c r="V152" s="183">
        <f t="shared" si="12"/>
        <v>0</v>
      </c>
      <c r="W152" s="183">
        <f t="shared" si="13"/>
        <v>1</v>
      </c>
    </row>
    <row r="153" spans="1:23" x14ac:dyDescent="0.3">
      <c r="A153" s="184"/>
      <c r="B153" s="194">
        <v>6</v>
      </c>
      <c r="C153" s="195">
        <v>45512</v>
      </c>
      <c r="D153" s="196" t="s">
        <v>16</v>
      </c>
      <c r="E153" s="222" t="s">
        <v>910</v>
      </c>
      <c r="F153" s="222">
        <v>170</v>
      </c>
      <c r="G153" s="222">
        <v>204</v>
      </c>
      <c r="H153" s="222">
        <f>204-170</f>
        <v>34</v>
      </c>
      <c r="I153" s="218">
        <v>100</v>
      </c>
      <c r="J153" s="268">
        <f t="shared" si="11"/>
        <v>3400</v>
      </c>
      <c r="K153" s="185"/>
      <c r="V153" s="183">
        <f t="shared" si="12"/>
        <v>1</v>
      </c>
      <c r="W153" s="183">
        <f t="shared" si="13"/>
        <v>0</v>
      </c>
    </row>
    <row r="154" spans="1:23" x14ac:dyDescent="0.3">
      <c r="A154" s="184"/>
      <c r="B154" s="194">
        <v>7</v>
      </c>
      <c r="C154" s="195">
        <v>45513</v>
      </c>
      <c r="D154" s="196" t="s">
        <v>16</v>
      </c>
      <c r="E154" s="222" t="s">
        <v>913</v>
      </c>
      <c r="F154" s="222">
        <v>170</v>
      </c>
      <c r="G154" s="222">
        <v>180</v>
      </c>
      <c r="H154" s="274">
        <v>10</v>
      </c>
      <c r="I154" s="218">
        <v>100</v>
      </c>
      <c r="J154" s="268">
        <f t="shared" si="11"/>
        <v>1000</v>
      </c>
      <c r="K154" s="185"/>
      <c r="M154" s="183" t="s">
        <v>942</v>
      </c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8</v>
      </c>
      <c r="C155" s="195">
        <v>45516</v>
      </c>
      <c r="D155" s="196" t="s">
        <v>16</v>
      </c>
      <c r="E155" s="222" t="s">
        <v>914</v>
      </c>
      <c r="F155" s="222">
        <v>205</v>
      </c>
      <c r="G155" s="222">
        <v>185</v>
      </c>
      <c r="H155" s="222">
        <v>-20</v>
      </c>
      <c r="I155" s="218">
        <v>100</v>
      </c>
      <c r="J155" s="268">
        <f t="shared" si="11"/>
        <v>-2000</v>
      </c>
      <c r="K155" s="185"/>
      <c r="V155" s="183">
        <f t="shared" si="12"/>
        <v>0</v>
      </c>
      <c r="W155" s="183">
        <f t="shared" si="13"/>
        <v>1</v>
      </c>
    </row>
    <row r="156" spans="1:23" x14ac:dyDescent="0.3">
      <c r="A156" s="184"/>
      <c r="B156" s="194">
        <v>9</v>
      </c>
      <c r="C156" s="195">
        <v>45517</v>
      </c>
      <c r="D156" s="196" t="s">
        <v>16</v>
      </c>
      <c r="E156" s="222" t="s">
        <v>913</v>
      </c>
      <c r="F156" s="222">
        <v>210</v>
      </c>
      <c r="G156" s="222">
        <v>230</v>
      </c>
      <c r="H156" s="222">
        <v>20</v>
      </c>
      <c r="I156" s="218">
        <v>100</v>
      </c>
      <c r="J156" s="268">
        <f t="shared" si="11"/>
        <v>2000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10</v>
      </c>
      <c r="C157" s="195">
        <v>45518</v>
      </c>
      <c r="D157" s="196" t="s">
        <v>16</v>
      </c>
      <c r="E157" s="222" t="s">
        <v>914</v>
      </c>
      <c r="F157" s="222">
        <v>235</v>
      </c>
      <c r="G157" s="222">
        <v>275</v>
      </c>
      <c r="H157" s="222">
        <f>275-235</f>
        <v>40</v>
      </c>
      <c r="I157" s="218">
        <v>100</v>
      </c>
      <c r="J157" s="268">
        <f t="shared" si="11"/>
        <v>4000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11</v>
      </c>
      <c r="C158" s="195">
        <v>45520</v>
      </c>
      <c r="D158" s="196" t="s">
        <v>16</v>
      </c>
      <c r="E158" s="222" t="s">
        <v>913</v>
      </c>
      <c r="F158" s="222">
        <v>250</v>
      </c>
      <c r="G158" s="222">
        <v>290</v>
      </c>
      <c r="H158" s="274">
        <v>40</v>
      </c>
      <c r="I158" s="218">
        <v>100</v>
      </c>
      <c r="J158" s="268">
        <f t="shared" si="11"/>
        <v>4000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12</v>
      </c>
      <c r="C159" s="195">
        <v>45523</v>
      </c>
      <c r="D159" s="196" t="s">
        <v>16</v>
      </c>
      <c r="E159" s="222" t="s">
        <v>907</v>
      </c>
      <c r="F159" s="222">
        <v>195</v>
      </c>
      <c r="G159" s="222">
        <v>215</v>
      </c>
      <c r="H159" s="274">
        <v>20</v>
      </c>
      <c r="I159" s="218">
        <v>100</v>
      </c>
      <c r="J159" s="268">
        <f t="shared" si="11"/>
        <v>2000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13</v>
      </c>
      <c r="C160" s="195">
        <v>45524</v>
      </c>
      <c r="D160" s="196" t="s">
        <v>16</v>
      </c>
      <c r="E160" s="222" t="s">
        <v>915</v>
      </c>
      <c r="F160" s="222">
        <v>195</v>
      </c>
      <c r="G160" s="222">
        <v>211</v>
      </c>
      <c r="H160" s="274">
        <f>211-195</f>
        <v>16</v>
      </c>
      <c r="I160" s="218">
        <v>100</v>
      </c>
      <c r="J160" s="268">
        <f t="shared" si="11"/>
        <v>1600</v>
      </c>
      <c r="K160" s="185"/>
      <c r="V160" s="183">
        <f t="shared" si="12"/>
        <v>1</v>
      </c>
      <c r="W160" s="183">
        <f t="shared" si="13"/>
        <v>0</v>
      </c>
    </row>
    <row r="161" spans="1:23" x14ac:dyDescent="0.3">
      <c r="A161" s="184"/>
      <c r="B161" s="194">
        <v>14</v>
      </c>
      <c r="C161" s="195">
        <v>45525</v>
      </c>
      <c r="D161" s="196" t="s">
        <v>16</v>
      </c>
      <c r="E161" s="222" t="s">
        <v>915</v>
      </c>
      <c r="F161" s="222">
        <v>170</v>
      </c>
      <c r="G161" s="222">
        <v>183</v>
      </c>
      <c r="H161" s="274">
        <v>13</v>
      </c>
      <c r="I161" s="218">
        <v>100</v>
      </c>
      <c r="J161" s="268">
        <f t="shared" si="11"/>
        <v>1300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15</v>
      </c>
      <c r="C162" s="195">
        <v>45526</v>
      </c>
      <c r="D162" s="196" t="s">
        <v>16</v>
      </c>
      <c r="E162" s="196" t="s">
        <v>915</v>
      </c>
      <c r="F162" s="222">
        <v>220</v>
      </c>
      <c r="G162" s="222">
        <v>200</v>
      </c>
      <c r="H162" s="222">
        <v>-20</v>
      </c>
      <c r="I162" s="218">
        <v>100</v>
      </c>
      <c r="J162" s="268">
        <f t="shared" si="11"/>
        <v>-2000</v>
      </c>
      <c r="K162" s="185"/>
      <c r="V162" s="183">
        <f t="shared" si="12"/>
        <v>0</v>
      </c>
      <c r="W162" s="183">
        <f t="shared" si="13"/>
        <v>1</v>
      </c>
    </row>
    <row r="163" spans="1:23" x14ac:dyDescent="0.3">
      <c r="A163" s="184"/>
      <c r="B163" s="194">
        <v>16</v>
      </c>
      <c r="C163" s="195">
        <v>45527</v>
      </c>
      <c r="D163" s="196" t="s">
        <v>16</v>
      </c>
      <c r="E163" s="196" t="s">
        <v>908</v>
      </c>
      <c r="F163" s="222">
        <v>185</v>
      </c>
      <c r="G163" s="274">
        <v>200</v>
      </c>
      <c r="H163" s="274">
        <f>200-185</f>
        <v>15</v>
      </c>
      <c r="I163" s="218">
        <v>100</v>
      </c>
      <c r="J163" s="268">
        <f t="shared" si="11"/>
        <v>1500</v>
      </c>
      <c r="K163" s="185"/>
      <c r="V163" s="183">
        <f t="shared" si="12"/>
        <v>1</v>
      </c>
      <c r="W163" s="183">
        <f t="shared" si="13"/>
        <v>0</v>
      </c>
    </row>
    <row r="164" spans="1:23" x14ac:dyDescent="0.3">
      <c r="A164" s="184"/>
      <c r="B164" s="194">
        <v>17</v>
      </c>
      <c r="C164" s="195">
        <v>45531</v>
      </c>
      <c r="D164" s="196" t="s">
        <v>16</v>
      </c>
      <c r="E164" s="196" t="s">
        <v>913</v>
      </c>
      <c r="F164" s="222">
        <v>187</v>
      </c>
      <c r="G164" s="222">
        <v>211</v>
      </c>
      <c r="H164" s="263">
        <f>211-187</f>
        <v>24</v>
      </c>
      <c r="I164" s="218">
        <v>100</v>
      </c>
      <c r="J164" s="268">
        <f t="shared" si="11"/>
        <v>2400</v>
      </c>
      <c r="K164" s="185"/>
      <c r="V164" s="183">
        <f t="shared" si="12"/>
        <v>1</v>
      </c>
      <c r="W164" s="183">
        <f t="shared" si="13"/>
        <v>0</v>
      </c>
    </row>
    <row r="165" spans="1:23" x14ac:dyDescent="0.3">
      <c r="A165" s="184"/>
      <c r="B165" s="194">
        <v>18</v>
      </c>
      <c r="C165" s="195">
        <v>45532</v>
      </c>
      <c r="D165" s="196" t="s">
        <v>16</v>
      </c>
      <c r="E165" s="196" t="s">
        <v>910</v>
      </c>
      <c r="F165" s="222">
        <v>215</v>
      </c>
      <c r="G165" s="222">
        <v>255</v>
      </c>
      <c r="H165" s="274">
        <f>255-215</f>
        <v>40</v>
      </c>
      <c r="I165" s="218">
        <v>100</v>
      </c>
      <c r="J165" s="268">
        <f t="shared" si="11"/>
        <v>4000</v>
      </c>
      <c r="K165" s="185"/>
      <c r="V165" s="183">
        <f t="shared" si="12"/>
        <v>1</v>
      </c>
      <c r="W165" s="183">
        <f t="shared" si="13"/>
        <v>0</v>
      </c>
    </row>
    <row r="166" spans="1:23" x14ac:dyDescent="0.3">
      <c r="A166" s="184"/>
      <c r="B166" s="194">
        <v>19</v>
      </c>
      <c r="C166" s="195">
        <v>45533</v>
      </c>
      <c r="D166" s="196" t="s">
        <v>16</v>
      </c>
      <c r="E166" s="196" t="s">
        <v>907</v>
      </c>
      <c r="F166" s="222">
        <v>200</v>
      </c>
      <c r="G166" s="222">
        <v>210</v>
      </c>
      <c r="H166" s="274">
        <v>10</v>
      </c>
      <c r="I166" s="218">
        <v>100</v>
      </c>
      <c r="J166" s="268">
        <f t="shared" si="11"/>
        <v>1000</v>
      </c>
      <c r="K166" s="185"/>
      <c r="V166" s="183">
        <f t="shared" si="12"/>
        <v>1</v>
      </c>
      <c r="W166" s="183">
        <f t="shared" si="13"/>
        <v>0</v>
      </c>
    </row>
    <row r="167" spans="1:23" x14ac:dyDescent="0.3">
      <c r="A167" s="184"/>
      <c r="B167" s="194">
        <v>20</v>
      </c>
      <c r="C167" s="195">
        <v>45534</v>
      </c>
      <c r="D167" s="196" t="s">
        <v>16</v>
      </c>
      <c r="E167" s="222" t="s">
        <v>910</v>
      </c>
      <c r="F167" s="222">
        <v>175</v>
      </c>
      <c r="G167" s="222">
        <v>215</v>
      </c>
      <c r="H167" s="274">
        <v>40</v>
      </c>
      <c r="I167" s="218">
        <v>100</v>
      </c>
      <c r="J167" s="268">
        <f t="shared" si="11"/>
        <v>4000</v>
      </c>
      <c r="K167" s="185"/>
      <c r="V167" s="183">
        <f t="shared" si="12"/>
        <v>1</v>
      </c>
      <c r="W167" s="183">
        <f t="shared" si="13"/>
        <v>0</v>
      </c>
    </row>
    <row r="168" spans="1:23" hidden="1" x14ac:dyDescent="0.3">
      <c r="A168" s="184"/>
      <c r="B168" s="194">
        <v>21</v>
      </c>
      <c r="C168" s="195"/>
      <c r="D168" s="196"/>
      <c r="E168" s="222"/>
      <c r="F168" s="222"/>
      <c r="G168" s="222"/>
      <c r="H168" s="274"/>
      <c r="I168" s="218"/>
      <c r="J168" s="268">
        <f t="shared" si="11"/>
        <v>0</v>
      </c>
      <c r="K168" s="185"/>
      <c r="V168" s="183">
        <f t="shared" si="12"/>
        <v>0</v>
      </c>
      <c r="W168" s="183">
        <f t="shared" si="13"/>
        <v>0</v>
      </c>
    </row>
    <row r="169" spans="1:23" hidden="1" x14ac:dyDescent="0.3">
      <c r="A169" s="184"/>
      <c r="B169" s="194">
        <v>22</v>
      </c>
      <c r="C169" s="195"/>
      <c r="D169" s="196"/>
      <c r="E169" s="222"/>
      <c r="F169" s="222"/>
      <c r="G169" s="222"/>
      <c r="H169" s="222"/>
      <c r="I169" s="218"/>
      <c r="J169" s="268">
        <f>I169*H169</f>
        <v>0</v>
      </c>
      <c r="K169" s="185"/>
      <c r="V169" s="183">
        <f t="shared" si="12"/>
        <v>0</v>
      </c>
      <c r="W169" s="183">
        <f t="shared" si="13"/>
        <v>0</v>
      </c>
    </row>
    <row r="170" spans="1:23" ht="15" thickBot="1" x14ac:dyDescent="0.35">
      <c r="A170" s="184"/>
      <c r="B170" s="199">
        <v>23</v>
      </c>
      <c r="C170" s="200"/>
      <c r="D170" s="201"/>
      <c r="E170" s="201"/>
      <c r="F170" s="284"/>
      <c r="G170" s="284"/>
      <c r="H170" s="284"/>
      <c r="I170" s="285"/>
      <c r="J170" s="269">
        <f>I170*H170</f>
        <v>0</v>
      </c>
      <c r="K170" s="185"/>
      <c r="V170" s="183">
        <f t="shared" si="12"/>
        <v>0</v>
      </c>
      <c r="W170" s="183">
        <f t="shared" si="13"/>
        <v>0</v>
      </c>
    </row>
    <row r="171" spans="1:23" ht="24" thickBot="1" x14ac:dyDescent="0.5">
      <c r="A171" s="184"/>
      <c r="B171" s="304" t="s">
        <v>879</v>
      </c>
      <c r="C171" s="305"/>
      <c r="D171" s="305"/>
      <c r="E171" s="305"/>
      <c r="F171" s="305"/>
      <c r="G171" s="305"/>
      <c r="H171" s="306"/>
      <c r="I171" s="203" t="s">
        <v>880</v>
      </c>
      <c r="J171" s="204">
        <f>SUM(J148:J170)</f>
        <v>30800</v>
      </c>
      <c r="K171" s="185"/>
      <c r="V171" s="183">
        <f>SUM(V148:V170)</f>
        <v>16</v>
      </c>
      <c r="W171" s="183">
        <f>SUM(W148:W170)</f>
        <v>4</v>
      </c>
    </row>
    <row r="172" spans="1:23" ht="30" customHeight="1" thickBot="1" x14ac:dyDescent="0.35">
      <c r="A172" s="205"/>
      <c r="B172" s="286"/>
      <c r="C172" s="286"/>
      <c r="D172" s="286"/>
      <c r="E172" s="286"/>
      <c r="F172" s="286"/>
      <c r="G172" s="286"/>
      <c r="H172" s="287"/>
      <c r="I172" s="286"/>
      <c r="J172" s="287"/>
      <c r="K172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45:J145"/>
    <mergeCell ref="B146:J146"/>
    <mergeCell ref="B171:H171"/>
    <mergeCell ref="B103:H103"/>
    <mergeCell ref="B107:J107"/>
    <mergeCell ref="B108:J108"/>
    <mergeCell ref="B109:J109"/>
    <mergeCell ref="B140:H140"/>
    <mergeCell ref="B144:J144"/>
  </mergeCells>
  <hyperlinks>
    <hyperlink ref="B52" r:id="rId1" xr:uid="{924B444C-95A8-44BD-BCC0-69274EB61CFE}"/>
    <hyperlink ref="B103" r:id="rId2" xr:uid="{CF1C1D24-4588-4902-A1E6-68E1A16C9EB8}"/>
    <hyperlink ref="M4:M5" location="'AUGUST 2024'!A1" display="BULLION" xr:uid="{803B74AF-171B-4066-9913-4D9ECA3C934D}"/>
    <hyperlink ref="B140" r:id="rId3" xr:uid="{6D7D17DD-BCEA-4FA6-9819-E5114510F6E6}"/>
    <hyperlink ref="M8:M9" location="'AUGUST 2024'!A86" display="BASE METAL" xr:uid="{3FA6FA14-99D2-4DBF-8F9C-0D3A2A9C5130}"/>
    <hyperlink ref="M1" location="MASTER!A1" display="Back" xr:uid="{3ED8527E-6D33-4E40-BBFE-F04E4ABEEFAE}"/>
    <hyperlink ref="M6:M7" location="'AUGUST 2024'!A55" display="ENERGY" xr:uid="{6A292DC5-DE4C-402C-8628-76F70A521D9B}"/>
    <hyperlink ref="B171" r:id="rId4" xr:uid="{894E8B02-D6DC-420C-9314-D16163EB39EB}"/>
    <hyperlink ref="M10:M11" location="'AUGUST 2024'!A117" display="CRUDEOIL OPTION" xr:uid="{99594485-61CA-4874-9D1A-7EAF3A7E8DFB}"/>
  </hyperlinks>
  <pageMargins left="0" right="0" top="0" bottom="0" header="0" footer="0"/>
  <pageSetup paperSize="9" orientation="portrait" r:id="rId5"/>
  <drawing r:id="rId6"/>
  <legacyDrawing r:id="rId7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F4DEE-3393-4D1E-9FED-C58FBDDB2B5B}">
  <dimension ref="A1:X172"/>
  <sheetViews>
    <sheetView topLeftCell="A58" zoomScaleNormal="100" workbookViewId="0">
      <selection activeCell="A86" sqref="A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45536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34</v>
      </c>
      <c r="P4" s="369">
        <f>W52</f>
        <v>8</v>
      </c>
      <c r="Q4" s="349">
        <f>N4-O4-P4</f>
        <v>0</v>
      </c>
      <c r="R4" s="343">
        <f>O4/N4</f>
        <v>0.80952380952380953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45537</v>
      </c>
      <c r="D6" s="192" t="s">
        <v>23</v>
      </c>
      <c r="E6" s="192" t="s">
        <v>24</v>
      </c>
      <c r="F6" s="193">
        <v>71720</v>
      </c>
      <c r="G6" s="193">
        <v>71585</v>
      </c>
      <c r="H6" s="192">
        <v>135</v>
      </c>
      <c r="I6" s="193">
        <v>100</v>
      </c>
      <c r="J6" s="267">
        <f>H6*I6</f>
        <v>13500</v>
      </c>
      <c r="K6" s="185"/>
      <c r="M6" s="364" t="s">
        <v>258</v>
      </c>
      <c r="N6" s="347">
        <f>COUNT(C60:C102)</f>
        <v>42</v>
      </c>
      <c r="O6" s="348">
        <f>V103</f>
        <v>37</v>
      </c>
      <c r="P6" s="348">
        <f>W103</f>
        <v>5</v>
      </c>
      <c r="Q6" s="349">
        <v>0</v>
      </c>
      <c r="R6" s="345">
        <f t="shared" ref="R6" si="0">O6/N6</f>
        <v>0.88095238095238093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45537</v>
      </c>
      <c r="D7" s="196" t="s">
        <v>23</v>
      </c>
      <c r="E7" s="196" t="s">
        <v>22</v>
      </c>
      <c r="F7" s="197">
        <v>84800</v>
      </c>
      <c r="G7" s="197">
        <v>84580</v>
      </c>
      <c r="H7" s="196">
        <v>220</v>
      </c>
      <c r="I7" s="197">
        <v>30</v>
      </c>
      <c r="J7" s="268">
        <f t="shared" ref="J7:J51" si="1">H7*I7</f>
        <v>6600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45538</v>
      </c>
      <c r="D8" s="196" t="s">
        <v>23</v>
      </c>
      <c r="E8" s="196" t="s">
        <v>24</v>
      </c>
      <c r="F8" s="197">
        <v>71700</v>
      </c>
      <c r="G8" s="197">
        <v>71500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COUNT(C111:C139)</f>
        <v>21</v>
      </c>
      <c r="O8" s="348">
        <v>16</v>
      </c>
      <c r="P8" s="348">
        <f>W140</f>
        <v>4</v>
      </c>
      <c r="Q8" s="349">
        <v>0</v>
      </c>
      <c r="R8" s="345">
        <f t="shared" ref="R8" si="4">O8/N8</f>
        <v>0.76190476190476186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45538</v>
      </c>
      <c r="D9" s="196" t="s">
        <v>23</v>
      </c>
      <c r="E9" s="196" t="s">
        <v>22</v>
      </c>
      <c r="F9" s="197">
        <v>84400</v>
      </c>
      <c r="G9" s="197">
        <v>83850</v>
      </c>
      <c r="H9" s="196">
        <f>84400-83850</f>
        <v>550</v>
      </c>
      <c r="I9" s="197">
        <v>30</v>
      </c>
      <c r="J9" s="268">
        <f t="shared" si="1"/>
        <v>16500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45539</v>
      </c>
      <c r="D10" s="196" t="s">
        <v>23</v>
      </c>
      <c r="E10" s="196" t="s">
        <v>24</v>
      </c>
      <c r="F10" s="197">
        <v>71270</v>
      </c>
      <c r="G10" s="197">
        <v>71070</v>
      </c>
      <c r="H10" s="196">
        <f>71270-71070</f>
        <v>200</v>
      </c>
      <c r="I10" s="197">
        <v>100</v>
      </c>
      <c r="J10" s="268">
        <f t="shared" si="1"/>
        <v>20000</v>
      </c>
      <c r="K10" s="185"/>
      <c r="M10" s="364" t="s">
        <v>906</v>
      </c>
      <c r="N10" s="347">
        <f>COUNT(C148:C170)</f>
        <v>21</v>
      </c>
      <c r="O10" s="348">
        <f>V171</f>
        <v>18</v>
      </c>
      <c r="P10" s="348">
        <f>W171</f>
        <v>3</v>
      </c>
      <c r="Q10" s="349">
        <f>N10-O10-P10</f>
        <v>0</v>
      </c>
      <c r="R10" s="345">
        <f>O10/N10</f>
        <v>0.8571428571428571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45539</v>
      </c>
      <c r="D11" s="196" t="s">
        <v>23</v>
      </c>
      <c r="E11" s="196" t="s">
        <v>22</v>
      </c>
      <c r="F11" s="197">
        <v>82900</v>
      </c>
      <c r="G11" s="197">
        <v>82600</v>
      </c>
      <c r="H11" s="196">
        <v>300</v>
      </c>
      <c r="I11" s="197">
        <v>30</v>
      </c>
      <c r="J11" s="268">
        <f t="shared" si="1"/>
        <v>9000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45540</v>
      </c>
      <c r="D12" s="196" t="s">
        <v>23</v>
      </c>
      <c r="E12" s="196" t="s">
        <v>24</v>
      </c>
      <c r="F12" s="197">
        <v>71940</v>
      </c>
      <c r="G12" s="197">
        <v>72040</v>
      </c>
      <c r="H12" s="196">
        <v>-100</v>
      </c>
      <c r="I12" s="197">
        <v>100</v>
      </c>
      <c r="J12" s="268">
        <f t="shared" si="1"/>
        <v>-10000</v>
      </c>
      <c r="K12" s="185"/>
      <c r="M12" s="319" t="s">
        <v>300</v>
      </c>
      <c r="N12" s="371">
        <f>SUM(N4:N11)</f>
        <v>126</v>
      </c>
      <c r="O12" s="371">
        <f>SUM(O4:O11)</f>
        <v>105</v>
      </c>
      <c r="P12" s="371">
        <f>SUM(P4:P11)</f>
        <v>20</v>
      </c>
      <c r="Q12" s="371">
        <f>SUM(Q4:Q11)</f>
        <v>0</v>
      </c>
      <c r="R12" s="343">
        <f>O12/N12</f>
        <v>0.83333333333333337</v>
      </c>
      <c r="V12" s="183">
        <f t="shared" si="2"/>
        <v>0</v>
      </c>
      <c r="W12" s="183">
        <f t="shared" si="3"/>
        <v>1</v>
      </c>
    </row>
    <row r="13" spans="1:23" ht="15" thickBot="1" x14ac:dyDescent="0.35">
      <c r="A13" s="184"/>
      <c r="B13" s="194">
        <v>8</v>
      </c>
      <c r="C13" s="195">
        <v>45540</v>
      </c>
      <c r="D13" s="196" t="s">
        <v>23</v>
      </c>
      <c r="E13" s="196" t="s">
        <v>22</v>
      </c>
      <c r="F13" s="197">
        <v>84800</v>
      </c>
      <c r="G13" s="197">
        <v>84650</v>
      </c>
      <c r="H13" s="196">
        <f>84800-84650</f>
        <v>150</v>
      </c>
      <c r="I13" s="197">
        <v>30</v>
      </c>
      <c r="J13" s="268">
        <f t="shared" si="1"/>
        <v>4500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45541</v>
      </c>
      <c r="D14" s="196" t="s">
        <v>23</v>
      </c>
      <c r="E14" s="196" t="s">
        <v>24</v>
      </c>
      <c r="F14" s="197">
        <v>71980</v>
      </c>
      <c r="G14" s="197">
        <v>71880</v>
      </c>
      <c r="H14" s="196">
        <v>100</v>
      </c>
      <c r="I14" s="197">
        <v>100</v>
      </c>
      <c r="J14" s="268">
        <f t="shared" si="1"/>
        <v>10000</v>
      </c>
      <c r="K14" s="185"/>
      <c r="M14" s="323" t="s">
        <v>878</v>
      </c>
      <c r="N14" s="324"/>
      <c r="O14" s="325"/>
      <c r="P14" s="332">
        <f>R12</f>
        <v>0.83333333333333337</v>
      </c>
      <c r="Q14" s="333"/>
      <c r="R14" s="334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45541</v>
      </c>
      <c r="D15" s="196" t="s">
        <v>23</v>
      </c>
      <c r="E15" s="196" t="s">
        <v>22</v>
      </c>
      <c r="F15" s="197">
        <v>85100</v>
      </c>
      <c r="G15" s="197">
        <v>84975</v>
      </c>
      <c r="H15" s="196">
        <f>85100-84975</f>
        <v>125</v>
      </c>
      <c r="I15" s="197">
        <v>30</v>
      </c>
      <c r="J15" s="268">
        <f t="shared" si="1"/>
        <v>3750</v>
      </c>
      <c r="K15" s="185"/>
      <c r="M15" s="326"/>
      <c r="N15" s="327"/>
      <c r="O15" s="328"/>
      <c r="P15" s="335"/>
      <c r="Q15" s="336"/>
      <c r="R15" s="337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45544</v>
      </c>
      <c r="D16" s="196" t="s">
        <v>16</v>
      </c>
      <c r="E16" s="196" t="s">
        <v>24</v>
      </c>
      <c r="F16" s="197">
        <v>71300</v>
      </c>
      <c r="G16" s="197">
        <v>71460</v>
      </c>
      <c r="H16" s="196">
        <v>160</v>
      </c>
      <c r="I16" s="197">
        <v>100</v>
      </c>
      <c r="J16" s="268">
        <f t="shared" si="1"/>
        <v>16000</v>
      </c>
      <c r="K16" s="185"/>
      <c r="M16" s="329"/>
      <c r="N16" s="330"/>
      <c r="O16" s="331"/>
      <c r="P16" s="338"/>
      <c r="Q16" s="339"/>
      <c r="R16" s="340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45544</v>
      </c>
      <c r="D17" s="196" t="s">
        <v>16</v>
      </c>
      <c r="E17" s="196" t="s">
        <v>22</v>
      </c>
      <c r="F17" s="197">
        <v>82900</v>
      </c>
      <c r="G17" s="197">
        <v>83400</v>
      </c>
      <c r="H17" s="196">
        <f>83400-82900</f>
        <v>500</v>
      </c>
      <c r="I17" s="197">
        <v>30</v>
      </c>
      <c r="J17" s="268">
        <f t="shared" si="1"/>
        <v>15000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45545</v>
      </c>
      <c r="D18" s="196" t="s">
        <v>23</v>
      </c>
      <c r="E18" s="196" t="s">
        <v>24</v>
      </c>
      <c r="F18" s="197">
        <v>71650</v>
      </c>
      <c r="G18" s="197">
        <v>71750</v>
      </c>
      <c r="H18" s="196">
        <v>-100</v>
      </c>
      <c r="I18" s="197">
        <v>100</v>
      </c>
      <c r="J18" s="268">
        <f t="shared" si="1"/>
        <v>-10000</v>
      </c>
      <c r="K18" s="185"/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45545</v>
      </c>
      <c r="D19" s="196" t="s">
        <v>23</v>
      </c>
      <c r="E19" s="196" t="s">
        <v>22</v>
      </c>
      <c r="F19" s="197">
        <v>83900</v>
      </c>
      <c r="G19" s="197">
        <v>83700</v>
      </c>
      <c r="H19" s="196">
        <v>200</v>
      </c>
      <c r="I19" s="197">
        <v>30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45546</v>
      </c>
      <c r="D20" s="196" t="s">
        <v>23</v>
      </c>
      <c r="E20" s="196" t="s">
        <v>24</v>
      </c>
      <c r="F20" s="197">
        <v>72150</v>
      </c>
      <c r="G20" s="197">
        <v>71950</v>
      </c>
      <c r="H20" s="196">
        <v>200</v>
      </c>
      <c r="I20" s="197">
        <v>100</v>
      </c>
      <c r="J20" s="268">
        <f t="shared" si="1"/>
        <v>20000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45546</v>
      </c>
      <c r="D21" s="196" t="s">
        <v>23</v>
      </c>
      <c r="E21" s="196" t="s">
        <v>22</v>
      </c>
      <c r="F21" s="197">
        <v>84900</v>
      </c>
      <c r="G21" s="197">
        <v>84300</v>
      </c>
      <c r="H21" s="196">
        <v>600</v>
      </c>
      <c r="I21" s="197">
        <v>30</v>
      </c>
      <c r="J21" s="268">
        <f t="shared" si="1"/>
        <v>18000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45547</v>
      </c>
      <c r="D22" s="196" t="s">
        <v>23</v>
      </c>
      <c r="E22" s="196" t="s">
        <v>24</v>
      </c>
      <c r="F22" s="197">
        <v>72000</v>
      </c>
      <c r="G22" s="197">
        <v>71920</v>
      </c>
      <c r="H22" s="196">
        <f>72000-71920</f>
        <v>80</v>
      </c>
      <c r="I22" s="197">
        <v>100</v>
      </c>
      <c r="J22" s="268">
        <f t="shared" si="1"/>
        <v>8000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45547</v>
      </c>
      <c r="D23" s="196" t="s">
        <v>23</v>
      </c>
      <c r="E23" s="196" t="s">
        <v>22</v>
      </c>
      <c r="F23" s="197">
        <v>84900</v>
      </c>
      <c r="G23" s="197">
        <v>84750</v>
      </c>
      <c r="H23" s="196">
        <f>84900-84750</f>
        <v>150</v>
      </c>
      <c r="I23" s="197">
        <v>30</v>
      </c>
      <c r="J23" s="268">
        <f t="shared" si="1"/>
        <v>4500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45548</v>
      </c>
      <c r="D24" s="196" t="s">
        <v>23</v>
      </c>
      <c r="E24" s="196" t="s">
        <v>24</v>
      </c>
      <c r="F24" s="197">
        <v>73200</v>
      </c>
      <c r="G24" s="197">
        <v>73100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45548</v>
      </c>
      <c r="D25" s="196" t="s">
        <v>23</v>
      </c>
      <c r="E25" s="196" t="s">
        <v>22</v>
      </c>
      <c r="F25" s="197">
        <v>88000</v>
      </c>
      <c r="G25" s="197">
        <v>87700</v>
      </c>
      <c r="H25" s="196">
        <f>88000-87700</f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45549</v>
      </c>
      <c r="D26" s="196" t="s">
        <v>23</v>
      </c>
      <c r="E26" s="196" t="s">
        <v>24</v>
      </c>
      <c r="F26" s="197">
        <v>73700</v>
      </c>
      <c r="G26" s="197">
        <v>73500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45549</v>
      </c>
      <c r="D27" s="196" t="s">
        <v>23</v>
      </c>
      <c r="E27" s="196" t="s">
        <v>22</v>
      </c>
      <c r="F27" s="197">
        <v>90000</v>
      </c>
      <c r="G27" s="197">
        <v>89850</v>
      </c>
      <c r="H27" s="196">
        <f>90000-89850</f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45552</v>
      </c>
      <c r="D28" s="196" t="s">
        <v>23</v>
      </c>
      <c r="E28" s="196" t="s">
        <v>24</v>
      </c>
      <c r="F28" s="197">
        <v>73460</v>
      </c>
      <c r="G28" s="197">
        <v>73260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45552</v>
      </c>
      <c r="D29" s="196" t="s">
        <v>23</v>
      </c>
      <c r="E29" s="196" t="s">
        <v>22</v>
      </c>
      <c r="F29" s="197">
        <v>89400</v>
      </c>
      <c r="G29" s="197">
        <v>89000</v>
      </c>
      <c r="H29" s="196">
        <v>400</v>
      </c>
      <c r="I29" s="197">
        <v>30</v>
      </c>
      <c r="J29" s="268">
        <f t="shared" si="1"/>
        <v>12000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45553</v>
      </c>
      <c r="D30" s="196" t="s">
        <v>23</v>
      </c>
      <c r="E30" s="196" t="s">
        <v>24</v>
      </c>
      <c r="F30" s="197">
        <v>73150</v>
      </c>
      <c r="G30" s="197">
        <v>73050</v>
      </c>
      <c r="H30" s="196">
        <f>73150-73050</f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45553</v>
      </c>
      <c r="D31" s="196" t="s">
        <v>23</v>
      </c>
      <c r="E31" s="196" t="s">
        <v>22</v>
      </c>
      <c r="F31" s="197">
        <v>89000</v>
      </c>
      <c r="G31" s="197">
        <v>88850</v>
      </c>
      <c r="H31" s="196">
        <f>89000-88850</f>
        <v>150</v>
      </c>
      <c r="I31" s="197">
        <v>30</v>
      </c>
      <c r="J31" s="268">
        <f t="shared" si="1"/>
        <v>4500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45554</v>
      </c>
      <c r="D32" s="196" t="s">
        <v>23</v>
      </c>
      <c r="E32" s="196" t="s">
        <v>24</v>
      </c>
      <c r="F32" s="197">
        <v>73550</v>
      </c>
      <c r="G32" s="197">
        <v>73350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45554</v>
      </c>
      <c r="D33" s="196" t="s">
        <v>23</v>
      </c>
      <c r="E33" s="196" t="s">
        <v>22</v>
      </c>
      <c r="F33" s="197">
        <v>90500</v>
      </c>
      <c r="G33" s="197">
        <v>90080</v>
      </c>
      <c r="H33" s="196">
        <v>420</v>
      </c>
      <c r="I33" s="197">
        <v>30</v>
      </c>
      <c r="J33" s="268">
        <f t="shared" si="1"/>
        <v>12600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45555</v>
      </c>
      <c r="D34" s="196" t="s">
        <v>23</v>
      </c>
      <c r="E34" s="196" t="s">
        <v>24</v>
      </c>
      <c r="F34" s="197">
        <v>73830</v>
      </c>
      <c r="G34" s="197">
        <v>73930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45555</v>
      </c>
      <c r="D35" s="196" t="s">
        <v>23</v>
      </c>
      <c r="E35" s="196" t="s">
        <v>22</v>
      </c>
      <c r="F35" s="197">
        <v>90100</v>
      </c>
      <c r="G35" s="197">
        <v>90400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>
        <v>45558</v>
      </c>
      <c r="D36" s="196" t="s">
        <v>23</v>
      </c>
      <c r="E36" s="196" t="s">
        <v>24</v>
      </c>
      <c r="F36" s="197">
        <v>74080</v>
      </c>
      <c r="G36" s="197">
        <v>74180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3"/>
        <v>1</v>
      </c>
    </row>
    <row r="37" spans="1:23" x14ac:dyDescent="0.3">
      <c r="A37" s="184"/>
      <c r="B37" s="194">
        <v>32</v>
      </c>
      <c r="C37" s="195">
        <v>45558</v>
      </c>
      <c r="D37" s="196" t="s">
        <v>23</v>
      </c>
      <c r="E37" s="196" t="s">
        <v>22</v>
      </c>
      <c r="F37" s="197">
        <v>88600</v>
      </c>
      <c r="G37" s="197">
        <v>88900</v>
      </c>
      <c r="H37" s="196"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45559</v>
      </c>
      <c r="D38" s="196" t="s">
        <v>23</v>
      </c>
      <c r="E38" s="196" t="s">
        <v>24</v>
      </c>
      <c r="F38" s="197">
        <v>74500</v>
      </c>
      <c r="G38" s="197">
        <v>74450</v>
      </c>
      <c r="H38" s="196">
        <v>50</v>
      </c>
      <c r="I38" s="197">
        <v>100</v>
      </c>
      <c r="J38" s="268">
        <f t="shared" si="1"/>
        <v>5000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45559</v>
      </c>
      <c r="D39" s="196" t="s">
        <v>23</v>
      </c>
      <c r="E39" s="196" t="s">
        <v>22</v>
      </c>
      <c r="F39" s="197">
        <v>89700</v>
      </c>
      <c r="G39" s="197">
        <v>89525</v>
      </c>
      <c r="H39" s="196">
        <f>89700-89525</f>
        <v>175</v>
      </c>
      <c r="I39" s="197">
        <v>30</v>
      </c>
      <c r="J39" s="268">
        <f t="shared" si="1"/>
        <v>5250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45560</v>
      </c>
      <c r="D40" s="196" t="s">
        <v>23</v>
      </c>
      <c r="E40" s="196" t="s">
        <v>24</v>
      </c>
      <c r="F40" s="197">
        <v>75120</v>
      </c>
      <c r="G40" s="197">
        <v>75020</v>
      </c>
      <c r="H40" s="196">
        <v>-100</v>
      </c>
      <c r="I40" s="197">
        <v>100</v>
      </c>
      <c r="J40" s="268">
        <f t="shared" si="1"/>
        <v>-10000</v>
      </c>
      <c r="K40" s="185"/>
      <c r="N40" s="183" t="s">
        <v>0</v>
      </c>
      <c r="V40" s="183">
        <f t="shared" si="2"/>
        <v>0</v>
      </c>
      <c r="W40" s="183">
        <f t="shared" si="3"/>
        <v>1</v>
      </c>
    </row>
    <row r="41" spans="1:23" x14ac:dyDescent="0.3">
      <c r="A41" s="184"/>
      <c r="B41" s="194">
        <v>36</v>
      </c>
      <c r="C41" s="195">
        <v>45560</v>
      </c>
      <c r="D41" s="196" t="s">
        <v>23</v>
      </c>
      <c r="E41" s="196" t="s">
        <v>22</v>
      </c>
      <c r="F41" s="197">
        <v>91850</v>
      </c>
      <c r="G41" s="197">
        <v>91750</v>
      </c>
      <c r="H41" s="196">
        <v>100</v>
      </c>
      <c r="I41" s="197">
        <v>30</v>
      </c>
      <c r="J41" s="268">
        <f t="shared" si="1"/>
        <v>3000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45561</v>
      </c>
      <c r="D42" s="196" t="s">
        <v>16</v>
      </c>
      <c r="E42" s="196" t="s">
        <v>24</v>
      </c>
      <c r="F42" s="197">
        <v>75300</v>
      </c>
      <c r="G42" s="197">
        <v>75500</v>
      </c>
      <c r="H42" s="196">
        <v>200</v>
      </c>
      <c r="I42" s="197">
        <v>100</v>
      </c>
      <c r="J42" s="268">
        <f t="shared" si="1"/>
        <v>20000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45561</v>
      </c>
      <c r="D43" s="196" t="s">
        <v>16</v>
      </c>
      <c r="E43" s="196" t="s">
        <v>22</v>
      </c>
      <c r="F43" s="197">
        <v>92500</v>
      </c>
      <c r="G43" s="197">
        <v>93100</v>
      </c>
      <c r="H43" s="196">
        <v>600</v>
      </c>
      <c r="I43" s="197">
        <v>30</v>
      </c>
      <c r="J43" s="268">
        <f t="shared" si="1"/>
        <v>18000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45562</v>
      </c>
      <c r="D44" s="196" t="s">
        <v>16</v>
      </c>
      <c r="E44" s="196" t="s">
        <v>24</v>
      </c>
      <c r="F44" s="197">
        <v>75130</v>
      </c>
      <c r="G44" s="197">
        <v>75180</v>
      </c>
      <c r="H44" s="196">
        <v>50</v>
      </c>
      <c r="I44" s="197">
        <v>100</v>
      </c>
      <c r="J44" s="268">
        <f t="shared" si="1"/>
        <v>5000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45562</v>
      </c>
      <c r="D45" s="196" t="s">
        <v>16</v>
      </c>
      <c r="E45" s="196" t="s">
        <v>22</v>
      </c>
      <c r="F45" s="197">
        <v>92100</v>
      </c>
      <c r="G45" s="197">
        <v>91800</v>
      </c>
      <c r="H45" s="196">
        <v>-300</v>
      </c>
      <c r="I45" s="197">
        <v>30</v>
      </c>
      <c r="J45" s="268">
        <f t="shared" si="1"/>
        <v>-9000</v>
      </c>
      <c r="K45" s="185"/>
      <c r="V45" s="183">
        <f t="shared" si="2"/>
        <v>0</v>
      </c>
      <c r="W45" s="183">
        <f t="shared" si="3"/>
        <v>1</v>
      </c>
    </row>
    <row r="46" spans="1:23" x14ac:dyDescent="0.3">
      <c r="A46" s="184"/>
      <c r="B46" s="194">
        <v>41</v>
      </c>
      <c r="C46" s="195">
        <v>45565</v>
      </c>
      <c r="D46" s="196" t="s">
        <v>23</v>
      </c>
      <c r="E46" s="196" t="s">
        <v>24</v>
      </c>
      <c r="F46" s="197">
        <v>76000</v>
      </c>
      <c r="G46" s="197">
        <v>75800</v>
      </c>
      <c r="H46" s="196">
        <v>200</v>
      </c>
      <c r="I46" s="197">
        <v>100</v>
      </c>
      <c r="J46" s="268">
        <f t="shared" si="1"/>
        <v>20000</v>
      </c>
      <c r="K46" s="185"/>
      <c r="V46" s="183">
        <f t="shared" si="2"/>
        <v>1</v>
      </c>
      <c r="W46" s="183">
        <f t="shared" si="3"/>
        <v>0</v>
      </c>
    </row>
    <row r="47" spans="1:23" ht="15" thickBot="1" x14ac:dyDescent="0.35">
      <c r="A47" s="184"/>
      <c r="B47" s="194">
        <v>42</v>
      </c>
      <c r="C47" s="195">
        <v>45565</v>
      </c>
      <c r="D47" s="196" t="s">
        <v>23</v>
      </c>
      <c r="E47" s="196" t="s">
        <v>22</v>
      </c>
      <c r="F47" s="197">
        <v>91550</v>
      </c>
      <c r="G47" s="197">
        <v>90950</v>
      </c>
      <c r="H47" s="196">
        <v>600</v>
      </c>
      <c r="I47" s="197">
        <v>30</v>
      </c>
      <c r="J47" s="268">
        <f t="shared" si="1"/>
        <v>18000</v>
      </c>
      <c r="K47" s="185"/>
      <c r="V47" s="183">
        <f t="shared" si="2"/>
        <v>1</v>
      </c>
      <c r="W47" s="183">
        <f t="shared" si="3"/>
        <v>0</v>
      </c>
    </row>
    <row r="48" spans="1:23" ht="15" hidden="1" thickBot="1" x14ac:dyDescent="0.35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t="15" hidden="1" thickBot="1" x14ac:dyDescent="0.35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hidden="1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hidden="1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331200</v>
      </c>
      <c r="K52" s="185"/>
      <c r="V52" s="183">
        <f>SUM(V6:V51)</f>
        <v>34</v>
      </c>
      <c r="W52" s="183">
        <f>SUM(W6:W51)</f>
        <v>8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45536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45537</v>
      </c>
      <c r="D60" s="192" t="s">
        <v>23</v>
      </c>
      <c r="E60" s="192" t="s">
        <v>25</v>
      </c>
      <c r="F60" s="193">
        <v>6215</v>
      </c>
      <c r="G60" s="193">
        <v>6175</v>
      </c>
      <c r="H60" s="192">
        <v>40</v>
      </c>
      <c r="I60" s="193">
        <v>100</v>
      </c>
      <c r="J60" s="267">
        <f t="shared" ref="J60:J102" si="5">I60*H60</f>
        <v>4000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45537</v>
      </c>
      <c r="D61" s="196" t="s">
        <v>23</v>
      </c>
      <c r="E61" s="196" t="s">
        <v>939</v>
      </c>
      <c r="F61" s="222">
        <v>182.5</v>
      </c>
      <c r="G61" s="222">
        <v>181.5</v>
      </c>
      <c r="H61" s="222">
        <v>1</v>
      </c>
      <c r="I61" s="197">
        <v>2500</v>
      </c>
      <c r="J61" s="268">
        <f t="shared" si="5"/>
        <v>2500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45538</v>
      </c>
      <c r="D62" s="196" t="s">
        <v>23</v>
      </c>
      <c r="E62" s="196" t="s">
        <v>25</v>
      </c>
      <c r="F62" s="197">
        <v>6180</v>
      </c>
      <c r="G62" s="197">
        <v>6220</v>
      </c>
      <c r="H62" s="222">
        <v>-40</v>
      </c>
      <c r="I62" s="197">
        <v>100</v>
      </c>
      <c r="J62" s="268">
        <f t="shared" si="5"/>
        <v>-4000</v>
      </c>
      <c r="K62" s="185"/>
      <c r="V62" s="183">
        <f t="shared" si="6"/>
        <v>0</v>
      </c>
      <c r="W62" s="183">
        <f t="shared" si="7"/>
        <v>1</v>
      </c>
    </row>
    <row r="63" spans="1:23" x14ac:dyDescent="0.3">
      <c r="A63" s="184"/>
      <c r="B63" s="194">
        <v>4</v>
      </c>
      <c r="C63" s="195">
        <v>45538</v>
      </c>
      <c r="D63" s="196" t="s">
        <v>23</v>
      </c>
      <c r="E63" s="196" t="s">
        <v>939</v>
      </c>
      <c r="F63" s="222">
        <v>184</v>
      </c>
      <c r="G63" s="222">
        <v>180</v>
      </c>
      <c r="H63" s="222">
        <v>4</v>
      </c>
      <c r="I63" s="197">
        <v>2500</v>
      </c>
      <c r="J63" s="268">
        <f t="shared" si="5"/>
        <v>10000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45539</v>
      </c>
      <c r="D64" s="196" t="s">
        <v>23</v>
      </c>
      <c r="E64" s="196" t="s">
        <v>25</v>
      </c>
      <c r="F64" s="197">
        <v>5860</v>
      </c>
      <c r="G64" s="197">
        <v>5900</v>
      </c>
      <c r="H64" s="196">
        <v>-40</v>
      </c>
      <c r="I64" s="197">
        <v>100</v>
      </c>
      <c r="J64" s="268">
        <f t="shared" si="5"/>
        <v>-4000</v>
      </c>
      <c r="K64" s="185"/>
      <c r="V64" s="183">
        <f t="shared" si="6"/>
        <v>0</v>
      </c>
      <c r="W64" s="183">
        <f t="shared" si="7"/>
        <v>1</v>
      </c>
    </row>
    <row r="65" spans="1:23" x14ac:dyDescent="0.3">
      <c r="A65" s="184"/>
      <c r="B65" s="194">
        <v>6</v>
      </c>
      <c r="C65" s="195">
        <v>45539</v>
      </c>
      <c r="D65" s="196" t="s">
        <v>23</v>
      </c>
      <c r="E65" s="196" t="s">
        <v>939</v>
      </c>
      <c r="F65" s="222">
        <v>186</v>
      </c>
      <c r="G65" s="222">
        <v>184</v>
      </c>
      <c r="H65" s="196">
        <v>2</v>
      </c>
      <c r="I65" s="197">
        <v>2500</v>
      </c>
      <c r="J65" s="268">
        <f t="shared" si="5"/>
        <v>5000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45540</v>
      </c>
      <c r="D66" s="196" t="s">
        <v>23</v>
      </c>
      <c r="E66" s="196" t="s">
        <v>25</v>
      </c>
      <c r="F66" s="222">
        <v>5880</v>
      </c>
      <c r="G66" s="222">
        <v>5850</v>
      </c>
      <c r="H66" s="196">
        <v>30</v>
      </c>
      <c r="I66" s="197">
        <v>100</v>
      </c>
      <c r="J66" s="268">
        <f t="shared" si="5"/>
        <v>3000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45540</v>
      </c>
      <c r="D67" s="196" t="s">
        <v>23</v>
      </c>
      <c r="E67" s="196" t="s">
        <v>939</v>
      </c>
      <c r="F67" s="222">
        <v>181</v>
      </c>
      <c r="G67" s="222">
        <v>180</v>
      </c>
      <c r="H67" s="222">
        <v>1</v>
      </c>
      <c r="I67" s="197">
        <v>2500</v>
      </c>
      <c r="J67" s="268">
        <f t="shared" si="5"/>
        <v>2500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45541</v>
      </c>
      <c r="D68" s="196" t="s">
        <v>23</v>
      </c>
      <c r="E68" s="196" t="s">
        <v>25</v>
      </c>
      <c r="F68" s="197">
        <v>5860</v>
      </c>
      <c r="G68" s="197">
        <v>5835</v>
      </c>
      <c r="H68" s="196">
        <f>5860-5835</f>
        <v>25</v>
      </c>
      <c r="I68" s="197">
        <v>100</v>
      </c>
      <c r="J68" s="268">
        <f t="shared" si="5"/>
        <v>2500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45541</v>
      </c>
      <c r="D69" s="196" t="s">
        <v>23</v>
      </c>
      <c r="E69" s="196" t="s">
        <v>939</v>
      </c>
      <c r="F69" s="222">
        <v>192</v>
      </c>
      <c r="G69" s="222">
        <v>189.5</v>
      </c>
      <c r="H69" s="222">
        <f>192-189.5</f>
        <v>2.5</v>
      </c>
      <c r="I69" s="197">
        <v>2500</v>
      </c>
      <c r="J69" s="268">
        <f t="shared" si="5"/>
        <v>6250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45544</v>
      </c>
      <c r="D70" s="196" t="s">
        <v>16</v>
      </c>
      <c r="E70" s="196" t="s">
        <v>25</v>
      </c>
      <c r="F70" s="197">
        <v>5750</v>
      </c>
      <c r="G70" s="222">
        <v>5790</v>
      </c>
      <c r="H70" s="196">
        <f>5790-5750</f>
        <v>40</v>
      </c>
      <c r="I70" s="197">
        <v>100</v>
      </c>
      <c r="J70" s="268">
        <f t="shared" si="5"/>
        <v>4000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45544</v>
      </c>
      <c r="D71" s="196" t="s">
        <v>16</v>
      </c>
      <c r="E71" s="196" t="s">
        <v>939</v>
      </c>
      <c r="F71" s="222">
        <v>186</v>
      </c>
      <c r="G71" s="222">
        <v>183</v>
      </c>
      <c r="H71" s="222">
        <v>3</v>
      </c>
      <c r="I71" s="197">
        <v>2500</v>
      </c>
      <c r="J71" s="268">
        <f t="shared" si="5"/>
        <v>7500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45545</v>
      </c>
      <c r="D72" s="196" t="s">
        <v>23</v>
      </c>
      <c r="E72" s="196" t="s">
        <v>25</v>
      </c>
      <c r="F72" s="197">
        <v>5760</v>
      </c>
      <c r="G72" s="222">
        <v>5690</v>
      </c>
      <c r="H72" s="196">
        <f>5760-5690</f>
        <v>70</v>
      </c>
      <c r="I72" s="197">
        <v>100</v>
      </c>
      <c r="J72" s="268">
        <f t="shared" si="5"/>
        <v>7000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45545</v>
      </c>
      <c r="D73" s="196" t="s">
        <v>23</v>
      </c>
      <c r="E73" s="196" t="s">
        <v>939</v>
      </c>
      <c r="F73" s="222">
        <v>182</v>
      </c>
      <c r="G73" s="222">
        <v>185</v>
      </c>
      <c r="H73" s="196">
        <v>-3</v>
      </c>
      <c r="I73" s="197">
        <v>2500</v>
      </c>
      <c r="J73" s="268">
        <f t="shared" si="5"/>
        <v>-7500</v>
      </c>
      <c r="K73" s="185"/>
      <c r="V73" s="183">
        <f t="shared" si="6"/>
        <v>0</v>
      </c>
      <c r="W73" s="183">
        <f t="shared" si="7"/>
        <v>1</v>
      </c>
    </row>
    <row r="74" spans="1:23" x14ac:dyDescent="0.3">
      <c r="A74" s="184"/>
      <c r="B74" s="194">
        <v>15</v>
      </c>
      <c r="C74" s="195">
        <v>45546</v>
      </c>
      <c r="D74" s="196" t="s">
        <v>23</v>
      </c>
      <c r="E74" s="196" t="s">
        <v>25</v>
      </c>
      <c r="F74" s="197">
        <v>5650</v>
      </c>
      <c r="G74" s="222">
        <v>5625</v>
      </c>
      <c r="H74" s="196">
        <f>5650-5625</f>
        <v>25</v>
      </c>
      <c r="I74" s="197">
        <v>100</v>
      </c>
      <c r="J74" s="268">
        <f t="shared" si="5"/>
        <v>2500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45546</v>
      </c>
      <c r="D75" s="196" t="s">
        <v>23</v>
      </c>
      <c r="E75" s="196" t="s">
        <v>939</v>
      </c>
      <c r="F75" s="222">
        <v>188.5</v>
      </c>
      <c r="G75" s="222">
        <v>186.5</v>
      </c>
      <c r="H75" s="196">
        <v>2</v>
      </c>
      <c r="I75" s="197">
        <v>2500</v>
      </c>
      <c r="J75" s="268">
        <f t="shared" si="5"/>
        <v>5000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45547</v>
      </c>
      <c r="D76" s="196" t="s">
        <v>23</v>
      </c>
      <c r="E76" s="196" t="s">
        <v>25</v>
      </c>
      <c r="F76" s="197">
        <v>5730</v>
      </c>
      <c r="G76" s="197">
        <v>5712</v>
      </c>
      <c r="H76" s="196">
        <f>5730-5712</f>
        <v>18</v>
      </c>
      <c r="I76" s="197">
        <v>100</v>
      </c>
      <c r="J76" s="268">
        <f t="shared" si="5"/>
        <v>1800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45547</v>
      </c>
      <c r="D77" s="196" t="s">
        <v>23</v>
      </c>
      <c r="E77" s="196" t="s">
        <v>939</v>
      </c>
      <c r="F77" s="222">
        <v>190</v>
      </c>
      <c r="G77" s="222">
        <v>187</v>
      </c>
      <c r="H77" s="222">
        <v>3</v>
      </c>
      <c r="I77" s="197">
        <v>2500</v>
      </c>
      <c r="J77" s="268">
        <f t="shared" si="5"/>
        <v>7500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45548</v>
      </c>
      <c r="D78" s="196" t="s">
        <v>23</v>
      </c>
      <c r="E78" s="196" t="s">
        <v>25</v>
      </c>
      <c r="F78" s="197">
        <v>5870</v>
      </c>
      <c r="G78" s="197">
        <v>5850</v>
      </c>
      <c r="H78" s="196">
        <v>20</v>
      </c>
      <c r="I78" s="197">
        <v>100</v>
      </c>
      <c r="J78" s="268">
        <f t="shared" si="5"/>
        <v>2000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45548</v>
      </c>
      <c r="D79" s="196" t="s">
        <v>23</v>
      </c>
      <c r="E79" s="196" t="s">
        <v>939</v>
      </c>
      <c r="F79" s="222">
        <v>200</v>
      </c>
      <c r="G79" s="222">
        <v>199</v>
      </c>
      <c r="H79" s="196">
        <v>1</v>
      </c>
      <c r="I79" s="197">
        <v>2500</v>
      </c>
      <c r="J79" s="268">
        <f t="shared" si="5"/>
        <v>2500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45549</v>
      </c>
      <c r="D80" s="196" t="s">
        <v>23</v>
      </c>
      <c r="E80" s="196" t="s">
        <v>25</v>
      </c>
      <c r="F80" s="197">
        <v>5835</v>
      </c>
      <c r="G80" s="197">
        <v>5785</v>
      </c>
      <c r="H80" s="196">
        <f>5835-5785</f>
        <v>50</v>
      </c>
      <c r="I80" s="197">
        <v>100</v>
      </c>
      <c r="J80" s="268">
        <f t="shared" si="5"/>
        <v>5000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45549</v>
      </c>
      <c r="D81" s="196" t="s">
        <v>23</v>
      </c>
      <c r="E81" s="196" t="s">
        <v>939</v>
      </c>
      <c r="F81" s="197">
        <v>193</v>
      </c>
      <c r="G81" s="222">
        <v>191</v>
      </c>
      <c r="H81" s="222">
        <v>2</v>
      </c>
      <c r="I81" s="197">
        <v>2500</v>
      </c>
      <c r="J81" s="268">
        <f t="shared" si="5"/>
        <v>5000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45552</v>
      </c>
      <c r="D82" s="196" t="s">
        <v>23</v>
      </c>
      <c r="E82" s="196" t="s">
        <v>25</v>
      </c>
      <c r="F82" s="197">
        <v>5890</v>
      </c>
      <c r="G82" s="197">
        <v>5840</v>
      </c>
      <c r="H82" s="196">
        <v>50</v>
      </c>
      <c r="I82" s="197">
        <v>100</v>
      </c>
      <c r="J82" s="268">
        <f t="shared" si="5"/>
        <v>5000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45552</v>
      </c>
      <c r="D83" s="196" t="s">
        <v>23</v>
      </c>
      <c r="E83" s="196" t="s">
        <v>939</v>
      </c>
      <c r="F83" s="197">
        <v>200</v>
      </c>
      <c r="G83" s="222">
        <v>198.5</v>
      </c>
      <c r="H83" s="222">
        <f>200-198.5</f>
        <v>1.5</v>
      </c>
      <c r="I83" s="197">
        <v>2500</v>
      </c>
      <c r="J83" s="268">
        <f t="shared" si="5"/>
        <v>3750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184"/>
      <c r="B84" s="194">
        <v>25</v>
      </c>
      <c r="C84" s="195">
        <v>45553</v>
      </c>
      <c r="D84" s="196" t="s">
        <v>23</v>
      </c>
      <c r="E84" s="196" t="s">
        <v>25</v>
      </c>
      <c r="F84" s="197">
        <v>5830</v>
      </c>
      <c r="G84" s="222">
        <v>5779</v>
      </c>
      <c r="H84" s="222">
        <f>5830-5779</f>
        <v>51</v>
      </c>
      <c r="I84" s="197">
        <v>100</v>
      </c>
      <c r="J84" s="268">
        <f t="shared" si="5"/>
        <v>5100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45553</v>
      </c>
      <c r="D85" s="196" t="s">
        <v>23</v>
      </c>
      <c r="E85" s="196" t="s">
        <v>939</v>
      </c>
      <c r="F85" s="222">
        <v>195</v>
      </c>
      <c r="G85" s="222">
        <v>194</v>
      </c>
      <c r="H85" s="196">
        <v>1</v>
      </c>
      <c r="I85" s="197">
        <v>2500</v>
      </c>
      <c r="J85" s="268">
        <f t="shared" si="5"/>
        <v>2500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45554</v>
      </c>
      <c r="D86" s="196" t="s">
        <v>23</v>
      </c>
      <c r="E86" s="196" t="s">
        <v>25</v>
      </c>
      <c r="F86" s="197">
        <v>5945</v>
      </c>
      <c r="G86" s="197">
        <v>5905</v>
      </c>
      <c r="H86" s="196">
        <v>40</v>
      </c>
      <c r="I86" s="197">
        <v>100</v>
      </c>
      <c r="J86" s="268">
        <f t="shared" si="5"/>
        <v>4000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45554</v>
      </c>
      <c r="D87" s="196" t="s">
        <v>23</v>
      </c>
      <c r="E87" s="196" t="s">
        <v>939</v>
      </c>
      <c r="F87" s="222">
        <v>193.5</v>
      </c>
      <c r="G87" s="222">
        <v>189.3</v>
      </c>
      <c r="H87" s="222">
        <f>193.5-189.3</f>
        <v>4.1999999999999886</v>
      </c>
      <c r="I87" s="197">
        <v>2500</v>
      </c>
      <c r="J87" s="268">
        <f t="shared" si="5"/>
        <v>10499.999999999971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45555</v>
      </c>
      <c r="D88" s="196" t="s">
        <v>23</v>
      </c>
      <c r="E88" s="196" t="s">
        <v>25</v>
      </c>
      <c r="F88" s="197">
        <v>5935</v>
      </c>
      <c r="G88" s="197">
        <v>5913</v>
      </c>
      <c r="H88" s="196">
        <f>5935-5913</f>
        <v>22</v>
      </c>
      <c r="I88" s="197">
        <v>100</v>
      </c>
      <c r="J88" s="268">
        <f t="shared" si="5"/>
        <v>2200</v>
      </c>
      <c r="K88" s="185"/>
      <c r="V88" s="183">
        <f t="shared" si="6"/>
        <v>1</v>
      </c>
      <c r="W88" s="183">
        <f t="shared" si="7"/>
        <v>0</v>
      </c>
    </row>
    <row r="89" spans="1:23" x14ac:dyDescent="0.3">
      <c r="A89" s="184"/>
      <c r="B89" s="194">
        <v>30</v>
      </c>
      <c r="C89" s="195">
        <v>45555</v>
      </c>
      <c r="D89" s="196" t="s">
        <v>23</v>
      </c>
      <c r="E89" s="196" t="s">
        <v>939</v>
      </c>
      <c r="F89" s="222">
        <v>196</v>
      </c>
      <c r="G89" s="222">
        <v>194</v>
      </c>
      <c r="H89" s="196">
        <v>2</v>
      </c>
      <c r="I89" s="197">
        <v>2500</v>
      </c>
      <c r="J89" s="268">
        <f t="shared" si="5"/>
        <v>5000</v>
      </c>
      <c r="K89" s="185"/>
      <c r="V89" s="183">
        <f t="shared" si="6"/>
        <v>1</v>
      </c>
      <c r="W89" s="183">
        <f t="shared" si="7"/>
        <v>0</v>
      </c>
    </row>
    <row r="90" spans="1:23" x14ac:dyDescent="0.3">
      <c r="A90" s="184"/>
      <c r="B90" s="194">
        <v>31</v>
      </c>
      <c r="C90" s="195">
        <v>45558</v>
      </c>
      <c r="D90" s="196" t="s">
        <v>23</v>
      </c>
      <c r="E90" s="196" t="s">
        <v>25</v>
      </c>
      <c r="F90" s="197">
        <v>5960</v>
      </c>
      <c r="G90" s="197">
        <v>5942</v>
      </c>
      <c r="H90" s="196">
        <f>5960-5942</f>
        <v>18</v>
      </c>
      <c r="I90" s="197">
        <v>100</v>
      </c>
      <c r="J90" s="268">
        <f t="shared" si="5"/>
        <v>1800</v>
      </c>
      <c r="K90" s="185"/>
      <c r="V90" s="183">
        <f t="shared" si="6"/>
        <v>1</v>
      </c>
      <c r="W90" s="183">
        <f t="shared" si="7"/>
        <v>0</v>
      </c>
    </row>
    <row r="91" spans="1:23" x14ac:dyDescent="0.3">
      <c r="A91" s="184"/>
      <c r="B91" s="194">
        <v>32</v>
      </c>
      <c r="C91" s="195">
        <v>45558</v>
      </c>
      <c r="D91" s="196" t="s">
        <v>23</v>
      </c>
      <c r="E91" s="196" t="s">
        <v>939</v>
      </c>
      <c r="F91" s="222">
        <v>208</v>
      </c>
      <c r="G91" s="222">
        <v>206</v>
      </c>
      <c r="H91" s="222">
        <v>2</v>
      </c>
      <c r="I91" s="197">
        <v>2500</v>
      </c>
      <c r="J91" s="268">
        <f t="shared" si="5"/>
        <v>5000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45559</v>
      </c>
      <c r="D92" s="196" t="s">
        <v>23</v>
      </c>
      <c r="E92" s="196" t="s">
        <v>25</v>
      </c>
      <c r="F92" s="197">
        <v>6055</v>
      </c>
      <c r="G92" s="197">
        <v>6029</v>
      </c>
      <c r="H92" s="196">
        <f>6055-6029</f>
        <v>26</v>
      </c>
      <c r="I92" s="197">
        <v>100</v>
      </c>
      <c r="J92" s="268">
        <f t="shared" si="5"/>
        <v>2600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45559</v>
      </c>
      <c r="D93" s="196" t="s">
        <v>23</v>
      </c>
      <c r="E93" s="196" t="s">
        <v>939</v>
      </c>
      <c r="F93" s="222">
        <v>222</v>
      </c>
      <c r="G93" s="222">
        <v>221</v>
      </c>
      <c r="H93" s="222">
        <v>1</v>
      </c>
      <c r="I93" s="197">
        <v>2500</v>
      </c>
      <c r="J93" s="268">
        <f t="shared" si="5"/>
        <v>2500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45560</v>
      </c>
      <c r="D94" s="196" t="s">
        <v>23</v>
      </c>
      <c r="E94" s="196" t="s">
        <v>25</v>
      </c>
      <c r="F94" s="197">
        <v>6000</v>
      </c>
      <c r="G94" s="197">
        <v>5957</v>
      </c>
      <c r="H94" s="196">
        <f>6000-5957</f>
        <v>43</v>
      </c>
      <c r="I94" s="197">
        <v>100</v>
      </c>
      <c r="J94" s="268">
        <f t="shared" si="5"/>
        <v>4300</v>
      </c>
      <c r="K94" s="185"/>
      <c r="V94" s="183">
        <f t="shared" si="6"/>
        <v>1</v>
      </c>
      <c r="W94" s="183">
        <f t="shared" si="7"/>
        <v>0</v>
      </c>
    </row>
    <row r="95" spans="1:23" x14ac:dyDescent="0.3">
      <c r="A95" s="184"/>
      <c r="B95" s="194">
        <v>36</v>
      </c>
      <c r="C95" s="195">
        <v>45560</v>
      </c>
      <c r="D95" s="196" t="s">
        <v>23</v>
      </c>
      <c r="E95" s="196" t="s">
        <v>939</v>
      </c>
      <c r="F95" s="197">
        <v>217</v>
      </c>
      <c r="G95" s="222">
        <v>220</v>
      </c>
      <c r="H95" s="222">
        <v>-3</v>
      </c>
      <c r="I95" s="197">
        <v>2500</v>
      </c>
      <c r="J95" s="268">
        <f t="shared" si="5"/>
        <v>-7500</v>
      </c>
      <c r="K95" s="185"/>
      <c r="V95" s="183">
        <f t="shared" si="6"/>
        <v>0</v>
      </c>
      <c r="W95" s="183">
        <f t="shared" si="7"/>
        <v>1</v>
      </c>
    </row>
    <row r="96" spans="1:23" x14ac:dyDescent="0.3">
      <c r="A96" s="184"/>
      <c r="B96" s="194">
        <v>37</v>
      </c>
      <c r="C96" s="195">
        <v>45561</v>
      </c>
      <c r="D96" s="196" t="s">
        <v>16</v>
      </c>
      <c r="E96" s="196" t="s">
        <v>25</v>
      </c>
      <c r="F96" s="197">
        <v>5710</v>
      </c>
      <c r="G96" s="197">
        <v>5770</v>
      </c>
      <c r="H96" s="196">
        <v>60</v>
      </c>
      <c r="I96" s="197">
        <v>100</v>
      </c>
      <c r="J96" s="268">
        <f t="shared" si="5"/>
        <v>6000</v>
      </c>
      <c r="K96" s="185"/>
      <c r="V96" s="183">
        <f t="shared" si="6"/>
        <v>1</v>
      </c>
      <c r="W96" s="183">
        <f t="shared" si="7"/>
        <v>0</v>
      </c>
    </row>
    <row r="97" spans="1:23" x14ac:dyDescent="0.3">
      <c r="A97" s="255"/>
      <c r="B97" s="194">
        <v>38</v>
      </c>
      <c r="C97" s="195">
        <v>45561</v>
      </c>
      <c r="D97" s="196" t="s">
        <v>16</v>
      </c>
      <c r="E97" s="196" t="s">
        <v>939</v>
      </c>
      <c r="F97" s="197">
        <v>238</v>
      </c>
      <c r="G97" s="222">
        <v>241.5</v>
      </c>
      <c r="H97" s="222">
        <f>241.5-238</f>
        <v>3.5</v>
      </c>
      <c r="I97" s="197">
        <v>2500</v>
      </c>
      <c r="J97" s="268">
        <f t="shared" si="5"/>
        <v>8750</v>
      </c>
      <c r="K97" s="185"/>
      <c r="V97" s="183">
        <f t="shared" si="6"/>
        <v>1</v>
      </c>
      <c r="W97" s="183">
        <f t="shared" si="7"/>
        <v>0</v>
      </c>
    </row>
    <row r="98" spans="1:23" x14ac:dyDescent="0.3">
      <c r="A98" s="184"/>
      <c r="B98" s="194">
        <v>39</v>
      </c>
      <c r="C98" s="195">
        <v>45562</v>
      </c>
      <c r="D98" s="196" t="s">
        <v>16</v>
      </c>
      <c r="E98" s="196" t="s">
        <v>25</v>
      </c>
      <c r="F98" s="197">
        <v>5690</v>
      </c>
      <c r="G98" s="222">
        <v>5720</v>
      </c>
      <c r="H98" s="196">
        <f>5720-5690</f>
        <v>30</v>
      </c>
      <c r="I98" s="197">
        <v>100</v>
      </c>
      <c r="J98" s="268">
        <f t="shared" si="5"/>
        <v>3000</v>
      </c>
      <c r="K98" s="185"/>
      <c r="V98" s="183">
        <f t="shared" si="6"/>
        <v>1</v>
      </c>
      <c r="W98" s="183">
        <f t="shared" si="7"/>
        <v>0</v>
      </c>
    </row>
    <row r="99" spans="1:23" x14ac:dyDescent="0.3">
      <c r="A99" s="184"/>
      <c r="B99" s="194">
        <v>40</v>
      </c>
      <c r="C99" s="195">
        <v>45562</v>
      </c>
      <c r="D99" s="196" t="s">
        <v>16</v>
      </c>
      <c r="E99" s="196" t="s">
        <v>939</v>
      </c>
      <c r="F99" s="222">
        <v>230</v>
      </c>
      <c r="G99" s="222">
        <v>236</v>
      </c>
      <c r="H99" s="222">
        <v>6</v>
      </c>
      <c r="I99" s="197">
        <v>2500</v>
      </c>
      <c r="J99" s="268">
        <f t="shared" si="5"/>
        <v>15000</v>
      </c>
      <c r="K99" s="185"/>
      <c r="V99" s="183">
        <f t="shared" si="6"/>
        <v>1</v>
      </c>
      <c r="W99" s="183">
        <f t="shared" si="7"/>
        <v>0</v>
      </c>
    </row>
    <row r="100" spans="1:23" x14ac:dyDescent="0.3">
      <c r="A100" s="184"/>
      <c r="B100" s="194">
        <v>41</v>
      </c>
      <c r="C100" s="195">
        <v>45565</v>
      </c>
      <c r="D100" s="196" t="s">
        <v>23</v>
      </c>
      <c r="E100" s="196" t="s">
        <v>25</v>
      </c>
      <c r="F100" s="197">
        <v>5770</v>
      </c>
      <c r="G100" s="197">
        <v>5700</v>
      </c>
      <c r="H100" s="196">
        <v>70</v>
      </c>
      <c r="I100" s="197">
        <v>100</v>
      </c>
      <c r="J100" s="268">
        <f t="shared" si="5"/>
        <v>7000</v>
      </c>
      <c r="K100" s="185"/>
      <c r="V100" s="183">
        <f t="shared" si="6"/>
        <v>1</v>
      </c>
      <c r="W100" s="183">
        <f t="shared" si="7"/>
        <v>0</v>
      </c>
    </row>
    <row r="101" spans="1:23" x14ac:dyDescent="0.3">
      <c r="A101" s="184"/>
      <c r="B101" s="194">
        <v>42</v>
      </c>
      <c r="C101" s="195">
        <v>45565</v>
      </c>
      <c r="D101" s="196" t="s">
        <v>23</v>
      </c>
      <c r="E101" s="196" t="s">
        <v>939</v>
      </c>
      <c r="F101" s="197">
        <v>242</v>
      </c>
      <c r="G101" s="197">
        <v>245</v>
      </c>
      <c r="H101" s="196">
        <v>-3</v>
      </c>
      <c r="I101" s="197">
        <v>2500</v>
      </c>
      <c r="J101" s="268">
        <f t="shared" si="5"/>
        <v>-7500</v>
      </c>
      <c r="K101" s="185"/>
      <c r="V101" s="183">
        <f t="shared" si="6"/>
        <v>0</v>
      </c>
      <c r="W101" s="183">
        <f t="shared" si="7"/>
        <v>1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8" t="s">
        <v>879</v>
      </c>
      <c r="C103" s="305"/>
      <c r="D103" s="305"/>
      <c r="E103" s="305"/>
      <c r="F103" s="305"/>
      <c r="G103" s="305"/>
      <c r="H103" s="306"/>
      <c r="I103" s="203" t="s">
        <v>880</v>
      </c>
      <c r="J103" s="204">
        <f>SUM(J60:J102)</f>
        <v>149049.99999999997</v>
      </c>
      <c r="K103" s="185"/>
      <c r="V103" s="183">
        <f>SUM(V60:V102)</f>
        <v>37</v>
      </c>
      <c r="W103" s="183">
        <f>SUM(W60:W102)</f>
        <v>5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07" t="s">
        <v>873</v>
      </c>
      <c r="C107" s="308"/>
      <c r="D107" s="308"/>
      <c r="E107" s="308"/>
      <c r="F107" s="308"/>
      <c r="G107" s="308"/>
      <c r="H107" s="308"/>
      <c r="I107" s="308"/>
      <c r="J107" s="309"/>
      <c r="K107" s="185"/>
    </row>
    <row r="108" spans="1:23" ht="16.2" thickBot="1" x14ac:dyDescent="0.35">
      <c r="A108" s="184"/>
      <c r="B108" s="310">
        <v>45536</v>
      </c>
      <c r="C108" s="311"/>
      <c r="D108" s="311"/>
      <c r="E108" s="311"/>
      <c r="F108" s="311"/>
      <c r="G108" s="311"/>
      <c r="H108" s="311"/>
      <c r="I108" s="311"/>
      <c r="J108" s="312"/>
      <c r="K108" s="185"/>
    </row>
    <row r="109" spans="1:23" ht="16.2" thickBot="1" x14ac:dyDescent="0.35">
      <c r="A109" s="184"/>
      <c r="B109" s="313" t="s">
        <v>882</v>
      </c>
      <c r="C109" s="314"/>
      <c r="D109" s="314"/>
      <c r="E109" s="314"/>
      <c r="F109" s="314"/>
      <c r="G109" s="314"/>
      <c r="H109" s="314"/>
      <c r="I109" s="314"/>
      <c r="J109" s="315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45537</v>
      </c>
      <c r="D111" s="216" t="s">
        <v>23</v>
      </c>
      <c r="E111" s="256" t="s">
        <v>28</v>
      </c>
      <c r="F111" s="256">
        <v>266</v>
      </c>
      <c r="G111" s="256">
        <v>264</v>
      </c>
      <c r="H111" s="256">
        <v>2</v>
      </c>
      <c r="I111" s="218">
        <v>5000</v>
      </c>
      <c r="J111" s="273">
        <f>I111*H111</f>
        <v>10000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</v>
      </c>
      <c r="C112" s="195">
        <v>45538</v>
      </c>
      <c r="D112" s="196" t="s">
        <v>23</v>
      </c>
      <c r="E112" s="222" t="s">
        <v>28</v>
      </c>
      <c r="F112" s="222">
        <v>263.8</v>
      </c>
      <c r="G112" s="222">
        <v>262.39999999999998</v>
      </c>
      <c r="H112" s="222">
        <f>263.8-262.4</f>
        <v>1.4000000000000341</v>
      </c>
      <c r="I112" s="218">
        <v>5000</v>
      </c>
      <c r="J112" s="268">
        <f t="shared" ref="J112:J137" si="8">I112*H112</f>
        <v>7000.000000000171</v>
      </c>
      <c r="K112" s="185"/>
      <c r="V112" s="183">
        <f t="shared" ref="V112:V136" si="9">IF($J112&gt;0,1,0)</f>
        <v>1</v>
      </c>
      <c r="W112" s="183">
        <f t="shared" ref="W112:W136" si="10">IF($J112&lt;0,1,0)</f>
        <v>0</v>
      </c>
    </row>
    <row r="113" spans="1:23" x14ac:dyDescent="0.3">
      <c r="A113" s="184"/>
      <c r="B113" s="194">
        <v>3</v>
      </c>
      <c r="C113" s="195">
        <v>45539</v>
      </c>
      <c r="D113" s="196" t="s">
        <v>23</v>
      </c>
      <c r="E113" s="222" t="s">
        <v>28</v>
      </c>
      <c r="F113" s="222">
        <v>260.8</v>
      </c>
      <c r="G113" s="222">
        <v>260.39999999999998</v>
      </c>
      <c r="H113" s="222">
        <v>0.4</v>
      </c>
      <c r="I113" s="218">
        <v>5000</v>
      </c>
      <c r="J113" s="268">
        <f t="shared" si="8"/>
        <v>2000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45540</v>
      </c>
      <c r="D114" s="196" t="s">
        <v>23</v>
      </c>
      <c r="E114" s="222" t="s">
        <v>28</v>
      </c>
      <c r="F114" s="222">
        <v>256.8</v>
      </c>
      <c r="G114" s="222">
        <v>256.25</v>
      </c>
      <c r="H114" s="222">
        <f>256.8-256.25</f>
        <v>0.55000000000001137</v>
      </c>
      <c r="I114" s="218">
        <v>5000</v>
      </c>
      <c r="J114" s="268">
        <f t="shared" si="8"/>
        <v>2750.0000000000568</v>
      </c>
      <c r="K114" s="185"/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5</v>
      </c>
      <c r="C115" s="195">
        <v>45541</v>
      </c>
      <c r="D115" s="196" t="s">
        <v>23</v>
      </c>
      <c r="E115" s="222" t="s">
        <v>28</v>
      </c>
      <c r="F115" s="222">
        <v>258.8</v>
      </c>
      <c r="G115" s="222">
        <v>258.3</v>
      </c>
      <c r="H115" s="222">
        <v>0.3</v>
      </c>
      <c r="I115" s="197">
        <v>5000</v>
      </c>
      <c r="J115" s="268">
        <f t="shared" si="8"/>
        <v>1500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6</v>
      </c>
      <c r="C116" s="195">
        <v>45544</v>
      </c>
      <c r="D116" s="196" t="s">
        <v>16</v>
      </c>
      <c r="E116" s="222" t="s">
        <v>28</v>
      </c>
      <c r="F116" s="222">
        <v>254.5</v>
      </c>
      <c r="G116" s="222">
        <v>256.5</v>
      </c>
      <c r="H116" s="222">
        <v>2</v>
      </c>
      <c r="I116" s="197">
        <v>5000</v>
      </c>
      <c r="J116" s="268">
        <f t="shared" si="8"/>
        <v>10000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45545</v>
      </c>
      <c r="D117" s="196" t="s">
        <v>23</v>
      </c>
      <c r="E117" s="222" t="s">
        <v>28</v>
      </c>
      <c r="F117" s="222">
        <v>253.6</v>
      </c>
      <c r="G117" s="222">
        <v>254.6</v>
      </c>
      <c r="H117" s="274">
        <v>-1</v>
      </c>
      <c r="I117" s="197">
        <v>5000</v>
      </c>
      <c r="J117" s="268">
        <f t="shared" si="8"/>
        <v>-5000</v>
      </c>
      <c r="K117" s="185"/>
      <c r="V117" s="183">
        <f t="shared" si="9"/>
        <v>0</v>
      </c>
      <c r="W117" s="183">
        <f t="shared" si="10"/>
        <v>1</v>
      </c>
    </row>
    <row r="118" spans="1:23" x14ac:dyDescent="0.3">
      <c r="A118" s="184"/>
      <c r="B118" s="194">
        <v>8</v>
      </c>
      <c r="C118" s="195">
        <v>45546</v>
      </c>
      <c r="D118" s="196" t="s">
        <v>23</v>
      </c>
      <c r="E118" s="222" t="s">
        <v>28</v>
      </c>
      <c r="F118" s="222">
        <v>258.5</v>
      </c>
      <c r="G118" s="222">
        <v>258</v>
      </c>
      <c r="H118" s="222">
        <v>0.5</v>
      </c>
      <c r="I118" s="197">
        <v>5000</v>
      </c>
      <c r="J118" s="268">
        <f t="shared" si="8"/>
        <v>2500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45547</v>
      </c>
      <c r="D119" s="196" t="s">
        <v>23</v>
      </c>
      <c r="E119" s="222" t="s">
        <v>28</v>
      </c>
      <c r="F119" s="222">
        <v>264</v>
      </c>
      <c r="G119" s="222">
        <v>263</v>
      </c>
      <c r="H119" s="222">
        <v>1</v>
      </c>
      <c r="I119" s="197">
        <v>5000</v>
      </c>
      <c r="J119" s="268">
        <f t="shared" si="8"/>
        <v>5000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45548</v>
      </c>
      <c r="D120" s="196" t="s">
        <v>23</v>
      </c>
      <c r="E120" s="222" t="s">
        <v>28</v>
      </c>
      <c r="F120" s="222">
        <v>264.5</v>
      </c>
      <c r="G120" s="222">
        <v>263.85000000000002</v>
      </c>
      <c r="H120" s="222">
        <f>264.5-263.85</f>
        <v>0.64999999999997726</v>
      </c>
      <c r="I120" s="197">
        <v>5000</v>
      </c>
      <c r="J120" s="268">
        <f t="shared" si="8"/>
        <v>3249.9999999998863</v>
      </c>
      <c r="K120" s="185"/>
      <c r="V120" s="183">
        <f t="shared" si="9"/>
        <v>1</v>
      </c>
      <c r="W120" s="183">
        <f t="shared" si="10"/>
        <v>0</v>
      </c>
    </row>
    <row r="121" spans="1:23" x14ac:dyDescent="0.3">
      <c r="A121" s="184"/>
      <c r="B121" s="194">
        <v>11</v>
      </c>
      <c r="C121" s="195">
        <v>45549</v>
      </c>
      <c r="D121" s="196" t="s">
        <v>23</v>
      </c>
      <c r="E121" s="222" t="s">
        <v>28</v>
      </c>
      <c r="F121" s="222">
        <v>267.5</v>
      </c>
      <c r="G121" s="222">
        <v>268.5</v>
      </c>
      <c r="H121" s="274">
        <v>-1</v>
      </c>
      <c r="I121" s="197">
        <v>5000</v>
      </c>
      <c r="J121" s="268">
        <f t="shared" si="8"/>
        <v>-5000</v>
      </c>
      <c r="K121" s="185"/>
      <c r="V121" s="183">
        <f t="shared" si="9"/>
        <v>0</v>
      </c>
      <c r="W121" s="183">
        <f t="shared" si="10"/>
        <v>1</v>
      </c>
    </row>
    <row r="122" spans="1:23" x14ac:dyDescent="0.3">
      <c r="A122" s="184"/>
      <c r="B122" s="194">
        <v>12</v>
      </c>
      <c r="C122" s="195">
        <v>45552</v>
      </c>
      <c r="D122" s="196" t="s">
        <v>23</v>
      </c>
      <c r="E122" s="222" t="s">
        <v>28</v>
      </c>
      <c r="F122" s="222">
        <v>268.8</v>
      </c>
      <c r="G122" s="222">
        <v>267</v>
      </c>
      <c r="H122" s="274">
        <f>268.8-267</f>
        <v>1.8000000000000114</v>
      </c>
      <c r="I122" s="197">
        <v>5000</v>
      </c>
      <c r="J122" s="268">
        <f t="shared" si="8"/>
        <v>9000.0000000000564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45553</v>
      </c>
      <c r="D123" s="196" t="s">
        <v>23</v>
      </c>
      <c r="E123" s="222" t="s">
        <v>28</v>
      </c>
      <c r="F123" s="222">
        <v>266.8</v>
      </c>
      <c r="G123" s="222">
        <v>266.39999999999998</v>
      </c>
      <c r="H123" s="274">
        <v>0.4</v>
      </c>
      <c r="I123" s="197">
        <v>5000</v>
      </c>
      <c r="J123" s="268">
        <f t="shared" si="8"/>
        <v>2000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45554</v>
      </c>
      <c r="D124" s="196" t="s">
        <v>23</v>
      </c>
      <c r="E124" s="222" t="s">
        <v>28</v>
      </c>
      <c r="F124" s="222">
        <v>269.60000000000002</v>
      </c>
      <c r="G124" s="222">
        <v>268.7</v>
      </c>
      <c r="H124" s="274">
        <f>269.6-268.7</f>
        <v>0.90000000000003411</v>
      </c>
      <c r="I124" s="197">
        <v>5000</v>
      </c>
      <c r="J124" s="268">
        <f t="shared" si="8"/>
        <v>4500.000000000171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45555</v>
      </c>
      <c r="D125" s="196" t="s">
        <v>23</v>
      </c>
      <c r="E125" s="196" t="s">
        <v>28</v>
      </c>
      <c r="F125" s="222">
        <v>268</v>
      </c>
      <c r="G125" s="222">
        <v>267.39999999999998</v>
      </c>
      <c r="H125" s="222">
        <f>268-267.4</f>
        <v>0.60000000000002274</v>
      </c>
      <c r="I125" s="197">
        <v>5000</v>
      </c>
      <c r="J125" s="268">
        <f t="shared" si="8"/>
        <v>3000.0000000001137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45558</v>
      </c>
      <c r="D126" s="196" t="s">
        <v>23</v>
      </c>
      <c r="E126" s="196" t="s">
        <v>28</v>
      </c>
      <c r="F126" s="222">
        <v>264.8</v>
      </c>
      <c r="G126" s="222">
        <v>265.8</v>
      </c>
      <c r="H126" s="222">
        <v>-1</v>
      </c>
      <c r="I126" s="197">
        <v>5000</v>
      </c>
      <c r="J126" s="268">
        <f t="shared" si="8"/>
        <v>-5000</v>
      </c>
      <c r="K126" s="185"/>
      <c r="V126" s="183">
        <f t="shared" si="9"/>
        <v>0</v>
      </c>
      <c r="W126" s="183">
        <f t="shared" si="10"/>
        <v>1</v>
      </c>
    </row>
    <row r="127" spans="1:23" x14ac:dyDescent="0.3">
      <c r="A127" s="184"/>
      <c r="B127" s="194">
        <v>17</v>
      </c>
      <c r="C127" s="195">
        <v>45559</v>
      </c>
      <c r="D127" s="196" t="s">
        <v>23</v>
      </c>
      <c r="E127" s="196" t="s">
        <v>28</v>
      </c>
      <c r="F127" s="222">
        <v>272.10000000000002</v>
      </c>
      <c r="G127" s="274">
        <v>273.10000000000002</v>
      </c>
      <c r="H127" s="274">
        <v>-1</v>
      </c>
      <c r="I127" s="197">
        <v>5000</v>
      </c>
      <c r="J127" s="268">
        <f t="shared" si="8"/>
        <v>-5000</v>
      </c>
      <c r="K127" s="185"/>
      <c r="V127" s="183">
        <f t="shared" si="9"/>
        <v>0</v>
      </c>
      <c r="W127" s="183">
        <f t="shared" si="10"/>
        <v>1</v>
      </c>
    </row>
    <row r="128" spans="1:23" x14ac:dyDescent="0.3">
      <c r="A128" s="184"/>
      <c r="B128" s="194">
        <v>18</v>
      </c>
      <c r="C128" s="195">
        <v>45560</v>
      </c>
      <c r="D128" s="196" t="s">
        <v>23</v>
      </c>
      <c r="E128" s="196" t="s">
        <v>28</v>
      </c>
      <c r="F128" s="222">
        <v>274</v>
      </c>
      <c r="G128" s="222">
        <v>273.10000000000002</v>
      </c>
      <c r="H128" s="274">
        <f>274-273.1</f>
        <v>0.89999999999997726</v>
      </c>
      <c r="I128" s="197">
        <v>5000</v>
      </c>
      <c r="J128" s="268">
        <f t="shared" si="8"/>
        <v>4499.9999999998863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>
        <v>45561</v>
      </c>
      <c r="D129" s="196" t="s">
        <v>16</v>
      </c>
      <c r="E129" s="196" t="s">
        <v>28</v>
      </c>
      <c r="F129" s="222">
        <v>277</v>
      </c>
      <c r="G129" s="222">
        <v>279</v>
      </c>
      <c r="H129" s="274">
        <v>2</v>
      </c>
      <c r="I129" s="197">
        <v>5000</v>
      </c>
      <c r="J129" s="268">
        <f t="shared" si="8"/>
        <v>10000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20</v>
      </c>
      <c r="C130" s="195">
        <v>45562</v>
      </c>
      <c r="D130" s="196" t="s">
        <v>16</v>
      </c>
      <c r="E130" s="196" t="s">
        <v>28</v>
      </c>
      <c r="F130" s="222">
        <v>281.5</v>
      </c>
      <c r="G130" s="222">
        <v>282</v>
      </c>
      <c r="H130" s="274">
        <v>0.5</v>
      </c>
      <c r="I130" s="197">
        <v>5000</v>
      </c>
      <c r="J130" s="268">
        <f t="shared" si="8"/>
        <v>2500</v>
      </c>
      <c r="K130" s="185"/>
    </row>
    <row r="131" spans="1:23" x14ac:dyDescent="0.3">
      <c r="A131" s="184"/>
      <c r="B131" s="194">
        <v>21</v>
      </c>
      <c r="C131" s="195">
        <v>45565</v>
      </c>
      <c r="D131" s="196" t="s">
        <v>23</v>
      </c>
      <c r="E131" s="196" t="s">
        <v>28</v>
      </c>
      <c r="F131" s="222">
        <v>283.8</v>
      </c>
      <c r="G131" s="222">
        <v>281.8</v>
      </c>
      <c r="H131" s="274">
        <v>2</v>
      </c>
      <c r="I131" s="197">
        <v>5000</v>
      </c>
      <c r="J131" s="268">
        <f t="shared" si="8"/>
        <v>10000</v>
      </c>
      <c r="K131" s="185"/>
    </row>
    <row r="132" spans="1:23" hidden="1" x14ac:dyDescent="0.3">
      <c r="A132" s="184"/>
      <c r="B132" s="194">
        <v>22</v>
      </c>
      <c r="C132" s="195"/>
      <c r="D132" s="196"/>
      <c r="E132" s="196"/>
      <c r="F132" s="222"/>
      <c r="G132" s="222"/>
      <c r="H132" s="274"/>
      <c r="I132" s="197"/>
      <c r="J132" s="268">
        <f t="shared" si="8"/>
        <v>0</v>
      </c>
      <c r="K132" s="185"/>
    </row>
    <row r="133" spans="1:23" hidden="1" x14ac:dyDescent="0.3">
      <c r="A133" s="184"/>
      <c r="B133" s="194">
        <v>23</v>
      </c>
      <c r="C133" s="195"/>
      <c r="D133" s="196"/>
      <c r="E133" s="196"/>
      <c r="F133" s="222"/>
      <c r="G133" s="222"/>
      <c r="H133" s="274"/>
      <c r="I133" s="197"/>
      <c r="J133" s="268">
        <f t="shared" si="8"/>
        <v>0</v>
      </c>
      <c r="K133" s="185"/>
    </row>
    <row r="134" spans="1:23" hidden="1" x14ac:dyDescent="0.3">
      <c r="A134" s="184"/>
      <c r="B134" s="194">
        <v>24</v>
      </c>
      <c r="C134" s="195"/>
      <c r="D134" s="196"/>
      <c r="E134" s="196"/>
      <c r="F134" s="222"/>
      <c r="G134" s="222"/>
      <c r="H134" s="274"/>
      <c r="I134" s="197"/>
      <c r="J134" s="268">
        <f t="shared" si="8"/>
        <v>0</v>
      </c>
      <c r="K134" s="185"/>
    </row>
    <row r="135" spans="1:23" hidden="1" x14ac:dyDescent="0.3">
      <c r="A135" s="184"/>
      <c r="B135" s="194">
        <v>25</v>
      </c>
      <c r="C135" s="195"/>
      <c r="D135" s="196"/>
      <c r="E135" s="196"/>
      <c r="F135" s="222"/>
      <c r="G135" s="222"/>
      <c r="H135" s="274"/>
      <c r="I135" s="197"/>
      <c r="J135" s="268">
        <f t="shared" si="8"/>
        <v>0</v>
      </c>
      <c r="K135" s="185"/>
      <c r="V135" s="183">
        <f t="shared" si="9"/>
        <v>0</v>
      </c>
      <c r="W135" s="183">
        <f t="shared" si="10"/>
        <v>0</v>
      </c>
    </row>
    <row r="136" spans="1:23" hidden="1" x14ac:dyDescent="0.3">
      <c r="A136" s="184"/>
      <c r="B136" s="194">
        <v>21</v>
      </c>
      <c r="C136" s="195"/>
      <c r="D136" s="196"/>
      <c r="E136" s="222"/>
      <c r="F136" s="222"/>
      <c r="G136" s="222"/>
      <c r="H136" s="274"/>
      <c r="I136" s="197"/>
      <c r="J136" s="268">
        <f t="shared" si="8"/>
        <v>0</v>
      </c>
      <c r="K136" s="185"/>
      <c r="V136" s="183">
        <f t="shared" si="9"/>
        <v>0</v>
      </c>
      <c r="W136" s="183">
        <f t="shared" si="10"/>
        <v>0</v>
      </c>
    </row>
    <row r="137" spans="1:23" hidden="1" x14ac:dyDescent="0.3">
      <c r="A137" s="184"/>
      <c r="B137" s="194">
        <v>22</v>
      </c>
      <c r="C137" s="195"/>
      <c r="D137" s="196"/>
      <c r="E137" s="222"/>
      <c r="F137" s="222"/>
      <c r="G137" s="222"/>
      <c r="H137" s="274"/>
      <c r="I137" s="197"/>
      <c r="J137" s="268">
        <f t="shared" si="8"/>
        <v>0</v>
      </c>
      <c r="K137" s="185"/>
      <c r="V137" s="183">
        <f>IF($J137&gt;0,1,0)</f>
        <v>0</v>
      </c>
      <c r="W137" s="183">
        <f>IF($J137&lt;0,1,0)</f>
        <v>0</v>
      </c>
    </row>
    <row r="138" spans="1:23" hidden="1" x14ac:dyDescent="0.3">
      <c r="A138" s="184"/>
      <c r="B138" s="194">
        <v>23</v>
      </c>
      <c r="C138" s="195"/>
      <c r="D138" s="196"/>
      <c r="E138" s="222"/>
      <c r="F138" s="222"/>
      <c r="G138" s="222"/>
      <c r="H138" s="222"/>
      <c r="I138" s="197"/>
      <c r="J138" s="268">
        <f>I138*H138</f>
        <v>0</v>
      </c>
      <c r="K138" s="185"/>
      <c r="V138" s="183">
        <f>IF($J138&gt;0,1,0)</f>
        <v>0</v>
      </c>
      <c r="W138" s="183">
        <f>IF($J138&lt;0,1,0)</f>
        <v>0</v>
      </c>
    </row>
    <row r="139" spans="1:23" ht="15" hidden="1" thickBot="1" x14ac:dyDescent="0.35">
      <c r="A139" s="184"/>
      <c r="B139" s="194">
        <v>26</v>
      </c>
      <c r="C139" s="220"/>
      <c r="D139" s="221"/>
      <c r="E139" s="221"/>
      <c r="F139" s="222"/>
      <c r="G139" s="222"/>
      <c r="H139" s="222"/>
      <c r="I139" s="211"/>
      <c r="J139" s="272">
        <f>I139*H139</f>
        <v>0</v>
      </c>
      <c r="K139" s="185"/>
      <c r="V139" s="183">
        <f>IF($J139&gt;0,1,0)</f>
        <v>0</v>
      </c>
      <c r="W139" s="183">
        <f>IF($J139&lt;0,1,0)</f>
        <v>0</v>
      </c>
    </row>
    <row r="140" spans="1:23" ht="24" thickBot="1" x14ac:dyDescent="0.5">
      <c r="A140" s="184"/>
      <c r="B140" s="373" t="s">
        <v>879</v>
      </c>
      <c r="C140" s="317"/>
      <c r="D140" s="317"/>
      <c r="E140" s="317"/>
      <c r="F140" s="317"/>
      <c r="G140" s="317"/>
      <c r="H140" s="318"/>
      <c r="I140" s="212" t="s">
        <v>880</v>
      </c>
      <c r="J140" s="213">
        <f>SUM(J111:J139)</f>
        <v>69500.000000000349</v>
      </c>
      <c r="K140" s="185"/>
      <c r="V140" s="183">
        <f>SUM(V111:V139)</f>
        <v>15</v>
      </c>
      <c r="W140" s="183">
        <f>SUM(W111:W139)</f>
        <v>4</v>
      </c>
    </row>
    <row r="141" spans="1:23" ht="30" customHeight="1" thickBot="1" x14ac:dyDescent="0.35">
      <c r="A141" s="205"/>
      <c r="B141" s="206"/>
      <c r="C141" s="206"/>
      <c r="D141" s="206"/>
      <c r="E141" s="206"/>
      <c r="F141" s="206"/>
      <c r="G141" s="206"/>
      <c r="H141" s="261"/>
      <c r="I141" s="206"/>
      <c r="J141" s="261"/>
      <c r="K141" s="207"/>
      <c r="L141" s="183" t="s">
        <v>926</v>
      </c>
    </row>
    <row r="142" spans="1:23" ht="15" thickBot="1" x14ac:dyDescent="0.35"/>
    <row r="143" spans="1:23" ht="30" customHeight="1" thickBot="1" x14ac:dyDescent="0.35">
      <c r="A143" s="180"/>
      <c r="B143" s="181"/>
      <c r="C143" s="181"/>
      <c r="D143" s="181"/>
      <c r="E143" s="181"/>
      <c r="F143" s="181"/>
      <c r="G143" s="181"/>
      <c r="H143" s="259"/>
      <c r="I143" s="181"/>
      <c r="J143" s="259"/>
      <c r="K143" s="182"/>
    </row>
    <row r="144" spans="1:23" ht="25.2" thickBot="1" x14ac:dyDescent="0.35">
      <c r="A144" s="184" t="s">
        <v>0</v>
      </c>
      <c r="B144" s="307" t="s">
        <v>873</v>
      </c>
      <c r="C144" s="308"/>
      <c r="D144" s="308"/>
      <c r="E144" s="308"/>
      <c r="F144" s="308"/>
      <c r="G144" s="308"/>
      <c r="H144" s="308"/>
      <c r="I144" s="308"/>
      <c r="J144" s="309"/>
      <c r="K144" s="185"/>
    </row>
    <row r="145" spans="1:23" ht="16.2" thickBot="1" x14ac:dyDescent="0.35">
      <c r="A145" s="184"/>
      <c r="B145" s="310">
        <v>45536</v>
      </c>
      <c r="C145" s="311"/>
      <c r="D145" s="311"/>
      <c r="E145" s="311"/>
      <c r="F145" s="311"/>
      <c r="G145" s="311"/>
      <c r="H145" s="311"/>
      <c r="I145" s="311"/>
      <c r="J145" s="312"/>
      <c r="K145" s="185"/>
    </row>
    <row r="146" spans="1:23" ht="16.2" thickBot="1" x14ac:dyDescent="0.35">
      <c r="A146" s="184"/>
      <c r="B146" s="313" t="s">
        <v>905</v>
      </c>
      <c r="C146" s="314"/>
      <c r="D146" s="314"/>
      <c r="E146" s="314"/>
      <c r="F146" s="314"/>
      <c r="G146" s="314"/>
      <c r="H146" s="314"/>
      <c r="I146" s="314"/>
      <c r="J146" s="315"/>
      <c r="K146" s="185"/>
    </row>
    <row r="147" spans="1:23" ht="15" thickBot="1" x14ac:dyDescent="0.35">
      <c r="A147" s="208"/>
      <c r="B147" s="186" t="s">
        <v>876</v>
      </c>
      <c r="C147" s="187" t="s">
        <v>1</v>
      </c>
      <c r="D147" s="188" t="s">
        <v>2</v>
      </c>
      <c r="E147" s="188" t="s">
        <v>3</v>
      </c>
      <c r="F147" s="189" t="s">
        <v>4</v>
      </c>
      <c r="G147" s="189" t="s">
        <v>5</v>
      </c>
      <c r="H147" s="260" t="s">
        <v>720</v>
      </c>
      <c r="I147" s="189" t="s">
        <v>6</v>
      </c>
      <c r="J147" s="266" t="s">
        <v>7</v>
      </c>
      <c r="K147" s="209"/>
      <c r="L147" s="198"/>
      <c r="V147" s="183" t="s">
        <v>254</v>
      </c>
      <c r="W147" s="183" t="s">
        <v>255</v>
      </c>
    </row>
    <row r="148" spans="1:23" x14ac:dyDescent="0.3">
      <c r="A148" s="184"/>
      <c r="B148" s="214">
        <v>1</v>
      </c>
      <c r="C148" s="215">
        <v>45537</v>
      </c>
      <c r="D148" s="216" t="s">
        <v>16</v>
      </c>
      <c r="E148" s="256" t="s">
        <v>910</v>
      </c>
      <c r="F148" s="256">
        <v>210</v>
      </c>
      <c r="G148" s="256">
        <v>238</v>
      </c>
      <c r="H148" s="256">
        <v>28</v>
      </c>
      <c r="I148" s="218">
        <v>100</v>
      </c>
      <c r="J148" s="273">
        <f>I148*H148</f>
        <v>2800</v>
      </c>
      <c r="K148" s="185"/>
      <c r="V148" s="183">
        <f>IF($J148&gt;0,1,0)</f>
        <v>1</v>
      </c>
      <c r="W148" s="183">
        <f>IF($J148&lt;0,1,0)</f>
        <v>0</v>
      </c>
    </row>
    <row r="149" spans="1:23" x14ac:dyDescent="0.3">
      <c r="A149" s="184"/>
      <c r="B149" s="194">
        <v>2</v>
      </c>
      <c r="C149" s="195">
        <v>45538</v>
      </c>
      <c r="D149" s="196" t="s">
        <v>16</v>
      </c>
      <c r="E149" s="222" t="s">
        <v>907</v>
      </c>
      <c r="F149" s="222">
        <v>225</v>
      </c>
      <c r="G149" s="222">
        <v>205</v>
      </c>
      <c r="H149" s="222">
        <v>-20</v>
      </c>
      <c r="I149" s="218">
        <v>100</v>
      </c>
      <c r="J149" s="268">
        <f t="shared" ref="J149:J168" si="11">I149*H149</f>
        <v>-2000</v>
      </c>
      <c r="K149" s="185"/>
      <c r="V149" s="183">
        <f t="shared" ref="V149:V170" si="12">IF($J149&gt;0,1,0)</f>
        <v>0</v>
      </c>
      <c r="W149" s="183">
        <f t="shared" ref="W149:W170" si="13">IF($J149&lt;0,1,0)</f>
        <v>1</v>
      </c>
    </row>
    <row r="150" spans="1:23" x14ac:dyDescent="0.3">
      <c r="A150" s="184"/>
      <c r="B150" s="194">
        <v>3</v>
      </c>
      <c r="C150" s="195">
        <v>45539</v>
      </c>
      <c r="D150" s="196" t="s">
        <v>16</v>
      </c>
      <c r="E150" s="222" t="s">
        <v>924</v>
      </c>
      <c r="F150" s="222">
        <v>190</v>
      </c>
      <c r="G150" s="222">
        <v>170</v>
      </c>
      <c r="H150" s="222">
        <v>-20</v>
      </c>
      <c r="I150" s="218">
        <v>100</v>
      </c>
      <c r="J150" s="268">
        <f t="shared" si="11"/>
        <v>-2000</v>
      </c>
      <c r="K150" s="185"/>
      <c r="M150" s="183" t="s">
        <v>870</v>
      </c>
      <c r="V150" s="183">
        <f t="shared" si="12"/>
        <v>0</v>
      </c>
      <c r="W150" s="183">
        <f t="shared" si="13"/>
        <v>1</v>
      </c>
    </row>
    <row r="151" spans="1:23" x14ac:dyDescent="0.3">
      <c r="A151" s="184"/>
      <c r="B151" s="194">
        <v>4</v>
      </c>
      <c r="C151" s="195">
        <v>45540</v>
      </c>
      <c r="D151" s="196" t="s">
        <v>16</v>
      </c>
      <c r="E151" s="222" t="s">
        <v>924</v>
      </c>
      <c r="F151" s="222">
        <v>175</v>
      </c>
      <c r="G151" s="222">
        <v>188</v>
      </c>
      <c r="H151" s="222">
        <f>188-175</f>
        <v>13</v>
      </c>
      <c r="I151" s="218">
        <v>100</v>
      </c>
      <c r="J151" s="268">
        <f t="shared" si="11"/>
        <v>1300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5</v>
      </c>
      <c r="C152" s="195">
        <v>45541</v>
      </c>
      <c r="D152" s="196" t="s">
        <v>16</v>
      </c>
      <c r="E152" s="222" t="s">
        <v>924</v>
      </c>
      <c r="F152" s="222">
        <v>170</v>
      </c>
      <c r="G152" s="222">
        <v>203</v>
      </c>
      <c r="H152" s="222">
        <f>203-170</f>
        <v>33</v>
      </c>
      <c r="I152" s="218">
        <v>100</v>
      </c>
      <c r="J152" s="268">
        <f t="shared" si="11"/>
        <v>3300</v>
      </c>
      <c r="K152" s="185"/>
      <c r="V152" s="183">
        <f t="shared" si="12"/>
        <v>1</v>
      </c>
      <c r="W152" s="183">
        <f t="shared" si="13"/>
        <v>0</v>
      </c>
    </row>
    <row r="153" spans="1:23" x14ac:dyDescent="0.3">
      <c r="A153" s="184"/>
      <c r="B153" s="194">
        <v>6</v>
      </c>
      <c r="C153" s="195">
        <v>45544</v>
      </c>
      <c r="D153" s="196" t="s">
        <v>16</v>
      </c>
      <c r="E153" s="222" t="s">
        <v>947</v>
      </c>
      <c r="F153" s="222">
        <v>175</v>
      </c>
      <c r="G153" s="222">
        <v>191</v>
      </c>
      <c r="H153" s="222">
        <f>191-175</f>
        <v>16</v>
      </c>
      <c r="I153" s="218">
        <v>100</v>
      </c>
      <c r="J153" s="268">
        <f t="shared" si="11"/>
        <v>1600</v>
      </c>
      <c r="K153" s="185"/>
      <c r="V153" s="183">
        <f t="shared" si="12"/>
        <v>1</v>
      </c>
      <c r="W153" s="183">
        <f t="shared" si="13"/>
        <v>0</v>
      </c>
    </row>
    <row r="154" spans="1:23" x14ac:dyDescent="0.3">
      <c r="A154" s="184"/>
      <c r="B154" s="194">
        <v>7</v>
      </c>
      <c r="C154" s="195">
        <v>45545</v>
      </c>
      <c r="D154" s="196" t="s">
        <v>16</v>
      </c>
      <c r="E154" s="222" t="s">
        <v>924</v>
      </c>
      <c r="F154" s="222">
        <v>200</v>
      </c>
      <c r="G154" s="222">
        <v>240</v>
      </c>
      <c r="H154" s="274">
        <v>40</v>
      </c>
      <c r="I154" s="218">
        <v>100</v>
      </c>
      <c r="J154" s="268">
        <f t="shared" si="11"/>
        <v>4000</v>
      </c>
      <c r="K154" s="185"/>
      <c r="M154" s="183" t="s">
        <v>942</v>
      </c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8</v>
      </c>
      <c r="C155" s="195">
        <v>45546</v>
      </c>
      <c r="D155" s="196" t="s">
        <v>16</v>
      </c>
      <c r="E155" s="222" t="s">
        <v>923</v>
      </c>
      <c r="F155" s="222">
        <v>205</v>
      </c>
      <c r="G155" s="222">
        <v>185</v>
      </c>
      <c r="H155" s="222">
        <v>-20</v>
      </c>
      <c r="I155" s="218">
        <v>100</v>
      </c>
      <c r="J155" s="268">
        <f t="shared" si="11"/>
        <v>-2000</v>
      </c>
      <c r="K155" s="185"/>
      <c r="V155" s="183">
        <f t="shared" si="12"/>
        <v>0</v>
      </c>
      <c r="W155" s="183">
        <f t="shared" si="13"/>
        <v>1</v>
      </c>
    </row>
    <row r="156" spans="1:23" x14ac:dyDescent="0.3">
      <c r="A156" s="184"/>
      <c r="B156" s="194">
        <v>9</v>
      </c>
      <c r="C156" s="195">
        <v>45547</v>
      </c>
      <c r="D156" s="196" t="s">
        <v>16</v>
      </c>
      <c r="E156" s="222" t="s">
        <v>924</v>
      </c>
      <c r="F156" s="222">
        <v>210</v>
      </c>
      <c r="G156" s="222">
        <v>220</v>
      </c>
      <c r="H156" s="222">
        <v>10</v>
      </c>
      <c r="I156" s="218">
        <v>100</v>
      </c>
      <c r="J156" s="268">
        <f t="shared" si="11"/>
        <v>1000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10</v>
      </c>
      <c r="C157" s="195">
        <v>45548</v>
      </c>
      <c r="D157" s="196" t="s">
        <v>16</v>
      </c>
      <c r="E157" s="222" t="s">
        <v>916</v>
      </c>
      <c r="F157" s="222">
        <v>170</v>
      </c>
      <c r="G157" s="222">
        <v>180</v>
      </c>
      <c r="H157" s="222">
        <v>10</v>
      </c>
      <c r="I157" s="218">
        <v>100</v>
      </c>
      <c r="J157" s="268">
        <f t="shared" si="11"/>
        <v>1000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11</v>
      </c>
      <c r="C158" s="195">
        <v>45549</v>
      </c>
      <c r="D158" s="196" t="s">
        <v>16</v>
      </c>
      <c r="E158" s="222" t="s">
        <v>916</v>
      </c>
      <c r="F158" s="222">
        <v>185</v>
      </c>
      <c r="G158" s="222">
        <v>225</v>
      </c>
      <c r="H158" s="274">
        <f>225-185</f>
        <v>40</v>
      </c>
      <c r="I158" s="218">
        <v>100</v>
      </c>
      <c r="J158" s="268">
        <f t="shared" si="11"/>
        <v>4000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12</v>
      </c>
      <c r="C159" s="195">
        <v>45552</v>
      </c>
      <c r="D159" s="196" t="s">
        <v>16</v>
      </c>
      <c r="E159" s="222" t="s">
        <v>923</v>
      </c>
      <c r="F159" s="222">
        <v>225</v>
      </c>
      <c r="G159" s="222">
        <v>252</v>
      </c>
      <c r="H159" s="274">
        <f>252-225</f>
        <v>27</v>
      </c>
      <c r="I159" s="218">
        <v>100</v>
      </c>
      <c r="J159" s="268">
        <f t="shared" si="11"/>
        <v>2700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13</v>
      </c>
      <c r="C160" s="195">
        <v>45553</v>
      </c>
      <c r="D160" s="196" t="s">
        <v>16</v>
      </c>
      <c r="E160" s="222" t="s">
        <v>923</v>
      </c>
      <c r="F160" s="222">
        <v>215</v>
      </c>
      <c r="G160" s="222">
        <v>241</v>
      </c>
      <c r="H160" s="274">
        <f>241-215</f>
        <v>26</v>
      </c>
      <c r="I160" s="218">
        <v>100</v>
      </c>
      <c r="J160" s="268">
        <f t="shared" si="11"/>
        <v>2600</v>
      </c>
      <c r="K160" s="185"/>
      <c r="V160" s="183">
        <f t="shared" si="12"/>
        <v>1</v>
      </c>
      <c r="W160" s="183">
        <f t="shared" si="13"/>
        <v>0</v>
      </c>
    </row>
    <row r="161" spans="1:23" x14ac:dyDescent="0.3">
      <c r="A161" s="184"/>
      <c r="B161" s="194">
        <v>14</v>
      </c>
      <c r="C161" s="195">
        <v>45554</v>
      </c>
      <c r="D161" s="196" t="s">
        <v>16</v>
      </c>
      <c r="E161" s="222" t="s">
        <v>924</v>
      </c>
      <c r="F161" s="222">
        <v>205</v>
      </c>
      <c r="G161" s="222">
        <v>220</v>
      </c>
      <c r="H161" s="274">
        <f>220-205</f>
        <v>15</v>
      </c>
      <c r="I161" s="218">
        <v>100</v>
      </c>
      <c r="J161" s="268">
        <f t="shared" si="11"/>
        <v>1500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15</v>
      </c>
      <c r="C162" s="195">
        <v>45555</v>
      </c>
      <c r="D162" s="196" t="s">
        <v>16</v>
      </c>
      <c r="E162" s="196" t="s">
        <v>924</v>
      </c>
      <c r="F162" s="222">
        <v>190</v>
      </c>
      <c r="G162" s="222">
        <v>205</v>
      </c>
      <c r="H162" s="222">
        <f>205-190</f>
        <v>15</v>
      </c>
      <c r="I162" s="218">
        <v>100</v>
      </c>
      <c r="J162" s="268">
        <f t="shared" si="11"/>
        <v>1500</v>
      </c>
      <c r="K162" s="185"/>
      <c r="V162" s="183">
        <f t="shared" si="12"/>
        <v>1</v>
      </c>
      <c r="W162" s="183">
        <f t="shared" si="13"/>
        <v>0</v>
      </c>
    </row>
    <row r="163" spans="1:23" x14ac:dyDescent="0.3">
      <c r="A163" s="184"/>
      <c r="B163" s="194">
        <v>16</v>
      </c>
      <c r="C163" s="195">
        <v>45558</v>
      </c>
      <c r="D163" s="196" t="s">
        <v>16</v>
      </c>
      <c r="E163" s="196" t="s">
        <v>924</v>
      </c>
      <c r="F163" s="222">
        <v>175</v>
      </c>
      <c r="G163" s="274">
        <v>184</v>
      </c>
      <c r="H163" s="274">
        <f>184-175</f>
        <v>9</v>
      </c>
      <c r="I163" s="218">
        <v>100</v>
      </c>
      <c r="J163" s="268">
        <f t="shared" si="11"/>
        <v>900</v>
      </c>
      <c r="K163" s="185"/>
      <c r="V163" s="183">
        <f t="shared" si="12"/>
        <v>1</v>
      </c>
      <c r="W163" s="183">
        <f t="shared" si="13"/>
        <v>0</v>
      </c>
    </row>
    <row r="164" spans="1:23" x14ac:dyDescent="0.3">
      <c r="A164" s="184"/>
      <c r="B164" s="194">
        <v>17</v>
      </c>
      <c r="C164" s="195">
        <v>45559</v>
      </c>
      <c r="D164" s="196" t="s">
        <v>16</v>
      </c>
      <c r="E164" s="196" t="s">
        <v>916</v>
      </c>
      <c r="F164" s="222">
        <v>170</v>
      </c>
      <c r="G164" s="222">
        <v>179</v>
      </c>
      <c r="H164" s="263">
        <v>9</v>
      </c>
      <c r="I164" s="218">
        <v>100</v>
      </c>
      <c r="J164" s="268">
        <f t="shared" si="11"/>
        <v>900</v>
      </c>
      <c r="K164" s="185"/>
      <c r="V164" s="183">
        <f t="shared" si="12"/>
        <v>1</v>
      </c>
      <c r="W164" s="183">
        <f t="shared" si="13"/>
        <v>0</v>
      </c>
    </row>
    <row r="165" spans="1:23" x14ac:dyDescent="0.3">
      <c r="A165" s="184"/>
      <c r="B165" s="194">
        <v>18</v>
      </c>
      <c r="C165" s="195">
        <v>45560</v>
      </c>
      <c r="D165" s="196" t="s">
        <v>16</v>
      </c>
      <c r="E165" s="196" t="s">
        <v>916</v>
      </c>
      <c r="F165" s="222">
        <v>210</v>
      </c>
      <c r="G165" s="222">
        <v>219</v>
      </c>
      <c r="H165" s="274">
        <v>9</v>
      </c>
      <c r="I165" s="218">
        <v>100</v>
      </c>
      <c r="J165" s="268">
        <f t="shared" si="11"/>
        <v>900</v>
      </c>
      <c r="K165" s="185"/>
      <c r="V165" s="183">
        <f t="shared" si="12"/>
        <v>1</v>
      </c>
      <c r="W165" s="183">
        <f t="shared" si="13"/>
        <v>0</v>
      </c>
    </row>
    <row r="166" spans="1:23" x14ac:dyDescent="0.3">
      <c r="A166" s="184"/>
      <c r="B166" s="194">
        <v>19</v>
      </c>
      <c r="C166" s="195">
        <v>45561</v>
      </c>
      <c r="D166" s="196" t="s">
        <v>16</v>
      </c>
      <c r="E166" s="196" t="s">
        <v>947</v>
      </c>
      <c r="F166" s="222">
        <v>205</v>
      </c>
      <c r="G166" s="222">
        <v>240</v>
      </c>
      <c r="H166" s="274">
        <v>35</v>
      </c>
      <c r="I166" s="218">
        <v>100</v>
      </c>
      <c r="J166" s="268">
        <f t="shared" si="11"/>
        <v>3500</v>
      </c>
      <c r="K166" s="185"/>
      <c r="V166" s="183">
        <f t="shared" si="12"/>
        <v>1</v>
      </c>
      <c r="W166" s="183">
        <f t="shared" si="13"/>
        <v>0</v>
      </c>
    </row>
    <row r="167" spans="1:23" x14ac:dyDescent="0.3">
      <c r="A167" s="184"/>
      <c r="B167" s="194">
        <v>20</v>
      </c>
      <c r="C167" s="195">
        <v>45562</v>
      </c>
      <c r="D167" s="196" t="s">
        <v>16</v>
      </c>
      <c r="E167" s="222" t="s">
        <v>947</v>
      </c>
      <c r="F167" s="222">
        <v>205</v>
      </c>
      <c r="G167" s="222">
        <v>215</v>
      </c>
      <c r="H167" s="274">
        <v>10</v>
      </c>
      <c r="I167" s="218">
        <v>100</v>
      </c>
      <c r="J167" s="268">
        <f t="shared" si="11"/>
        <v>1000</v>
      </c>
      <c r="K167" s="185"/>
      <c r="V167" s="183">
        <f t="shared" si="12"/>
        <v>1</v>
      </c>
      <c r="W167" s="183">
        <f t="shared" si="13"/>
        <v>0</v>
      </c>
    </row>
    <row r="168" spans="1:23" hidden="1" x14ac:dyDescent="0.3">
      <c r="A168" s="184"/>
      <c r="B168" s="194">
        <v>21</v>
      </c>
      <c r="C168" s="195"/>
      <c r="D168" s="196"/>
      <c r="E168" s="222"/>
      <c r="F168" s="222"/>
      <c r="G168" s="222"/>
      <c r="H168" s="274"/>
      <c r="I168" s="218"/>
      <c r="J168" s="268">
        <f t="shared" si="11"/>
        <v>0</v>
      </c>
      <c r="K168" s="185"/>
      <c r="V168" s="183">
        <f t="shared" si="12"/>
        <v>0</v>
      </c>
      <c r="W168" s="183">
        <f t="shared" si="13"/>
        <v>0</v>
      </c>
    </row>
    <row r="169" spans="1:23" hidden="1" x14ac:dyDescent="0.3">
      <c r="A169" s="184"/>
      <c r="B169" s="194">
        <v>22</v>
      </c>
      <c r="C169" s="195"/>
      <c r="D169" s="196"/>
      <c r="E169" s="222"/>
      <c r="F169" s="222"/>
      <c r="G169" s="222"/>
      <c r="H169" s="222"/>
      <c r="I169" s="218"/>
      <c r="J169" s="268">
        <f>I169*H169</f>
        <v>0</v>
      </c>
      <c r="K169" s="185"/>
      <c r="V169" s="183">
        <f t="shared" si="12"/>
        <v>0</v>
      </c>
      <c r="W169" s="183">
        <f t="shared" si="13"/>
        <v>0</v>
      </c>
    </row>
    <row r="170" spans="1:23" ht="15" thickBot="1" x14ac:dyDescent="0.35">
      <c r="A170" s="184"/>
      <c r="B170" s="199">
        <v>23</v>
      </c>
      <c r="C170" s="200">
        <v>45565</v>
      </c>
      <c r="D170" s="201" t="s">
        <v>16</v>
      </c>
      <c r="E170" s="201" t="s">
        <v>923</v>
      </c>
      <c r="F170" s="284">
        <v>225</v>
      </c>
      <c r="G170" s="284">
        <v>265</v>
      </c>
      <c r="H170" s="284">
        <f>265-225</f>
        <v>40</v>
      </c>
      <c r="I170" s="285">
        <v>100</v>
      </c>
      <c r="J170" s="269">
        <f>I170*H170</f>
        <v>4000</v>
      </c>
      <c r="K170" s="185"/>
      <c r="V170" s="183">
        <f t="shared" si="12"/>
        <v>1</v>
      </c>
      <c r="W170" s="183">
        <f t="shared" si="13"/>
        <v>0</v>
      </c>
    </row>
    <row r="171" spans="1:23" ht="24" thickBot="1" x14ac:dyDescent="0.5">
      <c r="A171" s="184"/>
      <c r="B171" s="304" t="s">
        <v>879</v>
      </c>
      <c r="C171" s="305"/>
      <c r="D171" s="305"/>
      <c r="E171" s="305"/>
      <c r="F171" s="305"/>
      <c r="G171" s="305"/>
      <c r="H171" s="306"/>
      <c r="I171" s="203" t="s">
        <v>880</v>
      </c>
      <c r="J171" s="204">
        <f>SUM(J148:J170)</f>
        <v>32500</v>
      </c>
      <c r="K171" s="185"/>
      <c r="V171" s="183">
        <f>SUM(V148:V170)</f>
        <v>18</v>
      </c>
      <c r="W171" s="183">
        <f>SUM(W148:W170)</f>
        <v>3</v>
      </c>
    </row>
    <row r="172" spans="1:23" ht="30" customHeight="1" thickBot="1" x14ac:dyDescent="0.35">
      <c r="A172" s="205"/>
      <c r="B172" s="286"/>
      <c r="C172" s="286"/>
      <c r="D172" s="286"/>
      <c r="E172" s="286"/>
      <c r="F172" s="286"/>
      <c r="G172" s="286"/>
      <c r="H172" s="287"/>
      <c r="I172" s="286"/>
      <c r="J172" s="287"/>
      <c r="K172" s="207"/>
    </row>
  </sheetData>
  <mergeCells count="54">
    <mergeCell ref="M10:M11"/>
    <mergeCell ref="B145:J145"/>
    <mergeCell ref="B146:J146"/>
    <mergeCell ref="B171:H171"/>
    <mergeCell ref="B103:H103"/>
    <mergeCell ref="B107:J107"/>
    <mergeCell ref="B108:J108"/>
    <mergeCell ref="B109:J109"/>
    <mergeCell ref="B140:H140"/>
    <mergeCell ref="B144:J144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3BAE07D1-F788-40C7-8672-075C1FF8D1D5}"/>
    <hyperlink ref="B103" r:id="rId2" xr:uid="{6E6D1CBE-C34D-402C-94EA-BB1606F5ACC1}"/>
    <hyperlink ref="M4:M5" location="'SEP 2024'!A1" display="BULLION" xr:uid="{5EA0E08F-FDF9-4E70-B972-E461A7D4D0D3}"/>
    <hyperlink ref="B140" r:id="rId3" xr:uid="{0BA73662-7F76-4D67-94DA-CC607E1543C8}"/>
    <hyperlink ref="M8:M9" location="'SEP 2024'!A86" display="BASE METAL" xr:uid="{CCC328C4-7A09-430B-A2E8-6DD91BC08BC4}"/>
    <hyperlink ref="M1" location="MASTER!A1" display="Back" xr:uid="{0A8E1FA0-4E67-4789-B735-339DEE3DBA73}"/>
    <hyperlink ref="M6:M7" location="'SEP 2024'!A55" display="ENERGY" xr:uid="{3BBCEFE8-380B-48CF-A401-95B18E45CAB0}"/>
    <hyperlink ref="B171" r:id="rId4" xr:uid="{B9B930BF-BE9D-43E1-A372-D4A868E0FD4C}"/>
    <hyperlink ref="M10:M11" location="'SEP 2024'!A117" display="CRUDEOIL OPTION" xr:uid="{25C913AC-AE03-4F72-AFC1-82FF6F68F5E1}"/>
  </hyperlinks>
  <pageMargins left="0" right="0" top="0" bottom="0" header="0" footer="0"/>
  <pageSetup paperSize="9" orientation="portrait" r:id="rId5"/>
  <drawing r:id="rId6"/>
  <legacyDrawing r:id="rId7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7AB2C-86F6-41ED-A5AC-529D609851BB}">
  <dimension ref="A1:X173"/>
  <sheetViews>
    <sheetView topLeftCell="A140" zoomScaleNormal="100" workbookViewId="0">
      <selection activeCell="N25" sqref="N25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9.109375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45566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44</v>
      </c>
      <c r="O4" s="369">
        <f>V52</f>
        <v>36</v>
      </c>
      <c r="P4" s="369">
        <f>W52</f>
        <v>8</v>
      </c>
      <c r="Q4" s="349">
        <f>N4-O4-P4</f>
        <v>0</v>
      </c>
      <c r="R4" s="343">
        <f>O4/N4</f>
        <v>0.81818181818181823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45566</v>
      </c>
      <c r="D6" s="192" t="s">
        <v>16</v>
      </c>
      <c r="E6" s="192" t="s">
        <v>24</v>
      </c>
      <c r="F6" s="193">
        <v>75850</v>
      </c>
      <c r="G6" s="193">
        <v>75950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COUNT(C60:C103)</f>
        <v>44</v>
      </c>
      <c r="O6" s="348">
        <f>V104</f>
        <v>37</v>
      </c>
      <c r="P6" s="348">
        <f>W104</f>
        <v>7</v>
      </c>
      <c r="Q6" s="349">
        <v>0</v>
      </c>
      <c r="R6" s="345">
        <f t="shared" ref="R6" si="0">O6/N6</f>
        <v>0.84090909090909094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45566</v>
      </c>
      <c r="D7" s="196" t="s">
        <v>23</v>
      </c>
      <c r="E7" s="196" t="s">
        <v>22</v>
      </c>
      <c r="F7" s="197">
        <v>91100</v>
      </c>
      <c r="G7" s="197">
        <v>90950</v>
      </c>
      <c r="H7" s="196">
        <f>91100-90950</f>
        <v>150</v>
      </c>
      <c r="I7" s="197">
        <v>30</v>
      </c>
      <c r="J7" s="268">
        <f t="shared" ref="J7:J51" si="1">H7*I7</f>
        <v>4500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45568</v>
      </c>
      <c r="D8" s="196" t="s">
        <v>23</v>
      </c>
      <c r="E8" s="196" t="s">
        <v>24</v>
      </c>
      <c r="F8" s="197">
        <v>75900</v>
      </c>
      <c r="G8" s="197">
        <v>76000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COUNT(C112:C140)</f>
        <v>22</v>
      </c>
      <c r="O8" s="348">
        <v>17</v>
      </c>
      <c r="P8" s="348">
        <v>5</v>
      </c>
      <c r="Q8" s="349">
        <v>0</v>
      </c>
      <c r="R8" s="345">
        <f t="shared" ref="R8" si="4">O8/N8</f>
        <v>0.77272727272727271</v>
      </c>
      <c r="V8" s="183">
        <f t="shared" si="2"/>
        <v>0</v>
      </c>
      <c r="W8" s="183">
        <f t="shared" si="3"/>
        <v>1</v>
      </c>
    </row>
    <row r="9" spans="1:23" x14ac:dyDescent="0.3">
      <c r="A9" s="184"/>
      <c r="B9" s="194">
        <v>4</v>
      </c>
      <c r="C9" s="195">
        <v>45568</v>
      </c>
      <c r="D9" s="196" t="s">
        <v>23</v>
      </c>
      <c r="E9" s="196" t="s">
        <v>22</v>
      </c>
      <c r="F9" s="197">
        <v>91650</v>
      </c>
      <c r="G9" s="197">
        <v>91350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45569</v>
      </c>
      <c r="D10" s="196" t="s">
        <v>23</v>
      </c>
      <c r="E10" s="196" t="s">
        <v>24</v>
      </c>
      <c r="F10" s="197">
        <v>76350</v>
      </c>
      <c r="G10" s="197">
        <v>76297</v>
      </c>
      <c r="H10" s="196">
        <f>76350-76297</f>
        <v>53</v>
      </c>
      <c r="I10" s="197">
        <v>100</v>
      </c>
      <c r="J10" s="268">
        <f t="shared" si="1"/>
        <v>5300</v>
      </c>
      <c r="K10" s="185"/>
      <c r="M10" s="364" t="s">
        <v>906</v>
      </c>
      <c r="N10" s="347">
        <f>COUNT(C149:C171)</f>
        <v>22</v>
      </c>
      <c r="O10" s="348">
        <f>V172</f>
        <v>16</v>
      </c>
      <c r="P10" s="348">
        <f>W172</f>
        <v>6</v>
      </c>
      <c r="Q10" s="349">
        <f>N10-O10-P10</f>
        <v>0</v>
      </c>
      <c r="R10" s="345">
        <f>O10/N10</f>
        <v>0.72727272727272729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45569</v>
      </c>
      <c r="D11" s="196" t="s">
        <v>23</v>
      </c>
      <c r="E11" s="196" t="s">
        <v>22</v>
      </c>
      <c r="F11" s="197">
        <v>92900</v>
      </c>
      <c r="G11" s="197">
        <v>92600</v>
      </c>
      <c r="H11" s="196">
        <v>300</v>
      </c>
      <c r="I11" s="197">
        <v>30</v>
      </c>
      <c r="J11" s="268">
        <f t="shared" si="1"/>
        <v>9000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45572</v>
      </c>
      <c r="D12" s="196" t="s">
        <v>23</v>
      </c>
      <c r="E12" s="196" t="s">
        <v>24</v>
      </c>
      <c r="F12" s="197">
        <v>76200</v>
      </c>
      <c r="G12" s="197">
        <v>76140</v>
      </c>
      <c r="H12" s="196">
        <f>76200-76140</f>
        <v>60</v>
      </c>
      <c r="I12" s="197">
        <v>100</v>
      </c>
      <c r="J12" s="268">
        <f t="shared" si="1"/>
        <v>6000</v>
      </c>
      <c r="K12" s="185"/>
      <c r="M12" s="319" t="s">
        <v>300</v>
      </c>
      <c r="N12" s="371">
        <f>SUM(N4:N11)</f>
        <v>132</v>
      </c>
      <c r="O12" s="371">
        <f>SUM(O4:O11)</f>
        <v>106</v>
      </c>
      <c r="P12" s="371">
        <f>SUM(P4:P11)</f>
        <v>26</v>
      </c>
      <c r="Q12" s="371">
        <f>SUM(Q4:Q11)</f>
        <v>0</v>
      </c>
      <c r="R12" s="343">
        <f>O12/N12</f>
        <v>0.80303030303030298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45572</v>
      </c>
      <c r="D13" s="196" t="s">
        <v>23</v>
      </c>
      <c r="E13" s="196" t="s">
        <v>22</v>
      </c>
      <c r="F13" s="197">
        <v>92700</v>
      </c>
      <c r="G13" s="197">
        <v>92100</v>
      </c>
      <c r="H13" s="196">
        <v>600</v>
      </c>
      <c r="I13" s="197">
        <v>30</v>
      </c>
      <c r="J13" s="268">
        <f t="shared" si="1"/>
        <v>18000</v>
      </c>
      <c r="K13" s="185"/>
      <c r="M13" s="320"/>
      <c r="N13" s="372"/>
      <c r="O13" s="372"/>
      <c r="P13" s="372"/>
      <c r="Q13" s="372"/>
      <c r="R13" s="344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45573</v>
      </c>
      <c r="D14" s="196" t="s">
        <v>23</v>
      </c>
      <c r="E14" s="196" t="s">
        <v>24</v>
      </c>
      <c r="F14" s="197">
        <v>75730</v>
      </c>
      <c r="G14" s="197">
        <v>75830</v>
      </c>
      <c r="H14" s="196">
        <v>-100</v>
      </c>
      <c r="I14" s="197">
        <v>100</v>
      </c>
      <c r="J14" s="268">
        <f t="shared" si="1"/>
        <v>-10000</v>
      </c>
      <c r="K14" s="185"/>
      <c r="M14" s="323" t="s">
        <v>878</v>
      </c>
      <c r="N14" s="324"/>
      <c r="O14" s="325"/>
      <c r="P14" s="332">
        <f>R12</f>
        <v>0.80303030303030298</v>
      </c>
      <c r="Q14" s="333"/>
      <c r="R14" s="334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45573</v>
      </c>
      <c r="D15" s="196" t="s">
        <v>23</v>
      </c>
      <c r="E15" s="196" t="s">
        <v>22</v>
      </c>
      <c r="F15" s="197">
        <v>90800</v>
      </c>
      <c r="G15" s="197">
        <v>91100</v>
      </c>
      <c r="H15" s="196">
        <v>-300</v>
      </c>
      <c r="I15" s="197">
        <v>30</v>
      </c>
      <c r="J15" s="268">
        <f t="shared" si="1"/>
        <v>-9000</v>
      </c>
      <c r="K15" s="185"/>
      <c r="M15" s="326"/>
      <c r="N15" s="327"/>
      <c r="O15" s="328"/>
      <c r="P15" s="335"/>
      <c r="Q15" s="336"/>
      <c r="R15" s="337"/>
      <c r="V15" s="183">
        <f t="shared" si="2"/>
        <v>0</v>
      </c>
      <c r="W15" s="183">
        <f t="shared" si="3"/>
        <v>1</v>
      </c>
    </row>
    <row r="16" spans="1:23" ht="15" thickBot="1" x14ac:dyDescent="0.35">
      <c r="A16" s="184"/>
      <c r="B16" s="194">
        <v>11</v>
      </c>
      <c r="C16" s="195">
        <v>45574</v>
      </c>
      <c r="D16" s="196" t="s">
        <v>23</v>
      </c>
      <c r="E16" s="196" t="s">
        <v>24</v>
      </c>
      <c r="F16" s="197">
        <v>75150</v>
      </c>
      <c r="G16" s="197">
        <v>75250</v>
      </c>
      <c r="H16" s="196">
        <v>-100</v>
      </c>
      <c r="I16" s="197">
        <v>100</v>
      </c>
      <c r="J16" s="268">
        <f t="shared" si="1"/>
        <v>-10000</v>
      </c>
      <c r="K16" s="185"/>
      <c r="M16" s="329"/>
      <c r="N16" s="330"/>
      <c r="O16" s="331"/>
      <c r="P16" s="338"/>
      <c r="Q16" s="339"/>
      <c r="R16" s="340"/>
      <c r="V16" s="183">
        <f t="shared" si="2"/>
        <v>0</v>
      </c>
      <c r="W16" s="183">
        <f t="shared" si="3"/>
        <v>1</v>
      </c>
    </row>
    <row r="17" spans="1:23" x14ac:dyDescent="0.3">
      <c r="A17" s="184"/>
      <c r="B17" s="194">
        <v>12</v>
      </c>
      <c r="C17" s="195">
        <v>45574</v>
      </c>
      <c r="D17" s="196" t="s">
        <v>23</v>
      </c>
      <c r="E17" s="196" t="s">
        <v>22</v>
      </c>
      <c r="F17" s="197">
        <v>89300</v>
      </c>
      <c r="G17" s="197">
        <v>89600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45575</v>
      </c>
      <c r="D18" s="196" t="s">
        <v>23</v>
      </c>
      <c r="E18" s="196" t="s">
        <v>24</v>
      </c>
      <c r="F18" s="197">
        <v>75100</v>
      </c>
      <c r="G18" s="197">
        <v>74900</v>
      </c>
      <c r="H18" s="196">
        <v>200</v>
      </c>
      <c r="I18" s="197">
        <v>100</v>
      </c>
      <c r="J18" s="268">
        <f t="shared" si="1"/>
        <v>20000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45575</v>
      </c>
      <c r="D19" s="196" t="s">
        <v>23</v>
      </c>
      <c r="E19" s="196" t="s">
        <v>22</v>
      </c>
      <c r="F19" s="197">
        <v>89100</v>
      </c>
      <c r="G19" s="197">
        <v>88500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45576</v>
      </c>
      <c r="D20" s="196" t="s">
        <v>23</v>
      </c>
      <c r="E20" s="196" t="s">
        <v>24</v>
      </c>
      <c r="F20" s="197">
        <v>75800</v>
      </c>
      <c r="G20" s="197">
        <v>75720</v>
      </c>
      <c r="H20" s="196">
        <f>75800-75720</f>
        <v>80</v>
      </c>
      <c r="I20" s="197">
        <v>100</v>
      </c>
      <c r="J20" s="268">
        <f t="shared" si="1"/>
        <v>8000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45576</v>
      </c>
      <c r="D21" s="196" t="s">
        <v>23</v>
      </c>
      <c r="E21" s="196" t="s">
        <v>22</v>
      </c>
      <c r="F21" s="197">
        <v>90900</v>
      </c>
      <c r="G21" s="197">
        <v>90700</v>
      </c>
      <c r="H21" s="196">
        <v>200</v>
      </c>
      <c r="I21" s="197">
        <v>30</v>
      </c>
      <c r="J21" s="268">
        <f t="shared" si="1"/>
        <v>6000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45579</v>
      </c>
      <c r="D22" s="196" t="s">
        <v>23</v>
      </c>
      <c r="E22" s="196" t="s">
        <v>24</v>
      </c>
      <c r="F22" s="197">
        <v>76300</v>
      </c>
      <c r="G22" s="197">
        <v>76150</v>
      </c>
      <c r="H22" s="196">
        <v>150</v>
      </c>
      <c r="I22" s="197">
        <v>100</v>
      </c>
      <c r="J22" s="268">
        <f t="shared" si="1"/>
        <v>15000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45579</v>
      </c>
      <c r="D23" s="196" t="s">
        <v>23</v>
      </c>
      <c r="E23" s="196" t="s">
        <v>22</v>
      </c>
      <c r="F23" s="197">
        <v>91500</v>
      </c>
      <c r="G23" s="197">
        <v>90900</v>
      </c>
      <c r="H23" s="196"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45580</v>
      </c>
      <c r="D24" s="196" t="s">
        <v>23</v>
      </c>
      <c r="E24" s="196" t="s">
        <v>24</v>
      </c>
      <c r="F24" s="197">
        <v>76150</v>
      </c>
      <c r="G24" s="197">
        <v>75950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45580</v>
      </c>
      <c r="D25" s="196" t="s">
        <v>23</v>
      </c>
      <c r="E25" s="196" t="s">
        <v>22</v>
      </c>
      <c r="F25" s="197">
        <v>90700</v>
      </c>
      <c r="G25" s="197">
        <v>90100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45581</v>
      </c>
      <c r="D26" s="196" t="s">
        <v>23</v>
      </c>
      <c r="E26" s="196" t="s">
        <v>24</v>
      </c>
      <c r="F26" s="197">
        <v>76820</v>
      </c>
      <c r="G26" s="197">
        <v>76620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45581</v>
      </c>
      <c r="D27" s="196" t="s">
        <v>23</v>
      </c>
      <c r="E27" s="196" t="s">
        <v>22</v>
      </c>
      <c r="F27" s="197">
        <v>92500</v>
      </c>
      <c r="G27" s="197">
        <v>92200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45582</v>
      </c>
      <c r="D28" s="196" t="s">
        <v>23</v>
      </c>
      <c r="E28" s="196" t="s">
        <v>24</v>
      </c>
      <c r="F28" s="197">
        <v>76840</v>
      </c>
      <c r="G28" s="197">
        <v>76740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45582</v>
      </c>
      <c r="D29" s="196" t="s">
        <v>23</v>
      </c>
      <c r="E29" s="196" t="s">
        <v>22</v>
      </c>
      <c r="F29" s="197">
        <v>91800</v>
      </c>
      <c r="G29" s="197">
        <v>91600</v>
      </c>
      <c r="H29" s="196">
        <v>200</v>
      </c>
      <c r="I29" s="197">
        <v>30</v>
      </c>
      <c r="J29" s="268">
        <f t="shared" si="1"/>
        <v>6000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45583</v>
      </c>
      <c r="D30" s="196" t="s">
        <v>16</v>
      </c>
      <c r="E30" s="196" t="s">
        <v>24</v>
      </c>
      <c r="F30" s="197">
        <v>77500</v>
      </c>
      <c r="G30" s="197">
        <v>77700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45583</v>
      </c>
      <c r="D31" s="196" t="s">
        <v>16</v>
      </c>
      <c r="E31" s="196" t="s">
        <v>22</v>
      </c>
      <c r="F31" s="197">
        <v>92700</v>
      </c>
      <c r="G31" s="197">
        <v>93300</v>
      </c>
      <c r="H31" s="196">
        <f>93300-92700</f>
        <v>600</v>
      </c>
      <c r="I31" s="197">
        <v>30</v>
      </c>
      <c r="J31" s="268">
        <f t="shared" si="1"/>
        <v>18000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45586</v>
      </c>
      <c r="D32" s="196" t="s">
        <v>16</v>
      </c>
      <c r="E32" s="196" t="s">
        <v>24</v>
      </c>
      <c r="F32" s="197">
        <v>78270</v>
      </c>
      <c r="G32" s="197">
        <v>78400</v>
      </c>
      <c r="H32" s="196">
        <f>78400-78270</f>
        <v>130</v>
      </c>
      <c r="I32" s="197">
        <v>100</v>
      </c>
      <c r="J32" s="268">
        <f t="shared" si="1"/>
        <v>13000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45586</v>
      </c>
      <c r="D33" s="196" t="s">
        <v>16</v>
      </c>
      <c r="E33" s="196" t="s">
        <v>22</v>
      </c>
      <c r="F33" s="197">
        <v>98000</v>
      </c>
      <c r="G33" s="197">
        <v>97700</v>
      </c>
      <c r="H33" s="196">
        <f>98000-97700</f>
        <v>300</v>
      </c>
      <c r="I33" s="197">
        <v>30</v>
      </c>
      <c r="J33" s="268">
        <f t="shared" si="1"/>
        <v>9000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45587</v>
      </c>
      <c r="D34" s="196" t="s">
        <v>16</v>
      </c>
      <c r="E34" s="196" t="s">
        <v>24</v>
      </c>
      <c r="F34" s="197">
        <v>78330</v>
      </c>
      <c r="G34" s="197">
        <v>78230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45587</v>
      </c>
      <c r="D35" s="196" t="s">
        <v>16</v>
      </c>
      <c r="E35" s="196" t="s">
        <v>22</v>
      </c>
      <c r="F35" s="197">
        <v>98400</v>
      </c>
      <c r="G35" s="197">
        <v>99000</v>
      </c>
      <c r="H35" s="196">
        <f>99000-98400</f>
        <v>600</v>
      </c>
      <c r="I35" s="197">
        <v>30</v>
      </c>
      <c r="J35" s="268">
        <f t="shared" si="1"/>
        <v>18000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45588</v>
      </c>
      <c r="D36" s="196" t="s">
        <v>23</v>
      </c>
      <c r="E36" s="196" t="s">
        <v>24</v>
      </c>
      <c r="F36" s="197">
        <v>78900</v>
      </c>
      <c r="G36" s="197">
        <v>78700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45588</v>
      </c>
      <c r="D37" s="196" t="s">
        <v>23</v>
      </c>
      <c r="E37" s="196" t="s">
        <v>22</v>
      </c>
      <c r="F37" s="197">
        <v>99700</v>
      </c>
      <c r="G37" s="197">
        <v>99100</v>
      </c>
      <c r="H37" s="196">
        <v>600</v>
      </c>
      <c r="I37" s="197">
        <v>30</v>
      </c>
      <c r="J37" s="268">
        <f t="shared" si="1"/>
        <v>18000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45589</v>
      </c>
      <c r="D38" s="196" t="s">
        <v>23</v>
      </c>
      <c r="E38" s="196" t="s">
        <v>24</v>
      </c>
      <c r="F38" s="197">
        <v>78350</v>
      </c>
      <c r="G38" s="197">
        <v>78280</v>
      </c>
      <c r="H38" s="196">
        <f>78350-78280</f>
        <v>70</v>
      </c>
      <c r="I38" s="197">
        <v>100</v>
      </c>
      <c r="J38" s="268">
        <f t="shared" si="1"/>
        <v>7000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45589</v>
      </c>
      <c r="D39" s="196" t="s">
        <v>23</v>
      </c>
      <c r="E39" s="196" t="s">
        <v>22</v>
      </c>
      <c r="F39" s="197">
        <v>98400</v>
      </c>
      <c r="G39" s="197">
        <v>97980</v>
      </c>
      <c r="H39" s="196">
        <v>420</v>
      </c>
      <c r="I39" s="197">
        <v>30</v>
      </c>
      <c r="J39" s="268">
        <f t="shared" si="1"/>
        <v>12600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45590</v>
      </c>
      <c r="D40" s="196" t="s">
        <v>23</v>
      </c>
      <c r="E40" s="196" t="s">
        <v>24</v>
      </c>
      <c r="F40" s="197">
        <v>77900</v>
      </c>
      <c r="G40" s="197">
        <v>77840</v>
      </c>
      <c r="H40" s="196">
        <f>77900-77840</f>
        <v>60</v>
      </c>
      <c r="I40" s="197">
        <v>100</v>
      </c>
      <c r="J40" s="268">
        <f t="shared" si="1"/>
        <v>6000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45590</v>
      </c>
      <c r="D41" s="196" t="s">
        <v>23</v>
      </c>
      <c r="E41" s="196" t="s">
        <v>22</v>
      </c>
      <c r="F41" s="197">
        <v>95900</v>
      </c>
      <c r="G41" s="197">
        <v>95700</v>
      </c>
      <c r="H41" s="196">
        <v>200</v>
      </c>
      <c r="I41" s="197">
        <v>30</v>
      </c>
      <c r="J41" s="268">
        <f t="shared" si="1"/>
        <v>6000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45593</v>
      </c>
      <c r="D42" s="196" t="s">
        <v>23</v>
      </c>
      <c r="E42" s="196" t="s">
        <v>24</v>
      </c>
      <c r="F42" s="197">
        <v>78400</v>
      </c>
      <c r="G42" s="197">
        <v>78200</v>
      </c>
      <c r="H42" s="196">
        <v>200</v>
      </c>
      <c r="I42" s="197">
        <v>100</v>
      </c>
      <c r="J42" s="268">
        <f t="shared" si="1"/>
        <v>20000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45593</v>
      </c>
      <c r="D43" s="196" t="s">
        <v>23</v>
      </c>
      <c r="E43" s="196" t="s">
        <v>22</v>
      </c>
      <c r="F43" s="197">
        <v>96800</v>
      </c>
      <c r="G43" s="197">
        <v>96250</v>
      </c>
      <c r="H43" s="196">
        <v>550</v>
      </c>
      <c r="I43" s="197">
        <v>30</v>
      </c>
      <c r="J43" s="268">
        <f t="shared" si="1"/>
        <v>16500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45594</v>
      </c>
      <c r="D44" s="196" t="s">
        <v>23</v>
      </c>
      <c r="E44" s="196" t="s">
        <v>24</v>
      </c>
      <c r="F44" s="197">
        <v>78720</v>
      </c>
      <c r="G44" s="197">
        <v>78820</v>
      </c>
      <c r="H44" s="196"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45594</v>
      </c>
      <c r="D45" s="196" t="s">
        <v>23</v>
      </c>
      <c r="E45" s="196" t="s">
        <v>22</v>
      </c>
      <c r="F45" s="197">
        <v>97700</v>
      </c>
      <c r="G45" s="197">
        <v>98000</v>
      </c>
      <c r="H45" s="196">
        <f>98000-97700</f>
        <v>300</v>
      </c>
      <c r="I45" s="197">
        <v>30</v>
      </c>
      <c r="J45" s="268">
        <f t="shared" si="1"/>
        <v>9000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45595</v>
      </c>
      <c r="D46" s="196" t="s">
        <v>23</v>
      </c>
      <c r="E46" s="196" t="s">
        <v>24</v>
      </c>
      <c r="F46" s="197">
        <v>79570</v>
      </c>
      <c r="G46" s="197">
        <v>79378</v>
      </c>
      <c r="H46" s="196">
        <f>79570-79378</f>
        <v>192</v>
      </c>
      <c r="I46" s="197">
        <v>100</v>
      </c>
      <c r="J46" s="268">
        <f t="shared" si="1"/>
        <v>19200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45595</v>
      </c>
      <c r="D47" s="196" t="s">
        <v>23</v>
      </c>
      <c r="E47" s="196" t="s">
        <v>22</v>
      </c>
      <c r="F47" s="197">
        <v>99450</v>
      </c>
      <c r="G47" s="197">
        <v>98925</v>
      </c>
      <c r="H47" s="196">
        <f>99450-98925</f>
        <v>525</v>
      </c>
      <c r="I47" s="197">
        <v>30</v>
      </c>
      <c r="J47" s="268">
        <f t="shared" si="1"/>
        <v>15750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>
        <v>45596</v>
      </c>
      <c r="D48" s="196" t="s">
        <v>16</v>
      </c>
      <c r="E48" s="196" t="s">
        <v>24</v>
      </c>
      <c r="F48" s="197">
        <v>79550</v>
      </c>
      <c r="G48" s="197">
        <v>79620</v>
      </c>
      <c r="H48" s="196">
        <f>79620-79550</f>
        <v>70</v>
      </c>
      <c r="I48" s="197">
        <v>100</v>
      </c>
      <c r="J48" s="268">
        <f t="shared" si="1"/>
        <v>7000</v>
      </c>
      <c r="K48" s="185"/>
      <c r="V48" s="183">
        <f t="shared" si="2"/>
        <v>1</v>
      </c>
      <c r="W48" s="183">
        <f t="shared" si="3"/>
        <v>0</v>
      </c>
    </row>
    <row r="49" spans="1:23" x14ac:dyDescent="0.3">
      <c r="A49" s="184"/>
      <c r="B49" s="194">
        <v>44</v>
      </c>
      <c r="C49" s="195">
        <v>45596</v>
      </c>
      <c r="D49" s="196" t="s">
        <v>16</v>
      </c>
      <c r="E49" s="196" t="s">
        <v>22</v>
      </c>
      <c r="F49" s="197">
        <v>97200</v>
      </c>
      <c r="G49" s="197">
        <v>96900</v>
      </c>
      <c r="H49" s="196">
        <v>-300</v>
      </c>
      <c r="I49" s="197">
        <v>30</v>
      </c>
      <c r="J49" s="268">
        <f t="shared" si="1"/>
        <v>-9000</v>
      </c>
      <c r="K49" s="185"/>
      <c r="V49" s="183">
        <f t="shared" si="2"/>
        <v>0</v>
      </c>
      <c r="W49" s="183">
        <f t="shared" si="3"/>
        <v>1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387850</v>
      </c>
      <c r="K52" s="185"/>
      <c r="V52" s="183">
        <f>SUM(V6:V51)</f>
        <v>36</v>
      </c>
      <c r="W52" s="183">
        <f>SUM(W6:W51)</f>
        <v>8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45566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45566</v>
      </c>
      <c r="D60" s="192" t="s">
        <v>23</v>
      </c>
      <c r="E60" s="192" t="s">
        <v>25</v>
      </c>
      <c r="F60" s="193">
        <v>5610</v>
      </c>
      <c r="G60" s="193">
        <v>5580</v>
      </c>
      <c r="H60" s="192">
        <f>5610-5580</f>
        <v>30</v>
      </c>
      <c r="I60" s="193">
        <v>100</v>
      </c>
      <c r="J60" s="267">
        <f t="shared" ref="J60:J103" si="5">I60*H60</f>
        <v>3000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45566</v>
      </c>
      <c r="D61" s="196" t="s">
        <v>23</v>
      </c>
      <c r="E61" s="196" t="s">
        <v>939</v>
      </c>
      <c r="F61" s="222">
        <v>243</v>
      </c>
      <c r="G61" s="222">
        <v>240</v>
      </c>
      <c r="H61" s="222">
        <v>3</v>
      </c>
      <c r="I61" s="197">
        <v>2500</v>
      </c>
      <c r="J61" s="268">
        <f t="shared" si="5"/>
        <v>7500</v>
      </c>
      <c r="K61" s="185"/>
      <c r="V61" s="183">
        <f t="shared" ref="V61:V103" si="6">IF($J61&gt;0,1,0)</f>
        <v>1</v>
      </c>
      <c r="W61" s="183">
        <f t="shared" ref="W61:W103" si="7">IF($J61&lt;0,1,0)</f>
        <v>0</v>
      </c>
    </row>
    <row r="62" spans="1:23" x14ac:dyDescent="0.3">
      <c r="A62" s="184"/>
      <c r="B62" s="194">
        <v>3</v>
      </c>
      <c r="C62" s="195">
        <v>45568</v>
      </c>
      <c r="D62" s="196" t="s">
        <v>23</v>
      </c>
      <c r="E62" s="196" t="s">
        <v>25</v>
      </c>
      <c r="F62" s="197">
        <v>5960</v>
      </c>
      <c r="G62" s="197">
        <v>5940</v>
      </c>
      <c r="H62" s="222">
        <v>20</v>
      </c>
      <c r="I62" s="197">
        <v>100</v>
      </c>
      <c r="J62" s="268">
        <f t="shared" si="5"/>
        <v>2000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45568</v>
      </c>
      <c r="D63" s="196" t="s">
        <v>23</v>
      </c>
      <c r="E63" s="196" t="s">
        <v>939</v>
      </c>
      <c r="F63" s="222">
        <v>246</v>
      </c>
      <c r="G63" s="222">
        <v>243</v>
      </c>
      <c r="H63" s="222">
        <v>3</v>
      </c>
      <c r="I63" s="197">
        <v>2500</v>
      </c>
      <c r="J63" s="268">
        <f t="shared" si="5"/>
        <v>7500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45569</v>
      </c>
      <c r="D64" s="196" t="s">
        <v>23</v>
      </c>
      <c r="E64" s="196" t="s">
        <v>25</v>
      </c>
      <c r="F64" s="197">
        <v>6250</v>
      </c>
      <c r="G64" s="197">
        <v>6290</v>
      </c>
      <c r="H64" s="196">
        <v>-40</v>
      </c>
      <c r="I64" s="197">
        <v>100</v>
      </c>
      <c r="J64" s="268">
        <f t="shared" si="5"/>
        <v>-4000</v>
      </c>
      <c r="K64" s="185"/>
      <c r="V64" s="183">
        <f t="shared" si="6"/>
        <v>0</v>
      </c>
      <c r="W64" s="183">
        <f t="shared" si="7"/>
        <v>1</v>
      </c>
    </row>
    <row r="65" spans="1:23" x14ac:dyDescent="0.3">
      <c r="A65" s="184"/>
      <c r="B65" s="194">
        <v>6</v>
      </c>
      <c r="C65" s="195">
        <v>45569</v>
      </c>
      <c r="D65" s="196" t="s">
        <v>23</v>
      </c>
      <c r="E65" s="196" t="s">
        <v>939</v>
      </c>
      <c r="F65" s="222">
        <v>250</v>
      </c>
      <c r="G65" s="222">
        <v>253</v>
      </c>
      <c r="H65" s="196">
        <v>-3</v>
      </c>
      <c r="I65" s="197">
        <v>2500</v>
      </c>
      <c r="J65" s="268">
        <f t="shared" si="5"/>
        <v>-7500</v>
      </c>
      <c r="K65" s="185"/>
      <c r="V65" s="183">
        <f t="shared" si="6"/>
        <v>0</v>
      </c>
      <c r="W65" s="183">
        <f t="shared" si="7"/>
        <v>1</v>
      </c>
    </row>
    <row r="66" spans="1:23" x14ac:dyDescent="0.3">
      <c r="A66" s="184"/>
      <c r="B66" s="194">
        <v>7</v>
      </c>
      <c r="C66" s="195">
        <v>45572</v>
      </c>
      <c r="D66" s="196" t="s">
        <v>23</v>
      </c>
      <c r="E66" s="196" t="s">
        <v>25</v>
      </c>
      <c r="F66" s="222">
        <v>6400</v>
      </c>
      <c r="G66" s="222">
        <v>6357</v>
      </c>
      <c r="H66" s="196">
        <f>6400-6357</f>
        <v>43</v>
      </c>
      <c r="I66" s="197">
        <v>100</v>
      </c>
      <c r="J66" s="268">
        <f t="shared" si="5"/>
        <v>4300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45572</v>
      </c>
      <c r="D67" s="196" t="s">
        <v>23</v>
      </c>
      <c r="E67" s="196" t="s">
        <v>939</v>
      </c>
      <c r="F67" s="222">
        <v>238</v>
      </c>
      <c r="G67" s="222">
        <v>235</v>
      </c>
      <c r="H67" s="222">
        <v>3</v>
      </c>
      <c r="I67" s="197">
        <v>2500</v>
      </c>
      <c r="J67" s="268">
        <f t="shared" si="5"/>
        <v>7500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45573</v>
      </c>
      <c r="D68" s="196" t="s">
        <v>23</v>
      </c>
      <c r="E68" s="196" t="s">
        <v>25</v>
      </c>
      <c r="F68" s="197">
        <v>6360</v>
      </c>
      <c r="G68" s="197">
        <v>6330</v>
      </c>
      <c r="H68" s="196">
        <v>30</v>
      </c>
      <c r="I68" s="197">
        <v>100</v>
      </c>
      <c r="J68" s="268">
        <f t="shared" si="5"/>
        <v>3000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45573</v>
      </c>
      <c r="D69" s="196" t="s">
        <v>23</v>
      </c>
      <c r="E69" s="196" t="s">
        <v>939</v>
      </c>
      <c r="F69" s="222">
        <v>232</v>
      </c>
      <c r="G69" s="222">
        <v>229</v>
      </c>
      <c r="H69" s="222">
        <v>3</v>
      </c>
      <c r="I69" s="197">
        <v>2500</v>
      </c>
      <c r="J69" s="268">
        <f t="shared" si="5"/>
        <v>7500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45574</v>
      </c>
      <c r="D70" s="196" t="s">
        <v>23</v>
      </c>
      <c r="E70" s="196" t="s">
        <v>25</v>
      </c>
      <c r="F70" s="197">
        <v>6220</v>
      </c>
      <c r="G70" s="222">
        <v>6150</v>
      </c>
      <c r="H70" s="196">
        <f>6220-6150</f>
        <v>70</v>
      </c>
      <c r="I70" s="197">
        <v>100</v>
      </c>
      <c r="J70" s="268">
        <f t="shared" si="5"/>
        <v>7000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45574</v>
      </c>
      <c r="D71" s="196" t="s">
        <v>23</v>
      </c>
      <c r="E71" s="196" t="s">
        <v>939</v>
      </c>
      <c r="F71" s="222">
        <v>227.5</v>
      </c>
      <c r="G71" s="222">
        <v>226</v>
      </c>
      <c r="H71" s="222">
        <f>227.5-226</f>
        <v>1.5</v>
      </c>
      <c r="I71" s="197">
        <v>2500</v>
      </c>
      <c r="J71" s="268">
        <f t="shared" si="5"/>
        <v>3750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45575</v>
      </c>
      <c r="D72" s="196" t="s">
        <v>23</v>
      </c>
      <c r="E72" s="196" t="s">
        <v>25</v>
      </c>
      <c r="F72" s="197">
        <v>6220</v>
      </c>
      <c r="G72" s="222">
        <v>6200</v>
      </c>
      <c r="H72" s="196">
        <v>20</v>
      </c>
      <c r="I72" s="197">
        <v>100</v>
      </c>
      <c r="J72" s="268">
        <f t="shared" si="5"/>
        <v>2000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45575</v>
      </c>
      <c r="D73" s="196" t="s">
        <v>23</v>
      </c>
      <c r="E73" s="196" t="s">
        <v>939</v>
      </c>
      <c r="F73" s="222">
        <v>222</v>
      </c>
      <c r="G73" s="222">
        <v>219</v>
      </c>
      <c r="H73" s="196">
        <v>3</v>
      </c>
      <c r="I73" s="197">
        <v>2500</v>
      </c>
      <c r="J73" s="268">
        <f t="shared" si="5"/>
        <v>7500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45576</v>
      </c>
      <c r="D74" s="196" t="s">
        <v>23</v>
      </c>
      <c r="E74" s="196" t="s">
        <v>25</v>
      </c>
      <c r="F74" s="197">
        <v>6345</v>
      </c>
      <c r="G74" s="222">
        <v>6275</v>
      </c>
      <c r="H74" s="196">
        <f>6345-6275</f>
        <v>70</v>
      </c>
      <c r="I74" s="197">
        <v>100</v>
      </c>
      <c r="J74" s="268">
        <f t="shared" si="5"/>
        <v>7000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45576</v>
      </c>
      <c r="D75" s="196" t="s">
        <v>23</v>
      </c>
      <c r="E75" s="196" t="s">
        <v>939</v>
      </c>
      <c r="F75" s="222">
        <v>226</v>
      </c>
      <c r="G75" s="222">
        <v>229</v>
      </c>
      <c r="H75" s="196">
        <v>3</v>
      </c>
      <c r="I75" s="197">
        <v>2500</v>
      </c>
      <c r="J75" s="268">
        <f t="shared" si="5"/>
        <v>7500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45579</v>
      </c>
      <c r="D76" s="196" t="s">
        <v>23</v>
      </c>
      <c r="E76" s="196" t="s">
        <v>25</v>
      </c>
      <c r="F76" s="197">
        <v>6220</v>
      </c>
      <c r="G76" s="197">
        <v>6181</v>
      </c>
      <c r="H76" s="196">
        <f>6220-6181</f>
        <v>39</v>
      </c>
      <c r="I76" s="197">
        <v>100</v>
      </c>
      <c r="J76" s="268">
        <f t="shared" si="5"/>
        <v>3900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45579</v>
      </c>
      <c r="D77" s="196" t="s">
        <v>23</v>
      </c>
      <c r="E77" s="196" t="s">
        <v>939</v>
      </c>
      <c r="F77" s="222">
        <v>218</v>
      </c>
      <c r="G77" s="222">
        <v>215</v>
      </c>
      <c r="H77" s="222">
        <v>3</v>
      </c>
      <c r="I77" s="197">
        <v>2500</v>
      </c>
      <c r="J77" s="268">
        <f t="shared" si="5"/>
        <v>7500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45580</v>
      </c>
      <c r="D78" s="196" t="s">
        <v>23</v>
      </c>
      <c r="E78" s="196" t="s">
        <v>25</v>
      </c>
      <c r="F78" s="197">
        <v>5940</v>
      </c>
      <c r="G78" s="197">
        <v>5887</v>
      </c>
      <c r="H78" s="196">
        <f>5940-5887</f>
        <v>53</v>
      </c>
      <c r="I78" s="197">
        <v>100</v>
      </c>
      <c r="J78" s="268">
        <f t="shared" si="5"/>
        <v>5300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45580</v>
      </c>
      <c r="D79" s="196" t="s">
        <v>23</v>
      </c>
      <c r="E79" s="196" t="s">
        <v>939</v>
      </c>
      <c r="F79" s="222">
        <v>208</v>
      </c>
      <c r="G79" s="222">
        <v>206.5</v>
      </c>
      <c r="H79" s="196">
        <v>1.5</v>
      </c>
      <c r="I79" s="197">
        <v>2500</v>
      </c>
      <c r="J79" s="268">
        <f t="shared" si="5"/>
        <v>3750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45581</v>
      </c>
      <c r="D80" s="196" t="s">
        <v>23</v>
      </c>
      <c r="E80" s="196" t="s">
        <v>25</v>
      </c>
      <c r="F80" s="197">
        <v>5950</v>
      </c>
      <c r="G80" s="197">
        <v>5905</v>
      </c>
      <c r="H80" s="196">
        <v>45</v>
      </c>
      <c r="I80" s="197">
        <v>100</v>
      </c>
      <c r="J80" s="268">
        <f t="shared" si="5"/>
        <v>4500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45581</v>
      </c>
      <c r="D81" s="196" t="s">
        <v>23</v>
      </c>
      <c r="E81" s="196" t="s">
        <v>939</v>
      </c>
      <c r="F81" s="197">
        <v>210</v>
      </c>
      <c r="G81" s="222">
        <v>209</v>
      </c>
      <c r="H81" s="222">
        <v>1</v>
      </c>
      <c r="I81" s="197">
        <v>2500</v>
      </c>
      <c r="J81" s="268">
        <f t="shared" si="5"/>
        <v>2500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45582</v>
      </c>
      <c r="D82" s="196" t="s">
        <v>23</v>
      </c>
      <c r="E82" s="196" t="s">
        <v>25</v>
      </c>
      <c r="F82" s="197">
        <v>5940</v>
      </c>
      <c r="G82" s="197">
        <v>8910</v>
      </c>
      <c r="H82" s="196">
        <v>30</v>
      </c>
      <c r="I82" s="197">
        <v>100</v>
      </c>
      <c r="J82" s="268">
        <f t="shared" si="5"/>
        <v>3000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45582</v>
      </c>
      <c r="D83" s="196" t="s">
        <v>23</v>
      </c>
      <c r="E83" s="196" t="s">
        <v>939</v>
      </c>
      <c r="F83" s="197">
        <v>199</v>
      </c>
      <c r="G83" s="222">
        <v>202</v>
      </c>
      <c r="H83" s="222">
        <v>-3</v>
      </c>
      <c r="I83" s="197">
        <v>2500</v>
      </c>
      <c r="J83" s="268">
        <f t="shared" si="5"/>
        <v>-7500</v>
      </c>
      <c r="K83" s="185"/>
      <c r="V83" s="183">
        <f t="shared" si="6"/>
        <v>0</v>
      </c>
      <c r="W83" s="183">
        <f t="shared" si="7"/>
        <v>1</v>
      </c>
    </row>
    <row r="84" spans="1:23" x14ac:dyDescent="0.3">
      <c r="A84" s="184"/>
      <c r="B84" s="194">
        <v>25</v>
      </c>
      <c r="C84" s="195">
        <v>45583</v>
      </c>
      <c r="D84" s="196" t="s">
        <v>23</v>
      </c>
      <c r="E84" s="196" t="s">
        <v>25</v>
      </c>
      <c r="F84" s="197">
        <v>5950</v>
      </c>
      <c r="G84" s="222">
        <v>5907</v>
      </c>
      <c r="H84" s="222">
        <f>5950-5907</f>
        <v>43</v>
      </c>
      <c r="I84" s="197">
        <v>100</v>
      </c>
      <c r="J84" s="268">
        <f t="shared" si="5"/>
        <v>4300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45583</v>
      </c>
      <c r="D85" s="196" t="s">
        <v>23</v>
      </c>
      <c r="E85" s="196" t="s">
        <v>939</v>
      </c>
      <c r="F85" s="222">
        <v>197.5</v>
      </c>
      <c r="G85" s="222">
        <v>194.5</v>
      </c>
      <c r="H85" s="196">
        <v>3</v>
      </c>
      <c r="I85" s="197">
        <v>2500</v>
      </c>
      <c r="J85" s="268">
        <f t="shared" si="5"/>
        <v>7500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45586</v>
      </c>
      <c r="D86" s="196" t="s">
        <v>23</v>
      </c>
      <c r="E86" s="196" t="s">
        <v>25</v>
      </c>
      <c r="F86" s="197">
        <v>5880</v>
      </c>
      <c r="G86" s="197">
        <v>5920</v>
      </c>
      <c r="H86" s="196">
        <v>-40</v>
      </c>
      <c r="I86" s="197">
        <v>100</v>
      </c>
      <c r="J86" s="268">
        <f t="shared" si="5"/>
        <v>-4000</v>
      </c>
      <c r="K86" s="185"/>
      <c r="V86" s="183">
        <f t="shared" si="6"/>
        <v>0</v>
      </c>
      <c r="W86" s="183">
        <f t="shared" si="7"/>
        <v>1</v>
      </c>
    </row>
    <row r="87" spans="1:23" x14ac:dyDescent="0.3">
      <c r="A87" s="184"/>
      <c r="B87" s="194">
        <v>28</v>
      </c>
      <c r="C87" s="195">
        <v>45586</v>
      </c>
      <c r="D87" s="196" t="s">
        <v>23</v>
      </c>
      <c r="E87" s="196" t="s">
        <v>939</v>
      </c>
      <c r="F87" s="222">
        <v>192.5</v>
      </c>
      <c r="G87" s="222">
        <v>195.5</v>
      </c>
      <c r="H87" s="222">
        <v>-3</v>
      </c>
      <c r="I87" s="197">
        <v>2500</v>
      </c>
      <c r="J87" s="268">
        <f t="shared" si="5"/>
        <v>-7500</v>
      </c>
      <c r="K87" s="185"/>
      <c r="V87" s="183">
        <f t="shared" si="6"/>
        <v>0</v>
      </c>
      <c r="W87" s="183">
        <f t="shared" si="7"/>
        <v>1</v>
      </c>
    </row>
    <row r="88" spans="1:23" x14ac:dyDescent="0.3">
      <c r="A88" s="184"/>
      <c r="B88" s="194">
        <v>29</v>
      </c>
      <c r="C88" s="195">
        <v>45587</v>
      </c>
      <c r="D88" s="196" t="s">
        <v>23</v>
      </c>
      <c r="E88" s="196" t="s">
        <v>25</v>
      </c>
      <c r="F88" s="197">
        <v>5880</v>
      </c>
      <c r="G88" s="197">
        <v>5920</v>
      </c>
      <c r="H88" s="196">
        <f>5920-5880</f>
        <v>40</v>
      </c>
      <c r="I88" s="197">
        <v>100</v>
      </c>
      <c r="J88" s="268">
        <f t="shared" si="5"/>
        <v>4000</v>
      </c>
      <c r="K88" s="185"/>
      <c r="V88" s="183">
        <f t="shared" si="6"/>
        <v>1</v>
      </c>
      <c r="W88" s="183">
        <f t="shared" si="7"/>
        <v>0</v>
      </c>
    </row>
    <row r="89" spans="1:23" x14ac:dyDescent="0.3">
      <c r="A89" s="184"/>
      <c r="B89" s="194">
        <v>30</v>
      </c>
      <c r="C89" s="195">
        <v>45587</v>
      </c>
      <c r="D89" s="196" t="s">
        <v>23</v>
      </c>
      <c r="E89" s="196" t="s">
        <v>939</v>
      </c>
      <c r="F89" s="222">
        <v>197</v>
      </c>
      <c r="G89" s="222">
        <v>193</v>
      </c>
      <c r="H89" s="196">
        <v>4</v>
      </c>
      <c r="I89" s="197">
        <v>2500</v>
      </c>
      <c r="J89" s="268">
        <f t="shared" si="5"/>
        <v>10000</v>
      </c>
      <c r="K89" s="185"/>
      <c r="V89" s="183">
        <f t="shared" si="6"/>
        <v>1</v>
      </c>
      <c r="W89" s="183">
        <f t="shared" si="7"/>
        <v>0</v>
      </c>
    </row>
    <row r="90" spans="1:23" x14ac:dyDescent="0.3">
      <c r="A90" s="184"/>
      <c r="B90" s="194">
        <v>31</v>
      </c>
      <c r="C90" s="195">
        <v>45588</v>
      </c>
      <c r="D90" s="196" t="s">
        <v>23</v>
      </c>
      <c r="E90" s="196" t="s">
        <v>25</v>
      </c>
      <c r="F90" s="197">
        <v>6000</v>
      </c>
      <c r="G90" s="197">
        <v>5930</v>
      </c>
      <c r="H90" s="196">
        <f>6000-5930</f>
        <v>70</v>
      </c>
      <c r="I90" s="197">
        <v>100</v>
      </c>
      <c r="J90" s="268">
        <f t="shared" si="5"/>
        <v>7000</v>
      </c>
      <c r="K90" s="185"/>
      <c r="V90" s="183">
        <f t="shared" si="6"/>
        <v>1</v>
      </c>
      <c r="W90" s="183">
        <f t="shared" si="7"/>
        <v>0</v>
      </c>
    </row>
    <row r="91" spans="1:23" x14ac:dyDescent="0.3">
      <c r="A91" s="184"/>
      <c r="B91" s="194">
        <v>32</v>
      </c>
      <c r="C91" s="195">
        <v>45588</v>
      </c>
      <c r="D91" s="196" t="s">
        <v>23</v>
      </c>
      <c r="E91" s="196" t="s">
        <v>939</v>
      </c>
      <c r="F91" s="222">
        <v>193</v>
      </c>
      <c r="G91" s="222">
        <v>190</v>
      </c>
      <c r="H91" s="222">
        <v>3</v>
      </c>
      <c r="I91" s="197">
        <v>2500</v>
      </c>
      <c r="J91" s="268">
        <f t="shared" si="5"/>
        <v>7500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45589</v>
      </c>
      <c r="D92" s="196" t="s">
        <v>23</v>
      </c>
      <c r="E92" s="196" t="s">
        <v>25</v>
      </c>
      <c r="F92" s="197">
        <v>6060</v>
      </c>
      <c r="G92" s="197">
        <v>5990</v>
      </c>
      <c r="H92" s="196">
        <v>60</v>
      </c>
      <c r="I92" s="197">
        <v>100</v>
      </c>
      <c r="J92" s="268">
        <f t="shared" si="5"/>
        <v>6000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45589</v>
      </c>
      <c r="D93" s="196" t="s">
        <v>23</v>
      </c>
      <c r="E93" s="196" t="s">
        <v>939</v>
      </c>
      <c r="F93" s="222">
        <v>201</v>
      </c>
      <c r="G93" s="222">
        <v>199.5</v>
      </c>
      <c r="H93" s="222">
        <f>201-199.5</f>
        <v>1.5</v>
      </c>
      <c r="I93" s="197">
        <v>2500</v>
      </c>
      <c r="J93" s="268">
        <f t="shared" si="5"/>
        <v>3750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45590</v>
      </c>
      <c r="D94" s="196" t="s">
        <v>23</v>
      </c>
      <c r="E94" s="196" t="s">
        <v>25</v>
      </c>
      <c r="F94" s="197">
        <v>5930</v>
      </c>
      <c r="G94" s="197">
        <v>5970</v>
      </c>
      <c r="H94" s="196">
        <v>-30</v>
      </c>
      <c r="I94" s="197">
        <v>100</v>
      </c>
      <c r="J94" s="268">
        <f t="shared" si="5"/>
        <v>-3000</v>
      </c>
      <c r="K94" s="185"/>
      <c r="V94" s="183">
        <f t="shared" si="6"/>
        <v>0</v>
      </c>
      <c r="W94" s="183">
        <f t="shared" si="7"/>
        <v>1</v>
      </c>
    </row>
    <row r="95" spans="1:23" x14ac:dyDescent="0.3">
      <c r="A95" s="184"/>
      <c r="B95" s="194">
        <v>36</v>
      </c>
      <c r="C95" s="195">
        <v>45590</v>
      </c>
      <c r="D95" s="196" t="s">
        <v>23</v>
      </c>
      <c r="E95" s="196" t="s">
        <v>939</v>
      </c>
      <c r="F95" s="197">
        <v>255</v>
      </c>
      <c r="G95" s="222">
        <v>251</v>
      </c>
      <c r="H95" s="222">
        <v>4</v>
      </c>
      <c r="I95" s="197">
        <v>2500</v>
      </c>
      <c r="J95" s="268">
        <f t="shared" si="5"/>
        <v>10000</v>
      </c>
      <c r="K95" s="185"/>
      <c r="V95" s="183">
        <f t="shared" si="6"/>
        <v>1</v>
      </c>
      <c r="W95" s="183">
        <f t="shared" si="7"/>
        <v>0</v>
      </c>
    </row>
    <row r="96" spans="1:23" x14ac:dyDescent="0.3">
      <c r="A96" s="184"/>
      <c r="B96" s="194">
        <v>37</v>
      </c>
      <c r="C96" s="195">
        <v>45593</v>
      </c>
      <c r="D96" s="196" t="s">
        <v>23</v>
      </c>
      <c r="E96" s="196" t="s">
        <v>25</v>
      </c>
      <c r="F96" s="197">
        <v>5765</v>
      </c>
      <c r="G96" s="197">
        <v>5695</v>
      </c>
      <c r="H96" s="196">
        <f>5765-5695</f>
        <v>70</v>
      </c>
      <c r="I96" s="197">
        <v>100</v>
      </c>
      <c r="J96" s="268">
        <f t="shared" si="5"/>
        <v>7000</v>
      </c>
      <c r="K96" s="185"/>
      <c r="V96" s="183">
        <f t="shared" si="6"/>
        <v>1</v>
      </c>
      <c r="W96" s="183">
        <f t="shared" si="7"/>
        <v>0</v>
      </c>
    </row>
    <row r="97" spans="1:23" x14ac:dyDescent="0.3">
      <c r="A97" s="255"/>
      <c r="B97" s="194">
        <v>38</v>
      </c>
      <c r="C97" s="195">
        <v>45593</v>
      </c>
      <c r="D97" s="196" t="s">
        <v>23</v>
      </c>
      <c r="E97" s="196" t="s">
        <v>939</v>
      </c>
      <c r="F97" s="197">
        <v>254</v>
      </c>
      <c r="G97" s="222">
        <v>248</v>
      </c>
      <c r="H97" s="222">
        <f>254-248</f>
        <v>6</v>
      </c>
      <c r="I97" s="197">
        <v>2500</v>
      </c>
      <c r="J97" s="268">
        <f t="shared" si="5"/>
        <v>15000</v>
      </c>
      <c r="K97" s="185"/>
      <c r="V97" s="183">
        <f t="shared" si="6"/>
        <v>1</v>
      </c>
      <c r="W97" s="183">
        <f t="shared" si="7"/>
        <v>0</v>
      </c>
    </row>
    <row r="98" spans="1:23" x14ac:dyDescent="0.3">
      <c r="A98" s="184"/>
      <c r="B98" s="194">
        <v>39</v>
      </c>
      <c r="C98" s="195">
        <v>45594</v>
      </c>
      <c r="D98" s="196" t="s">
        <v>23</v>
      </c>
      <c r="E98" s="196" t="s">
        <v>25</v>
      </c>
      <c r="F98" s="197">
        <v>5720</v>
      </c>
      <c r="G98" s="222">
        <v>5710</v>
      </c>
      <c r="H98" s="196">
        <v>10</v>
      </c>
      <c r="I98" s="197">
        <v>100</v>
      </c>
      <c r="J98" s="268">
        <f t="shared" si="5"/>
        <v>1000</v>
      </c>
      <c r="K98" s="185"/>
      <c r="V98" s="183">
        <f t="shared" si="6"/>
        <v>1</v>
      </c>
      <c r="W98" s="183">
        <f t="shared" si="7"/>
        <v>0</v>
      </c>
    </row>
    <row r="99" spans="1:23" x14ac:dyDescent="0.3">
      <c r="A99" s="184"/>
      <c r="B99" s="194">
        <v>40</v>
      </c>
      <c r="C99" s="195">
        <v>45594</v>
      </c>
      <c r="D99" s="196" t="s">
        <v>23</v>
      </c>
      <c r="E99" s="196" t="s">
        <v>939</v>
      </c>
      <c r="F99" s="222">
        <v>240</v>
      </c>
      <c r="G99" s="222">
        <v>238</v>
      </c>
      <c r="H99" s="222">
        <v>2</v>
      </c>
      <c r="I99" s="197">
        <v>2500</v>
      </c>
      <c r="J99" s="268">
        <f t="shared" si="5"/>
        <v>5000</v>
      </c>
      <c r="K99" s="185"/>
      <c r="V99" s="183">
        <f t="shared" si="6"/>
        <v>1</v>
      </c>
      <c r="W99" s="183">
        <f t="shared" si="7"/>
        <v>0</v>
      </c>
    </row>
    <row r="100" spans="1:23" x14ac:dyDescent="0.3">
      <c r="A100" s="184"/>
      <c r="B100" s="194">
        <v>41</v>
      </c>
      <c r="C100" s="195">
        <v>45595</v>
      </c>
      <c r="D100" s="196" t="s">
        <v>23</v>
      </c>
      <c r="E100" s="196" t="s">
        <v>25</v>
      </c>
      <c r="F100" s="197">
        <v>5730</v>
      </c>
      <c r="G100" s="197">
        <v>5770</v>
      </c>
      <c r="H100" s="196">
        <v>40</v>
      </c>
      <c r="I100" s="197">
        <v>100</v>
      </c>
      <c r="J100" s="268">
        <f t="shared" si="5"/>
        <v>4000</v>
      </c>
      <c r="K100" s="185"/>
      <c r="V100" s="183">
        <f t="shared" si="6"/>
        <v>1</v>
      </c>
      <c r="W100" s="183">
        <f t="shared" si="7"/>
        <v>0</v>
      </c>
    </row>
    <row r="101" spans="1:23" x14ac:dyDescent="0.3">
      <c r="A101" s="184"/>
      <c r="B101" s="194">
        <v>42</v>
      </c>
      <c r="C101" s="195">
        <v>45595</v>
      </c>
      <c r="D101" s="196" t="s">
        <v>23</v>
      </c>
      <c r="E101" s="196" t="s">
        <v>939</v>
      </c>
      <c r="F101" s="197">
        <v>240</v>
      </c>
      <c r="G101" s="222">
        <v>237.6</v>
      </c>
      <c r="H101" s="196">
        <f>240-237.6</f>
        <v>2.4000000000000057</v>
      </c>
      <c r="I101" s="197">
        <v>2500</v>
      </c>
      <c r="J101" s="268">
        <f t="shared" si="5"/>
        <v>6000.0000000000146</v>
      </c>
      <c r="K101" s="185"/>
      <c r="V101" s="183">
        <f t="shared" si="6"/>
        <v>1</v>
      </c>
      <c r="W101" s="183">
        <f t="shared" si="7"/>
        <v>0</v>
      </c>
    </row>
    <row r="102" spans="1:23" x14ac:dyDescent="0.3">
      <c r="A102" s="184"/>
      <c r="B102" s="194">
        <v>43</v>
      </c>
      <c r="C102" s="195">
        <v>45596</v>
      </c>
      <c r="D102" s="196" t="s">
        <v>23</v>
      </c>
      <c r="E102" s="196" t="s">
        <v>25</v>
      </c>
      <c r="F102" s="197">
        <v>5815</v>
      </c>
      <c r="G102" s="222">
        <v>5775</v>
      </c>
      <c r="H102" s="196">
        <v>-40</v>
      </c>
      <c r="I102" s="202">
        <v>100</v>
      </c>
      <c r="J102" s="268">
        <f t="shared" si="5"/>
        <v>-4000</v>
      </c>
      <c r="K102" s="185"/>
      <c r="V102" s="183">
        <f t="shared" si="6"/>
        <v>0</v>
      </c>
      <c r="W102" s="183">
        <f t="shared" si="7"/>
        <v>1</v>
      </c>
    </row>
    <row r="103" spans="1:23" ht="15" thickBot="1" x14ac:dyDescent="0.35">
      <c r="A103" s="184"/>
      <c r="B103" s="194">
        <v>44</v>
      </c>
      <c r="C103" s="195">
        <v>45596</v>
      </c>
      <c r="D103" s="196" t="s">
        <v>23</v>
      </c>
      <c r="E103" s="196" t="s">
        <v>939</v>
      </c>
      <c r="F103" s="197">
        <v>237</v>
      </c>
      <c r="G103" s="197">
        <v>238</v>
      </c>
      <c r="H103" s="196">
        <v>1</v>
      </c>
      <c r="I103" s="202">
        <v>2500</v>
      </c>
      <c r="J103" s="269">
        <f t="shared" si="5"/>
        <v>2500</v>
      </c>
      <c r="K103" s="185"/>
      <c r="V103" s="183">
        <f t="shared" si="6"/>
        <v>1</v>
      </c>
      <c r="W103" s="183">
        <f t="shared" si="7"/>
        <v>0</v>
      </c>
    </row>
    <row r="104" spans="1:23" ht="24" thickBot="1" x14ac:dyDescent="0.5">
      <c r="A104" s="184"/>
      <c r="B104" s="368" t="s">
        <v>879</v>
      </c>
      <c r="C104" s="305"/>
      <c r="D104" s="305"/>
      <c r="E104" s="305"/>
      <c r="F104" s="305"/>
      <c r="G104" s="305"/>
      <c r="H104" s="306"/>
      <c r="I104" s="203" t="s">
        <v>880</v>
      </c>
      <c r="J104" s="204">
        <f>SUM(J60:J103)</f>
        <v>170550</v>
      </c>
      <c r="K104" s="185"/>
      <c r="V104" s="183">
        <f>SUM(V60:V103)</f>
        <v>37</v>
      </c>
      <c r="W104" s="183">
        <f>SUM(W60:W103)</f>
        <v>7</v>
      </c>
    </row>
    <row r="105" spans="1:23" ht="30" customHeight="1" thickBot="1" x14ac:dyDescent="0.35">
      <c r="A105" s="205"/>
      <c r="B105" s="206"/>
      <c r="C105" s="206"/>
      <c r="D105" s="206"/>
      <c r="E105" s="206"/>
      <c r="F105" s="206"/>
      <c r="G105" s="206"/>
      <c r="H105" s="261"/>
      <c r="I105" s="206"/>
      <c r="J105" s="261"/>
      <c r="K105" s="207"/>
    </row>
    <row r="106" spans="1:23" ht="15" thickBot="1" x14ac:dyDescent="0.35"/>
    <row r="107" spans="1:23" ht="30" customHeight="1" thickBot="1" x14ac:dyDescent="0.35">
      <c r="A107" s="180"/>
      <c r="B107" s="181"/>
      <c r="C107" s="181"/>
      <c r="D107" s="181"/>
      <c r="E107" s="181"/>
      <c r="F107" s="181"/>
      <c r="G107" s="181"/>
      <c r="H107" s="259"/>
      <c r="I107" s="181"/>
      <c r="J107" s="259"/>
      <c r="K107" s="182"/>
    </row>
    <row r="108" spans="1:23" ht="25.2" thickBot="1" x14ac:dyDescent="0.35">
      <c r="A108" s="184" t="s">
        <v>0</v>
      </c>
      <c r="B108" s="307" t="s">
        <v>873</v>
      </c>
      <c r="C108" s="308"/>
      <c r="D108" s="308"/>
      <c r="E108" s="308"/>
      <c r="F108" s="308"/>
      <c r="G108" s="308"/>
      <c r="H108" s="308"/>
      <c r="I108" s="308"/>
      <c r="J108" s="309"/>
      <c r="K108" s="185"/>
    </row>
    <row r="109" spans="1:23" ht="16.2" thickBot="1" x14ac:dyDescent="0.35">
      <c r="A109" s="184"/>
      <c r="B109" s="310">
        <v>45566</v>
      </c>
      <c r="C109" s="311"/>
      <c r="D109" s="311"/>
      <c r="E109" s="311"/>
      <c r="F109" s="311"/>
      <c r="G109" s="311"/>
      <c r="H109" s="311"/>
      <c r="I109" s="311"/>
      <c r="J109" s="312"/>
      <c r="K109" s="185"/>
    </row>
    <row r="110" spans="1:23" ht="16.2" thickBot="1" x14ac:dyDescent="0.35">
      <c r="A110" s="184"/>
      <c r="B110" s="313" t="s">
        <v>882</v>
      </c>
      <c r="C110" s="314"/>
      <c r="D110" s="314"/>
      <c r="E110" s="314"/>
      <c r="F110" s="314"/>
      <c r="G110" s="314"/>
      <c r="H110" s="314"/>
      <c r="I110" s="314"/>
      <c r="J110" s="315"/>
      <c r="K110" s="185"/>
    </row>
    <row r="111" spans="1:23" ht="15" thickBot="1" x14ac:dyDescent="0.35">
      <c r="A111" s="208"/>
      <c r="B111" s="186" t="s">
        <v>876</v>
      </c>
      <c r="C111" s="187" t="s">
        <v>1</v>
      </c>
      <c r="D111" s="188" t="s">
        <v>2</v>
      </c>
      <c r="E111" s="188" t="s">
        <v>3</v>
      </c>
      <c r="F111" s="189" t="s">
        <v>4</v>
      </c>
      <c r="G111" s="189" t="s">
        <v>5</v>
      </c>
      <c r="H111" s="260" t="s">
        <v>720</v>
      </c>
      <c r="I111" s="189" t="s">
        <v>6</v>
      </c>
      <c r="J111" s="266" t="s">
        <v>7</v>
      </c>
      <c r="K111" s="209"/>
      <c r="L111" s="198"/>
      <c r="V111" s="183" t="s">
        <v>254</v>
      </c>
      <c r="W111" s="183" t="s">
        <v>255</v>
      </c>
    </row>
    <row r="112" spans="1:23" x14ac:dyDescent="0.3">
      <c r="A112" s="184"/>
      <c r="B112" s="214">
        <v>1</v>
      </c>
      <c r="C112" s="215">
        <v>45566</v>
      </c>
      <c r="D112" s="216" t="s">
        <v>23</v>
      </c>
      <c r="E112" s="256" t="s">
        <v>28</v>
      </c>
      <c r="F112" s="256">
        <v>282.7</v>
      </c>
      <c r="G112" s="256">
        <v>283.7</v>
      </c>
      <c r="H112" s="256">
        <v>-1</v>
      </c>
      <c r="I112" s="218">
        <v>5000</v>
      </c>
      <c r="J112" s="273">
        <f>I112*H112</f>
        <v>-5000</v>
      </c>
      <c r="K112" s="185"/>
      <c r="V112" s="183">
        <f>IF($J112&gt;0,1,0)</f>
        <v>0</v>
      </c>
      <c r="W112" s="183">
        <f>IF($J112&lt;0,1,0)</f>
        <v>1</v>
      </c>
    </row>
    <row r="113" spans="1:23" x14ac:dyDescent="0.3">
      <c r="A113" s="184"/>
      <c r="B113" s="194">
        <v>2</v>
      </c>
      <c r="C113" s="195">
        <v>45568</v>
      </c>
      <c r="D113" s="196" t="s">
        <v>23</v>
      </c>
      <c r="E113" s="222" t="s">
        <v>28</v>
      </c>
      <c r="F113" s="222">
        <v>286.7</v>
      </c>
      <c r="G113" s="222">
        <v>285.2</v>
      </c>
      <c r="H113" s="222">
        <f>286.7-285.2</f>
        <v>1.5</v>
      </c>
      <c r="I113" s="218">
        <v>5000</v>
      </c>
      <c r="J113" s="268">
        <f t="shared" ref="J113:J138" si="8">I113*H113</f>
        <v>7500</v>
      </c>
      <c r="K113" s="185"/>
      <c r="V113" s="183">
        <f t="shared" ref="V113:V137" si="9">IF($J113&gt;0,1,0)</f>
        <v>1</v>
      </c>
      <c r="W113" s="183">
        <f t="shared" ref="W113:W137" si="10">IF($J113&lt;0,1,0)</f>
        <v>0</v>
      </c>
    </row>
    <row r="114" spans="1:23" x14ac:dyDescent="0.3">
      <c r="A114" s="184"/>
      <c r="B114" s="194">
        <v>3</v>
      </c>
      <c r="C114" s="195">
        <v>45569</v>
      </c>
      <c r="D114" s="196" t="s">
        <v>23</v>
      </c>
      <c r="E114" s="222" t="s">
        <v>28</v>
      </c>
      <c r="F114" s="222">
        <v>287</v>
      </c>
      <c r="G114" s="222">
        <v>286.60000000000002</v>
      </c>
      <c r="H114" s="222">
        <f>287-286.6</f>
        <v>0.39999999999997726</v>
      </c>
      <c r="I114" s="218">
        <v>5000</v>
      </c>
      <c r="J114" s="268">
        <f t="shared" si="8"/>
        <v>1999.9999999998863</v>
      </c>
      <c r="K114" s="185"/>
      <c r="M114" s="183" t="s">
        <v>870</v>
      </c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4</v>
      </c>
      <c r="C115" s="195">
        <v>45572</v>
      </c>
      <c r="D115" s="196" t="s">
        <v>23</v>
      </c>
      <c r="E115" s="222" t="s">
        <v>28</v>
      </c>
      <c r="F115" s="222">
        <v>288</v>
      </c>
      <c r="G115" s="222">
        <v>287</v>
      </c>
      <c r="H115" s="222">
        <v>1</v>
      </c>
      <c r="I115" s="218">
        <v>5000</v>
      </c>
      <c r="J115" s="268">
        <f t="shared" si="8"/>
        <v>5000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5</v>
      </c>
      <c r="C116" s="195">
        <v>45573</v>
      </c>
      <c r="D116" s="196" t="s">
        <v>23</v>
      </c>
      <c r="E116" s="222" t="s">
        <v>28</v>
      </c>
      <c r="F116" s="222">
        <v>282.7</v>
      </c>
      <c r="G116" s="222">
        <v>282.3</v>
      </c>
      <c r="H116" s="222">
        <v>0.4</v>
      </c>
      <c r="I116" s="218">
        <v>5000</v>
      </c>
      <c r="J116" s="268">
        <f t="shared" si="8"/>
        <v>2000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6</v>
      </c>
      <c r="C117" s="195">
        <v>45574</v>
      </c>
      <c r="D117" s="196" t="s">
        <v>23</v>
      </c>
      <c r="E117" s="222" t="s">
        <v>28</v>
      </c>
      <c r="F117" s="222">
        <v>278</v>
      </c>
      <c r="G117" s="222">
        <v>277</v>
      </c>
      <c r="H117" s="222">
        <v>1</v>
      </c>
      <c r="I117" s="218">
        <v>5000</v>
      </c>
      <c r="J117" s="268">
        <f t="shared" si="8"/>
        <v>5000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7</v>
      </c>
      <c r="C118" s="195">
        <v>45575</v>
      </c>
      <c r="D118" s="196" t="s">
        <v>23</v>
      </c>
      <c r="E118" s="222" t="s">
        <v>28</v>
      </c>
      <c r="F118" s="222">
        <v>277.60000000000002</v>
      </c>
      <c r="G118" s="222">
        <v>277.10000000000002</v>
      </c>
      <c r="H118" s="274">
        <v>0.5</v>
      </c>
      <c r="I118" s="218">
        <v>5000</v>
      </c>
      <c r="J118" s="268">
        <f t="shared" si="8"/>
        <v>2500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8</v>
      </c>
      <c r="C119" s="195">
        <v>45576</v>
      </c>
      <c r="D119" s="196" t="s">
        <v>23</v>
      </c>
      <c r="E119" s="222" t="s">
        <v>28</v>
      </c>
      <c r="F119" s="222">
        <v>286.5</v>
      </c>
      <c r="G119" s="222">
        <v>258.5</v>
      </c>
      <c r="H119" s="222">
        <v>1</v>
      </c>
      <c r="I119" s="197">
        <v>5000</v>
      </c>
      <c r="J119" s="268">
        <f t="shared" si="8"/>
        <v>5000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9</v>
      </c>
      <c r="C120" s="195">
        <v>45579</v>
      </c>
      <c r="D120" s="196" t="s">
        <v>23</v>
      </c>
      <c r="E120" s="222" t="s">
        <v>28</v>
      </c>
      <c r="F120" s="222">
        <v>284.5</v>
      </c>
      <c r="G120" s="222">
        <v>282.5</v>
      </c>
      <c r="H120" s="222">
        <v>2</v>
      </c>
      <c r="I120" s="197">
        <v>5000</v>
      </c>
      <c r="J120" s="268">
        <f t="shared" si="8"/>
        <v>10000</v>
      </c>
      <c r="K120" s="185"/>
      <c r="V120" s="183">
        <f t="shared" si="9"/>
        <v>1</v>
      </c>
      <c r="W120" s="183">
        <f t="shared" si="10"/>
        <v>0</v>
      </c>
    </row>
    <row r="121" spans="1:23" x14ac:dyDescent="0.3">
      <c r="A121" s="184"/>
      <c r="B121" s="194">
        <v>10</v>
      </c>
      <c r="C121" s="195">
        <v>45580</v>
      </c>
      <c r="D121" s="196" t="s">
        <v>23</v>
      </c>
      <c r="E121" s="222" t="s">
        <v>28</v>
      </c>
      <c r="F121" s="222">
        <v>278.5</v>
      </c>
      <c r="G121" s="222">
        <v>277.5</v>
      </c>
      <c r="H121" s="222">
        <v>1</v>
      </c>
      <c r="I121" s="197">
        <v>5000</v>
      </c>
      <c r="J121" s="268">
        <f t="shared" si="8"/>
        <v>5000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11</v>
      </c>
      <c r="C122" s="195">
        <v>45581</v>
      </c>
      <c r="D122" s="196" t="s">
        <v>23</v>
      </c>
      <c r="E122" s="222" t="s">
        <v>28</v>
      </c>
      <c r="F122" s="222">
        <v>285.5</v>
      </c>
      <c r="G122" s="222">
        <v>284.89999999999998</v>
      </c>
      <c r="H122" s="274">
        <f>285.5-284.9</f>
        <v>0.60000000000002274</v>
      </c>
      <c r="I122" s="197">
        <v>5000</v>
      </c>
      <c r="J122" s="268">
        <f t="shared" si="8"/>
        <v>3000.0000000001137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12</v>
      </c>
      <c r="C123" s="195">
        <v>45582</v>
      </c>
      <c r="D123" s="196" t="s">
        <v>23</v>
      </c>
      <c r="E123" s="222" t="s">
        <v>28</v>
      </c>
      <c r="F123" s="222">
        <v>277.7</v>
      </c>
      <c r="G123" s="222">
        <v>278.10000000000002</v>
      </c>
      <c r="H123" s="274">
        <v>-1</v>
      </c>
      <c r="I123" s="197">
        <v>5000</v>
      </c>
      <c r="J123" s="268">
        <f t="shared" si="8"/>
        <v>-5000</v>
      </c>
      <c r="K123" s="185"/>
      <c r="V123" s="183">
        <f t="shared" si="9"/>
        <v>0</v>
      </c>
      <c r="W123" s="183">
        <f t="shared" si="10"/>
        <v>1</v>
      </c>
    </row>
    <row r="124" spans="1:23" x14ac:dyDescent="0.3">
      <c r="A124" s="184"/>
      <c r="B124" s="194">
        <v>13</v>
      </c>
      <c r="C124" s="195">
        <v>45583</v>
      </c>
      <c r="D124" s="196" t="s">
        <v>23</v>
      </c>
      <c r="E124" s="222" t="s">
        <v>28</v>
      </c>
      <c r="F124" s="222">
        <v>283.5</v>
      </c>
      <c r="G124" s="222">
        <v>284.3</v>
      </c>
      <c r="H124" s="274">
        <v>-1</v>
      </c>
      <c r="I124" s="197">
        <v>5000</v>
      </c>
      <c r="J124" s="268">
        <f t="shared" si="8"/>
        <v>-5000</v>
      </c>
      <c r="K124" s="185"/>
      <c r="V124" s="183">
        <f t="shared" si="9"/>
        <v>0</v>
      </c>
      <c r="W124" s="183">
        <f t="shared" si="10"/>
        <v>1</v>
      </c>
    </row>
    <row r="125" spans="1:23" x14ac:dyDescent="0.3">
      <c r="A125" s="184"/>
      <c r="B125" s="194">
        <v>14</v>
      </c>
      <c r="C125" s="195">
        <v>45586</v>
      </c>
      <c r="D125" s="196" t="s">
        <v>23</v>
      </c>
      <c r="E125" s="222" t="s">
        <v>28</v>
      </c>
      <c r="F125" s="222">
        <v>287.5</v>
      </c>
      <c r="G125" s="222">
        <v>286.10000000000002</v>
      </c>
      <c r="H125" s="274">
        <f>287.5-286.1</f>
        <v>1.3999999999999773</v>
      </c>
      <c r="I125" s="197">
        <v>5000</v>
      </c>
      <c r="J125" s="268">
        <f t="shared" si="8"/>
        <v>6999.9999999998863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15</v>
      </c>
      <c r="C126" s="195">
        <v>45587</v>
      </c>
      <c r="D126" s="196" t="s">
        <v>23</v>
      </c>
      <c r="E126" s="196" t="s">
        <v>28</v>
      </c>
      <c r="F126" s="222">
        <v>286.2</v>
      </c>
      <c r="G126" s="222">
        <v>287.2</v>
      </c>
      <c r="H126" s="222">
        <v>-1</v>
      </c>
      <c r="I126" s="197">
        <v>5000</v>
      </c>
      <c r="J126" s="268">
        <f t="shared" si="8"/>
        <v>-5000</v>
      </c>
      <c r="K126" s="185"/>
      <c r="V126" s="183">
        <f t="shared" si="9"/>
        <v>0</v>
      </c>
      <c r="W126" s="183">
        <f t="shared" si="10"/>
        <v>1</v>
      </c>
    </row>
    <row r="127" spans="1:23" x14ac:dyDescent="0.3">
      <c r="A127" s="184"/>
      <c r="B127" s="194">
        <v>16</v>
      </c>
      <c r="C127" s="195">
        <v>45588</v>
      </c>
      <c r="D127" s="196" t="s">
        <v>23</v>
      </c>
      <c r="E127" s="196" t="s">
        <v>28</v>
      </c>
      <c r="F127" s="222">
        <v>289.8</v>
      </c>
      <c r="G127" s="222">
        <v>287.8</v>
      </c>
      <c r="H127" s="222">
        <v>2</v>
      </c>
      <c r="I127" s="197">
        <v>5000</v>
      </c>
      <c r="J127" s="268">
        <f t="shared" si="8"/>
        <v>10000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17</v>
      </c>
      <c r="C128" s="195">
        <v>45589</v>
      </c>
      <c r="D128" s="196" t="s">
        <v>23</v>
      </c>
      <c r="E128" s="196" t="s">
        <v>28</v>
      </c>
      <c r="F128" s="222">
        <v>298</v>
      </c>
      <c r="G128" s="274">
        <v>296</v>
      </c>
      <c r="H128" s="274">
        <v>2</v>
      </c>
      <c r="I128" s="197">
        <v>5000</v>
      </c>
      <c r="J128" s="268">
        <f t="shared" si="8"/>
        <v>10000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18</v>
      </c>
      <c r="C129" s="195">
        <v>45590</v>
      </c>
      <c r="D129" s="196" t="s">
        <v>23</v>
      </c>
      <c r="E129" s="196" t="s">
        <v>28</v>
      </c>
      <c r="F129" s="222">
        <v>285.7</v>
      </c>
      <c r="G129" s="222">
        <v>283.7</v>
      </c>
      <c r="H129" s="274">
        <v>2</v>
      </c>
      <c r="I129" s="197">
        <v>5000</v>
      </c>
      <c r="J129" s="268">
        <f t="shared" si="8"/>
        <v>10000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19</v>
      </c>
      <c r="C130" s="195">
        <v>45593</v>
      </c>
      <c r="D130" s="196" t="s">
        <v>23</v>
      </c>
      <c r="E130" s="196" t="s">
        <v>28</v>
      </c>
      <c r="F130" s="222">
        <v>285.39999999999998</v>
      </c>
      <c r="G130" s="222">
        <v>283.60000000000002</v>
      </c>
      <c r="H130" s="274">
        <v>1.8</v>
      </c>
      <c r="I130" s="197">
        <v>5000</v>
      </c>
      <c r="J130" s="268">
        <f t="shared" si="8"/>
        <v>9000</v>
      </c>
      <c r="K130" s="185"/>
      <c r="V130" s="183">
        <f t="shared" si="9"/>
        <v>1</v>
      </c>
      <c r="W130" s="183">
        <f t="shared" si="10"/>
        <v>0</v>
      </c>
    </row>
    <row r="131" spans="1:23" x14ac:dyDescent="0.3">
      <c r="A131" s="184"/>
      <c r="B131" s="194">
        <v>20</v>
      </c>
      <c r="C131" s="195">
        <v>45594</v>
      </c>
      <c r="D131" s="196" t="s">
        <v>23</v>
      </c>
      <c r="E131" s="196" t="s">
        <v>28</v>
      </c>
      <c r="F131" s="222">
        <v>289</v>
      </c>
      <c r="G131" s="222">
        <v>288</v>
      </c>
      <c r="H131" s="274">
        <v>1</v>
      </c>
      <c r="I131" s="197">
        <v>5000</v>
      </c>
      <c r="J131" s="268">
        <f t="shared" si="8"/>
        <v>5000</v>
      </c>
      <c r="K131" s="185"/>
    </row>
    <row r="132" spans="1:23" x14ac:dyDescent="0.3">
      <c r="A132" s="184"/>
      <c r="B132" s="194">
        <v>21</v>
      </c>
      <c r="C132" s="195">
        <v>45595</v>
      </c>
      <c r="D132" s="196" t="s">
        <v>23</v>
      </c>
      <c r="E132" s="196" t="s">
        <v>28</v>
      </c>
      <c r="F132" s="222">
        <v>289.2</v>
      </c>
      <c r="G132" s="222">
        <v>288.60000000000002</v>
      </c>
      <c r="H132" s="274">
        <v>0.4</v>
      </c>
      <c r="I132" s="197">
        <v>5000</v>
      </c>
      <c r="J132" s="268">
        <f t="shared" si="8"/>
        <v>2000</v>
      </c>
      <c r="K132" s="185"/>
    </row>
    <row r="133" spans="1:23" x14ac:dyDescent="0.3">
      <c r="A133" s="184"/>
      <c r="B133" s="194">
        <v>22</v>
      </c>
      <c r="C133" s="195">
        <v>45596</v>
      </c>
      <c r="D133" s="196" t="s">
        <v>16</v>
      </c>
      <c r="E133" s="196" t="s">
        <v>28</v>
      </c>
      <c r="F133" s="222">
        <v>290</v>
      </c>
      <c r="G133" s="222">
        <v>289</v>
      </c>
      <c r="H133" s="274">
        <v>-1</v>
      </c>
      <c r="I133" s="197">
        <v>5000</v>
      </c>
      <c r="J133" s="268">
        <f t="shared" si="8"/>
        <v>-5000</v>
      </c>
      <c r="K133" s="185"/>
    </row>
    <row r="134" spans="1:23" hidden="1" x14ac:dyDescent="0.3">
      <c r="A134" s="184"/>
      <c r="B134" s="194">
        <v>23</v>
      </c>
      <c r="C134" s="195"/>
      <c r="D134" s="196"/>
      <c r="E134" s="196"/>
      <c r="F134" s="222"/>
      <c r="G134" s="222"/>
      <c r="H134" s="274"/>
      <c r="I134" s="197"/>
      <c r="J134" s="268">
        <f t="shared" si="8"/>
        <v>0</v>
      </c>
      <c r="K134" s="185"/>
    </row>
    <row r="135" spans="1:23" hidden="1" x14ac:dyDescent="0.3">
      <c r="A135" s="184"/>
      <c r="B135" s="194">
        <v>24</v>
      </c>
      <c r="C135" s="195"/>
      <c r="D135" s="196"/>
      <c r="E135" s="196"/>
      <c r="F135" s="222"/>
      <c r="G135" s="222"/>
      <c r="H135" s="274"/>
      <c r="I135" s="197"/>
      <c r="J135" s="268">
        <f t="shared" si="8"/>
        <v>0</v>
      </c>
      <c r="K135" s="185"/>
    </row>
    <row r="136" spans="1:23" hidden="1" x14ac:dyDescent="0.3">
      <c r="A136" s="184"/>
      <c r="B136" s="194">
        <v>25</v>
      </c>
      <c r="C136" s="195"/>
      <c r="D136" s="196"/>
      <c r="E136" s="196"/>
      <c r="F136" s="222"/>
      <c r="G136" s="222"/>
      <c r="H136" s="274"/>
      <c r="I136" s="197"/>
      <c r="J136" s="268">
        <f t="shared" si="8"/>
        <v>0</v>
      </c>
      <c r="K136" s="185"/>
      <c r="V136" s="183">
        <f t="shared" si="9"/>
        <v>0</v>
      </c>
      <c r="W136" s="183">
        <f t="shared" si="10"/>
        <v>0</v>
      </c>
    </row>
    <row r="137" spans="1:23" hidden="1" x14ac:dyDescent="0.3">
      <c r="A137" s="184"/>
      <c r="B137" s="194">
        <v>21</v>
      </c>
      <c r="C137" s="195"/>
      <c r="D137" s="196"/>
      <c r="E137" s="222"/>
      <c r="F137" s="222"/>
      <c r="G137" s="222"/>
      <c r="H137" s="274"/>
      <c r="I137" s="197"/>
      <c r="J137" s="268">
        <f t="shared" si="8"/>
        <v>0</v>
      </c>
      <c r="K137" s="185"/>
      <c r="V137" s="183">
        <f t="shared" si="9"/>
        <v>0</v>
      </c>
      <c r="W137" s="183">
        <f t="shared" si="10"/>
        <v>0</v>
      </c>
    </row>
    <row r="138" spans="1:23" hidden="1" x14ac:dyDescent="0.3">
      <c r="A138" s="184"/>
      <c r="B138" s="194">
        <v>22</v>
      </c>
      <c r="C138" s="195"/>
      <c r="D138" s="196"/>
      <c r="E138" s="222"/>
      <c r="F138" s="222"/>
      <c r="G138" s="222"/>
      <c r="H138" s="274"/>
      <c r="I138" s="197"/>
      <c r="J138" s="268">
        <f t="shared" si="8"/>
        <v>0</v>
      </c>
      <c r="K138" s="185"/>
      <c r="V138" s="183">
        <f>IF($J138&gt;0,1,0)</f>
        <v>0</v>
      </c>
      <c r="W138" s="183">
        <f>IF($J138&lt;0,1,0)</f>
        <v>0</v>
      </c>
    </row>
    <row r="139" spans="1:23" hidden="1" x14ac:dyDescent="0.3">
      <c r="A139" s="184"/>
      <c r="B139" s="194">
        <v>23</v>
      </c>
      <c r="C139" s="195"/>
      <c r="D139" s="196"/>
      <c r="E139" s="222"/>
      <c r="F139" s="222"/>
      <c r="G139" s="222"/>
      <c r="H139" s="222"/>
      <c r="I139" s="197"/>
      <c r="J139" s="268">
        <f>I139*H139</f>
        <v>0</v>
      </c>
      <c r="K139" s="185"/>
      <c r="V139" s="183">
        <f>IF($J139&gt;0,1,0)</f>
        <v>0</v>
      </c>
      <c r="W139" s="183">
        <f>IF($J139&lt;0,1,0)</f>
        <v>0</v>
      </c>
    </row>
    <row r="140" spans="1:23" ht="15" thickBot="1" x14ac:dyDescent="0.35">
      <c r="A140" s="184"/>
      <c r="B140" s="194">
        <v>26</v>
      </c>
      <c r="C140" s="220"/>
      <c r="D140" s="221"/>
      <c r="E140" s="221"/>
      <c r="F140" s="222"/>
      <c r="G140" s="222"/>
      <c r="H140" s="222"/>
      <c r="I140" s="211"/>
      <c r="J140" s="272">
        <f>I140*H140</f>
        <v>0</v>
      </c>
      <c r="K140" s="185"/>
      <c r="V140" s="183">
        <f>IF($J140&gt;0,1,0)</f>
        <v>0</v>
      </c>
      <c r="W140" s="183">
        <f>IF($J140&lt;0,1,0)</f>
        <v>0</v>
      </c>
    </row>
    <row r="141" spans="1:23" ht="24" thickBot="1" x14ac:dyDescent="0.5">
      <c r="A141" s="184"/>
      <c r="B141" s="373" t="s">
        <v>879</v>
      </c>
      <c r="C141" s="317"/>
      <c r="D141" s="317"/>
      <c r="E141" s="317"/>
      <c r="F141" s="317"/>
      <c r="G141" s="317"/>
      <c r="H141" s="318"/>
      <c r="I141" s="212" t="s">
        <v>880</v>
      </c>
      <c r="J141" s="213">
        <f>SUM(J112:J140)</f>
        <v>74999.999999999884</v>
      </c>
      <c r="K141" s="185"/>
      <c r="V141" s="183">
        <f>SUM(V112:V140)</f>
        <v>15</v>
      </c>
      <c r="W141" s="183">
        <f>SUM(W112:W140)</f>
        <v>4</v>
      </c>
    </row>
    <row r="142" spans="1:23" ht="30" customHeight="1" thickBot="1" x14ac:dyDescent="0.35">
      <c r="A142" s="205"/>
      <c r="B142" s="206"/>
      <c r="C142" s="206"/>
      <c r="D142" s="206"/>
      <c r="E142" s="206"/>
      <c r="F142" s="206"/>
      <c r="G142" s="206"/>
      <c r="H142" s="261"/>
      <c r="I142" s="206"/>
      <c r="J142" s="261"/>
      <c r="K142" s="207"/>
      <c r="L142" s="183" t="s">
        <v>926</v>
      </c>
    </row>
    <row r="143" spans="1:23" ht="15" thickBot="1" x14ac:dyDescent="0.35"/>
    <row r="144" spans="1:23" ht="30" customHeight="1" thickBot="1" x14ac:dyDescent="0.35">
      <c r="A144" s="180"/>
      <c r="B144" s="181"/>
      <c r="C144" s="181"/>
      <c r="D144" s="181"/>
      <c r="E144" s="181"/>
      <c r="F144" s="181"/>
      <c r="G144" s="181"/>
      <c r="H144" s="259"/>
      <c r="I144" s="181"/>
      <c r="J144" s="259"/>
      <c r="K144" s="182"/>
    </row>
    <row r="145" spans="1:23" ht="25.2" thickBot="1" x14ac:dyDescent="0.35">
      <c r="A145" s="184" t="s">
        <v>0</v>
      </c>
      <c r="B145" s="307" t="s">
        <v>873</v>
      </c>
      <c r="C145" s="308"/>
      <c r="D145" s="308"/>
      <c r="E145" s="308"/>
      <c r="F145" s="308"/>
      <c r="G145" s="308"/>
      <c r="H145" s="308"/>
      <c r="I145" s="308"/>
      <c r="J145" s="309"/>
      <c r="K145" s="185"/>
    </row>
    <row r="146" spans="1:23" ht="16.2" thickBot="1" x14ac:dyDescent="0.35">
      <c r="A146" s="184"/>
      <c r="B146" s="310">
        <v>45566</v>
      </c>
      <c r="C146" s="311"/>
      <c r="D146" s="311"/>
      <c r="E146" s="311"/>
      <c r="F146" s="311"/>
      <c r="G146" s="311"/>
      <c r="H146" s="311"/>
      <c r="I146" s="311"/>
      <c r="J146" s="312"/>
      <c r="K146" s="185"/>
    </row>
    <row r="147" spans="1:23" ht="16.2" thickBot="1" x14ac:dyDescent="0.35">
      <c r="A147" s="184"/>
      <c r="B147" s="313" t="s">
        <v>905</v>
      </c>
      <c r="C147" s="314"/>
      <c r="D147" s="314"/>
      <c r="E147" s="314"/>
      <c r="F147" s="314"/>
      <c r="G147" s="314"/>
      <c r="H147" s="314"/>
      <c r="I147" s="314"/>
      <c r="J147" s="315"/>
      <c r="K147" s="185"/>
    </row>
    <row r="148" spans="1:23" ht="15" thickBot="1" x14ac:dyDescent="0.35">
      <c r="A148" s="208"/>
      <c r="B148" s="186" t="s">
        <v>876</v>
      </c>
      <c r="C148" s="187" t="s">
        <v>1</v>
      </c>
      <c r="D148" s="188" t="s">
        <v>2</v>
      </c>
      <c r="E148" s="188" t="s">
        <v>3</v>
      </c>
      <c r="F148" s="189" t="s">
        <v>4</v>
      </c>
      <c r="G148" s="189" t="s">
        <v>5</v>
      </c>
      <c r="H148" s="260" t="s">
        <v>720</v>
      </c>
      <c r="I148" s="189" t="s">
        <v>6</v>
      </c>
      <c r="J148" s="266" t="s">
        <v>7</v>
      </c>
      <c r="K148" s="209"/>
      <c r="L148" s="198"/>
      <c r="V148" s="183" t="s">
        <v>254</v>
      </c>
      <c r="W148" s="183" t="s">
        <v>255</v>
      </c>
    </row>
    <row r="149" spans="1:23" x14ac:dyDescent="0.3">
      <c r="A149" s="184"/>
      <c r="B149" s="214">
        <v>1</v>
      </c>
      <c r="C149" s="215">
        <v>45566</v>
      </c>
      <c r="D149" s="216" t="s">
        <v>16</v>
      </c>
      <c r="E149" s="256" t="s">
        <v>917</v>
      </c>
      <c r="F149" s="256">
        <v>200</v>
      </c>
      <c r="G149" s="256">
        <v>213</v>
      </c>
      <c r="H149" s="256">
        <v>13</v>
      </c>
      <c r="I149" s="218">
        <v>100</v>
      </c>
      <c r="J149" s="273">
        <f>I149*H149</f>
        <v>1300</v>
      </c>
      <c r="K149" s="185"/>
      <c r="V149" s="183">
        <f>IF($J149&gt;0,1,0)</f>
        <v>1</v>
      </c>
      <c r="W149" s="183">
        <f>IF($J149&lt;0,1,0)</f>
        <v>0</v>
      </c>
    </row>
    <row r="150" spans="1:23" x14ac:dyDescent="0.3">
      <c r="A150" s="184"/>
      <c r="B150" s="194">
        <v>2</v>
      </c>
      <c r="C150" s="195">
        <v>45568</v>
      </c>
      <c r="D150" s="196" t="s">
        <v>16</v>
      </c>
      <c r="E150" s="222" t="s">
        <v>924</v>
      </c>
      <c r="F150" s="222">
        <v>200</v>
      </c>
      <c r="G150" s="222">
        <v>180</v>
      </c>
      <c r="H150" s="222">
        <v>-20</v>
      </c>
      <c r="I150" s="218">
        <v>100</v>
      </c>
      <c r="J150" s="268">
        <f t="shared" ref="J150:J169" si="11">I150*H150</f>
        <v>-2000</v>
      </c>
      <c r="K150" s="185"/>
      <c r="V150" s="183">
        <f t="shared" ref="V150:V171" si="12">IF($J150&gt;0,1,0)</f>
        <v>0</v>
      </c>
      <c r="W150" s="183">
        <f t="shared" ref="W150:W171" si="13">IF($J150&lt;0,1,0)</f>
        <v>1</v>
      </c>
    </row>
    <row r="151" spans="1:23" x14ac:dyDescent="0.3">
      <c r="A151" s="184"/>
      <c r="B151" s="194">
        <v>3</v>
      </c>
      <c r="C151" s="195">
        <v>45569</v>
      </c>
      <c r="D151" s="196" t="s">
        <v>16</v>
      </c>
      <c r="E151" s="222" t="s">
        <v>915</v>
      </c>
      <c r="F151" s="222">
        <v>215</v>
      </c>
      <c r="G151" s="222">
        <v>195</v>
      </c>
      <c r="H151" s="222">
        <v>-20</v>
      </c>
      <c r="I151" s="218">
        <v>100</v>
      </c>
      <c r="J151" s="268">
        <f t="shared" si="11"/>
        <v>-2000</v>
      </c>
      <c r="K151" s="185"/>
      <c r="M151" s="183" t="s">
        <v>870</v>
      </c>
      <c r="V151" s="183">
        <f t="shared" si="12"/>
        <v>0</v>
      </c>
      <c r="W151" s="183">
        <f t="shared" si="13"/>
        <v>1</v>
      </c>
    </row>
    <row r="152" spans="1:23" x14ac:dyDescent="0.3">
      <c r="A152" s="184"/>
      <c r="B152" s="194">
        <v>4</v>
      </c>
      <c r="C152" s="195">
        <v>45572</v>
      </c>
      <c r="D152" s="196" t="s">
        <v>16</v>
      </c>
      <c r="E152" s="222" t="s">
        <v>907</v>
      </c>
      <c r="F152" s="222">
        <v>185</v>
      </c>
      <c r="G152" s="222">
        <v>205</v>
      </c>
      <c r="H152" s="222">
        <f>205-185</f>
        <v>20</v>
      </c>
      <c r="I152" s="218">
        <v>100</v>
      </c>
      <c r="J152" s="268">
        <f t="shared" si="11"/>
        <v>2000</v>
      </c>
      <c r="K152" s="185"/>
      <c r="V152" s="183">
        <f t="shared" si="12"/>
        <v>1</v>
      </c>
      <c r="W152" s="183">
        <f t="shared" si="13"/>
        <v>0</v>
      </c>
    </row>
    <row r="153" spans="1:23" x14ac:dyDescent="0.3">
      <c r="A153" s="184"/>
      <c r="B153" s="194">
        <v>5</v>
      </c>
      <c r="C153" s="195">
        <v>45573</v>
      </c>
      <c r="D153" s="196" t="s">
        <v>16</v>
      </c>
      <c r="E153" s="222" t="s">
        <v>907</v>
      </c>
      <c r="F153" s="222">
        <v>185</v>
      </c>
      <c r="G153" s="222">
        <v>200</v>
      </c>
      <c r="H153" s="222">
        <f>200-185</f>
        <v>15</v>
      </c>
      <c r="I153" s="218">
        <v>100</v>
      </c>
      <c r="J153" s="268">
        <f t="shared" si="11"/>
        <v>1500</v>
      </c>
      <c r="K153" s="185"/>
      <c r="V153" s="183">
        <f t="shared" si="12"/>
        <v>1</v>
      </c>
      <c r="W153" s="183">
        <f t="shared" si="13"/>
        <v>0</v>
      </c>
    </row>
    <row r="154" spans="1:23" x14ac:dyDescent="0.3">
      <c r="A154" s="184"/>
      <c r="B154" s="194">
        <v>6</v>
      </c>
      <c r="C154" s="195">
        <v>45574</v>
      </c>
      <c r="D154" s="196" t="s">
        <v>16</v>
      </c>
      <c r="E154" s="222" t="s">
        <v>908</v>
      </c>
      <c r="F154" s="222">
        <v>190</v>
      </c>
      <c r="G154" s="222">
        <v>230</v>
      </c>
      <c r="H154" s="222">
        <f>230-190</f>
        <v>40</v>
      </c>
      <c r="I154" s="218">
        <v>100</v>
      </c>
      <c r="J154" s="268">
        <f t="shared" si="11"/>
        <v>4000</v>
      </c>
      <c r="K154" s="185"/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7</v>
      </c>
      <c r="C155" s="195">
        <v>45575</v>
      </c>
      <c r="D155" s="196" t="s">
        <v>16</v>
      </c>
      <c r="E155" s="222" t="s">
        <v>908</v>
      </c>
      <c r="F155" s="222">
        <v>185</v>
      </c>
      <c r="G155" s="222">
        <v>165</v>
      </c>
      <c r="H155" s="274">
        <v>-20</v>
      </c>
      <c r="I155" s="218">
        <v>100</v>
      </c>
      <c r="J155" s="268">
        <f t="shared" si="11"/>
        <v>-2000</v>
      </c>
      <c r="K155" s="185"/>
      <c r="M155" s="183" t="s">
        <v>942</v>
      </c>
      <c r="V155" s="183">
        <f t="shared" si="12"/>
        <v>0</v>
      </c>
      <c r="W155" s="183">
        <f t="shared" si="13"/>
        <v>1</v>
      </c>
    </row>
    <row r="156" spans="1:23" x14ac:dyDescent="0.3">
      <c r="A156" s="184"/>
      <c r="B156" s="194">
        <v>8</v>
      </c>
      <c r="C156" s="195">
        <v>45576</v>
      </c>
      <c r="D156" s="196" t="s">
        <v>16</v>
      </c>
      <c r="E156" s="222" t="s">
        <v>907</v>
      </c>
      <c r="F156" s="222">
        <v>170</v>
      </c>
      <c r="G156" s="222">
        <v>190</v>
      </c>
      <c r="H156" s="222">
        <v>20</v>
      </c>
      <c r="I156" s="218">
        <v>100</v>
      </c>
      <c r="J156" s="268">
        <f t="shared" si="11"/>
        <v>2000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9</v>
      </c>
      <c r="C157" s="195">
        <v>45579</v>
      </c>
      <c r="D157" s="196" t="s">
        <v>16</v>
      </c>
      <c r="E157" s="222" t="s">
        <v>907</v>
      </c>
      <c r="F157" s="222">
        <v>205</v>
      </c>
      <c r="G157" s="222">
        <v>225</v>
      </c>
      <c r="H157" s="222">
        <v>20</v>
      </c>
      <c r="I157" s="218">
        <v>100</v>
      </c>
      <c r="J157" s="268">
        <f t="shared" si="11"/>
        <v>2000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10</v>
      </c>
      <c r="C158" s="195">
        <v>45580</v>
      </c>
      <c r="D158" s="196" t="s">
        <v>16</v>
      </c>
      <c r="E158" s="222" t="s">
        <v>915</v>
      </c>
      <c r="F158" s="222">
        <v>205</v>
      </c>
      <c r="G158" s="222">
        <v>245</v>
      </c>
      <c r="H158" s="222">
        <v>40</v>
      </c>
      <c r="I158" s="218">
        <v>100</v>
      </c>
      <c r="J158" s="268">
        <f t="shared" si="11"/>
        <v>4000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11</v>
      </c>
      <c r="C159" s="195">
        <v>45581</v>
      </c>
      <c r="D159" s="196" t="s">
        <v>16</v>
      </c>
      <c r="E159" s="222" t="s">
        <v>915</v>
      </c>
      <c r="F159" s="222">
        <v>190</v>
      </c>
      <c r="G159" s="222">
        <v>210</v>
      </c>
      <c r="H159" s="274">
        <v>20</v>
      </c>
      <c r="I159" s="218">
        <v>100</v>
      </c>
      <c r="J159" s="268">
        <f t="shared" si="11"/>
        <v>2000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12</v>
      </c>
      <c r="C160" s="195">
        <v>45582</v>
      </c>
      <c r="D160" s="196" t="s">
        <v>16</v>
      </c>
      <c r="E160" s="222" t="s">
        <v>915</v>
      </c>
      <c r="F160" s="222">
        <v>170</v>
      </c>
      <c r="G160" s="222">
        <v>190</v>
      </c>
      <c r="H160" s="274">
        <v>20</v>
      </c>
      <c r="I160" s="218">
        <v>100</v>
      </c>
      <c r="J160" s="268">
        <f t="shared" si="11"/>
        <v>2000</v>
      </c>
      <c r="K160" s="185"/>
      <c r="V160" s="183">
        <f t="shared" si="12"/>
        <v>1</v>
      </c>
      <c r="W160" s="183">
        <f t="shared" si="13"/>
        <v>0</v>
      </c>
    </row>
    <row r="161" spans="1:23" x14ac:dyDescent="0.3">
      <c r="A161" s="184"/>
      <c r="B161" s="194">
        <v>13</v>
      </c>
      <c r="C161" s="195">
        <v>45583</v>
      </c>
      <c r="D161" s="196" t="s">
        <v>16</v>
      </c>
      <c r="E161" s="222" t="s">
        <v>923</v>
      </c>
      <c r="F161" s="222">
        <v>215</v>
      </c>
      <c r="G161" s="222">
        <v>235</v>
      </c>
      <c r="H161" s="274">
        <f>235-215</f>
        <v>20</v>
      </c>
      <c r="I161" s="218">
        <v>100</v>
      </c>
      <c r="J161" s="268">
        <f t="shared" si="11"/>
        <v>2000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14</v>
      </c>
      <c r="C162" s="195">
        <v>45586</v>
      </c>
      <c r="D162" s="196" t="s">
        <v>16</v>
      </c>
      <c r="E162" s="222" t="s">
        <v>923</v>
      </c>
      <c r="F162" s="222">
        <v>215</v>
      </c>
      <c r="G162" s="222">
        <v>222</v>
      </c>
      <c r="H162" s="274">
        <v>7</v>
      </c>
      <c r="I162" s="218">
        <v>100</v>
      </c>
      <c r="J162" s="268">
        <f t="shared" si="11"/>
        <v>700</v>
      </c>
      <c r="K162" s="185"/>
      <c r="V162" s="183">
        <f t="shared" si="12"/>
        <v>1</v>
      </c>
      <c r="W162" s="183">
        <f t="shared" si="13"/>
        <v>0</v>
      </c>
    </row>
    <row r="163" spans="1:23" x14ac:dyDescent="0.3">
      <c r="A163" s="184"/>
      <c r="B163" s="194">
        <v>15</v>
      </c>
      <c r="C163" s="195">
        <v>45587</v>
      </c>
      <c r="D163" s="196" t="s">
        <v>16</v>
      </c>
      <c r="E163" s="196" t="s">
        <v>923</v>
      </c>
      <c r="F163" s="222">
        <v>210</v>
      </c>
      <c r="G163" s="222">
        <v>190</v>
      </c>
      <c r="H163" s="222">
        <v>-20</v>
      </c>
      <c r="I163" s="218">
        <v>100</v>
      </c>
      <c r="J163" s="268">
        <f t="shared" si="11"/>
        <v>-2000</v>
      </c>
      <c r="K163" s="185"/>
      <c r="V163" s="183">
        <f t="shared" si="12"/>
        <v>0</v>
      </c>
      <c r="W163" s="183">
        <f t="shared" si="13"/>
        <v>1</v>
      </c>
    </row>
    <row r="164" spans="1:23" x14ac:dyDescent="0.3">
      <c r="A164" s="184"/>
      <c r="B164" s="194">
        <v>16</v>
      </c>
      <c r="C164" s="195">
        <v>45588</v>
      </c>
      <c r="D164" s="196" t="s">
        <v>16</v>
      </c>
      <c r="E164" s="196" t="s">
        <v>924</v>
      </c>
      <c r="F164" s="222">
        <v>205</v>
      </c>
      <c r="G164" s="274">
        <v>235</v>
      </c>
      <c r="H164" s="274">
        <v>30</v>
      </c>
      <c r="I164" s="218">
        <v>100</v>
      </c>
      <c r="J164" s="268">
        <f t="shared" si="11"/>
        <v>3000</v>
      </c>
      <c r="K164" s="185"/>
      <c r="V164" s="183">
        <f t="shared" si="12"/>
        <v>1</v>
      </c>
      <c r="W164" s="183">
        <f t="shared" si="13"/>
        <v>0</v>
      </c>
    </row>
    <row r="165" spans="1:23" x14ac:dyDescent="0.3">
      <c r="A165" s="184"/>
      <c r="B165" s="194">
        <v>17</v>
      </c>
      <c r="C165" s="195">
        <v>45589</v>
      </c>
      <c r="D165" s="196" t="s">
        <v>16</v>
      </c>
      <c r="E165" s="196" t="s">
        <v>923</v>
      </c>
      <c r="F165" s="222">
        <v>180</v>
      </c>
      <c r="G165" s="222">
        <v>210</v>
      </c>
      <c r="H165" s="263">
        <f>210-180</f>
        <v>30</v>
      </c>
      <c r="I165" s="218">
        <v>100</v>
      </c>
      <c r="J165" s="268">
        <f t="shared" si="11"/>
        <v>3000</v>
      </c>
      <c r="K165" s="185"/>
      <c r="V165" s="183">
        <f t="shared" si="12"/>
        <v>1</v>
      </c>
      <c r="W165" s="183">
        <f t="shared" si="13"/>
        <v>0</v>
      </c>
    </row>
    <row r="166" spans="1:23" x14ac:dyDescent="0.3">
      <c r="A166" s="184"/>
      <c r="B166" s="194">
        <v>18</v>
      </c>
      <c r="C166" s="195">
        <v>45590</v>
      </c>
      <c r="D166" s="196" t="s">
        <v>16</v>
      </c>
      <c r="E166" s="196" t="s">
        <v>923</v>
      </c>
      <c r="F166" s="222">
        <v>225</v>
      </c>
      <c r="G166" s="222">
        <v>205</v>
      </c>
      <c r="H166" s="274">
        <v>-20</v>
      </c>
      <c r="I166" s="218">
        <v>100</v>
      </c>
      <c r="J166" s="268">
        <f t="shared" si="11"/>
        <v>-2000</v>
      </c>
      <c r="K166" s="185"/>
      <c r="V166" s="183">
        <f t="shared" si="12"/>
        <v>0</v>
      </c>
      <c r="W166" s="183">
        <f t="shared" si="13"/>
        <v>1</v>
      </c>
    </row>
    <row r="167" spans="1:23" x14ac:dyDescent="0.3">
      <c r="A167" s="184"/>
      <c r="B167" s="194">
        <v>19</v>
      </c>
      <c r="C167" s="195">
        <v>45593</v>
      </c>
      <c r="D167" s="196" t="s">
        <v>16</v>
      </c>
      <c r="E167" s="196" t="s">
        <v>923</v>
      </c>
      <c r="F167" s="222">
        <v>225</v>
      </c>
      <c r="G167" s="222">
        <v>265</v>
      </c>
      <c r="H167" s="274">
        <v>40</v>
      </c>
      <c r="I167" s="218">
        <v>100</v>
      </c>
      <c r="J167" s="268">
        <f t="shared" si="11"/>
        <v>4000</v>
      </c>
      <c r="K167" s="185"/>
      <c r="V167" s="183">
        <f t="shared" si="12"/>
        <v>1</v>
      </c>
      <c r="W167" s="183">
        <f t="shared" si="13"/>
        <v>0</v>
      </c>
    </row>
    <row r="168" spans="1:23" x14ac:dyDescent="0.3">
      <c r="A168" s="184"/>
      <c r="B168" s="194">
        <v>20</v>
      </c>
      <c r="C168" s="195">
        <v>45594</v>
      </c>
      <c r="D168" s="196" t="s">
        <v>16</v>
      </c>
      <c r="E168" s="222" t="s">
        <v>923</v>
      </c>
      <c r="F168" s="222">
        <v>240</v>
      </c>
      <c r="G168" s="222">
        <v>252</v>
      </c>
      <c r="H168" s="274">
        <v>12</v>
      </c>
      <c r="I168" s="218">
        <v>100</v>
      </c>
      <c r="J168" s="268">
        <f t="shared" si="11"/>
        <v>1200</v>
      </c>
      <c r="K168" s="185"/>
      <c r="V168" s="183">
        <f t="shared" si="12"/>
        <v>1</v>
      </c>
      <c r="W168" s="183">
        <f t="shared" si="13"/>
        <v>0</v>
      </c>
    </row>
    <row r="169" spans="1:23" x14ac:dyDescent="0.3">
      <c r="A169" s="184"/>
      <c r="B169" s="194">
        <v>21</v>
      </c>
      <c r="C169" s="195">
        <v>45595</v>
      </c>
      <c r="D169" s="196" t="s">
        <v>16</v>
      </c>
      <c r="E169" s="222" t="s">
        <v>923</v>
      </c>
      <c r="F169" s="222">
        <v>225</v>
      </c>
      <c r="G169" s="222">
        <v>205</v>
      </c>
      <c r="H169" s="274">
        <v>-20</v>
      </c>
      <c r="I169" s="218">
        <v>100</v>
      </c>
      <c r="J169" s="268">
        <f t="shared" si="11"/>
        <v>-2000</v>
      </c>
      <c r="K169" s="185"/>
      <c r="V169" s="183">
        <f t="shared" si="12"/>
        <v>0</v>
      </c>
      <c r="W169" s="183">
        <f t="shared" si="13"/>
        <v>1</v>
      </c>
    </row>
    <row r="170" spans="1:23" x14ac:dyDescent="0.3">
      <c r="A170" s="184"/>
      <c r="B170" s="194">
        <v>22</v>
      </c>
      <c r="C170" s="195">
        <v>45596</v>
      </c>
      <c r="D170" s="196" t="s">
        <v>16</v>
      </c>
      <c r="E170" s="222" t="s">
        <v>948</v>
      </c>
      <c r="F170" s="222">
        <v>180</v>
      </c>
      <c r="G170" s="222">
        <v>160</v>
      </c>
      <c r="H170" s="222">
        <v>20</v>
      </c>
      <c r="I170" s="218">
        <v>100</v>
      </c>
      <c r="J170" s="268">
        <f>I170*H170</f>
        <v>2000</v>
      </c>
      <c r="K170" s="185"/>
      <c r="V170" s="183">
        <f t="shared" si="12"/>
        <v>1</v>
      </c>
      <c r="W170" s="183">
        <f t="shared" si="13"/>
        <v>0</v>
      </c>
    </row>
    <row r="171" spans="1:23" ht="15" thickBot="1" x14ac:dyDescent="0.35">
      <c r="A171" s="184"/>
      <c r="B171" s="199">
        <v>23</v>
      </c>
      <c r="C171" s="200"/>
      <c r="D171" s="201"/>
      <c r="E171" s="201"/>
      <c r="F171" s="284"/>
      <c r="G171" s="284"/>
      <c r="H171" s="284"/>
      <c r="I171" s="285"/>
      <c r="J171" s="269">
        <f>I171*H171</f>
        <v>0</v>
      </c>
      <c r="K171" s="185"/>
      <c r="V171" s="183">
        <f t="shared" si="12"/>
        <v>0</v>
      </c>
      <c r="W171" s="183">
        <f t="shared" si="13"/>
        <v>0</v>
      </c>
    </row>
    <row r="172" spans="1:23" ht="24" thickBot="1" x14ac:dyDescent="0.5">
      <c r="A172" s="184"/>
      <c r="B172" s="304" t="s">
        <v>879</v>
      </c>
      <c r="C172" s="305"/>
      <c r="D172" s="305"/>
      <c r="E172" s="305"/>
      <c r="F172" s="305"/>
      <c r="G172" s="305"/>
      <c r="H172" s="306"/>
      <c r="I172" s="203" t="s">
        <v>880</v>
      </c>
      <c r="J172" s="204">
        <f>SUM(J149:J171)</f>
        <v>24700</v>
      </c>
      <c r="K172" s="185"/>
      <c r="V172" s="183">
        <f>SUM(V149:V171)</f>
        <v>16</v>
      </c>
      <c r="W172" s="183">
        <f>SUM(W149:W171)</f>
        <v>6</v>
      </c>
    </row>
    <row r="173" spans="1:23" ht="30" customHeight="1" thickBot="1" x14ac:dyDescent="0.35">
      <c r="A173" s="205"/>
      <c r="B173" s="286"/>
      <c r="C173" s="286"/>
      <c r="D173" s="286"/>
      <c r="E173" s="286"/>
      <c r="F173" s="286"/>
      <c r="G173" s="286"/>
      <c r="H173" s="287"/>
      <c r="I173" s="286"/>
      <c r="J173" s="287"/>
      <c r="K173" s="207"/>
    </row>
  </sheetData>
  <mergeCells count="54">
    <mergeCell ref="M10:M11"/>
    <mergeCell ref="B146:J146"/>
    <mergeCell ref="B147:J147"/>
    <mergeCell ref="B172:H172"/>
    <mergeCell ref="B104:H104"/>
    <mergeCell ref="B108:J108"/>
    <mergeCell ref="B109:J109"/>
    <mergeCell ref="B110:J110"/>
    <mergeCell ref="B141:H141"/>
    <mergeCell ref="B145:J145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E5759D2A-FEC8-47B4-B761-64CFF3F86678}"/>
    <hyperlink ref="B104" r:id="rId2" xr:uid="{6B13F3B5-A1C8-4F57-9795-13FA3DE5DBEC}"/>
    <hyperlink ref="M4:M5" location="'SEP 2024'!A1" display="BULLION" xr:uid="{F2963F40-BC61-4544-954B-9582DE09D84B}"/>
    <hyperlink ref="B141" r:id="rId3" xr:uid="{7883F49B-3377-422B-A534-D0A78E145352}"/>
    <hyperlink ref="M8:M9" location="'SEP 2024'!A86" display="BASE METAL" xr:uid="{A6ECD11E-D219-4999-8327-79122B867E04}"/>
    <hyperlink ref="M1" location="MASTER!A1" display="Back" xr:uid="{5AE20AFF-D413-449E-8304-F39A5D2FC53D}"/>
    <hyperlink ref="M6:M7" location="'SEP 2024'!A55" display="ENERGY" xr:uid="{3C4F2681-4775-4D77-A0E5-A3345132AD20}"/>
    <hyperlink ref="B172" r:id="rId4" xr:uid="{A35F1AC0-87C2-4A3C-90EC-7F2521015631}"/>
    <hyperlink ref="M10:M11" location="'SEP 2024'!A117" display="CRUDEOIL OPTION" xr:uid="{B511EE48-17D4-43A9-8AD8-901AEC2DB314}"/>
  </hyperlinks>
  <pageMargins left="0" right="0" top="0" bottom="0" header="0" footer="0"/>
  <pageSetup paperSize="9" orientation="portrait" r:id="rId5"/>
  <drawing r:id="rId6"/>
  <legacyDrawing r:id="rId7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99ED-8DCF-451F-9CA1-8AE423736EB9}">
  <dimension ref="A1:W235"/>
  <sheetViews>
    <sheetView zoomScaleNormal="100" workbookViewId="0">
      <selection activeCell="M24" sqref="M24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 customWidth="1"/>
    <col min="22" max="22" width="7.5546875" style="183" hidden="1" customWidth="1"/>
    <col min="23" max="23" width="6.109375" style="183" hidden="1" customWidth="1"/>
    <col min="24" max="25" width="9.109375" style="183" customWidth="1"/>
    <col min="26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45597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32</v>
      </c>
      <c r="O4" s="369">
        <f>V52</f>
        <v>22</v>
      </c>
      <c r="P4" s="369">
        <f>W52</f>
        <v>10</v>
      </c>
      <c r="Q4" s="349">
        <f>N4-O4-P4</f>
        <v>0</v>
      </c>
      <c r="R4" s="343">
        <f>O4/N4</f>
        <v>0.6875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45602</v>
      </c>
      <c r="D6" s="192" t="s">
        <v>23</v>
      </c>
      <c r="E6" s="192" t="s">
        <v>24</v>
      </c>
      <c r="F6" s="193">
        <v>78350</v>
      </c>
      <c r="G6" s="193">
        <v>78150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COUNT(C60:C103)</f>
        <v>31</v>
      </c>
      <c r="O6" s="348">
        <f>V104</f>
        <v>24</v>
      </c>
      <c r="P6" s="348">
        <f>W104</f>
        <v>7</v>
      </c>
      <c r="Q6" s="349">
        <v>0</v>
      </c>
      <c r="R6" s="345">
        <f t="shared" ref="R6" si="0">O6/N6</f>
        <v>0.77419354838709675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45602</v>
      </c>
      <c r="D7" s="196" t="s">
        <v>23</v>
      </c>
      <c r="E7" s="196" t="s">
        <v>22</v>
      </c>
      <c r="F7" s="197">
        <v>93450</v>
      </c>
      <c r="G7" s="197">
        <v>93800</v>
      </c>
      <c r="H7" s="196">
        <f>93800-93450</f>
        <v>350</v>
      </c>
      <c r="I7" s="197">
        <v>30</v>
      </c>
      <c r="J7" s="268">
        <f t="shared" ref="J7:J51" si="1">H7*I7</f>
        <v>10500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45603</v>
      </c>
      <c r="D8" s="196" t="s">
        <v>23</v>
      </c>
      <c r="E8" s="196" t="s">
        <v>24</v>
      </c>
      <c r="F8" s="197">
        <v>76650</v>
      </c>
      <c r="G8" s="197">
        <v>76450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COUNT(C112:C140)</f>
        <v>16</v>
      </c>
      <c r="O8" s="348">
        <f>V141</f>
        <v>11</v>
      </c>
      <c r="P8" s="348">
        <v>5</v>
      </c>
      <c r="Q8" s="349">
        <v>0</v>
      </c>
      <c r="R8" s="345">
        <f>O8/N8</f>
        <v>0.6875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45603</v>
      </c>
      <c r="D9" s="196" t="s">
        <v>23</v>
      </c>
      <c r="E9" s="196" t="s">
        <v>22</v>
      </c>
      <c r="F9" s="197">
        <v>90950</v>
      </c>
      <c r="G9" s="197">
        <v>90550</v>
      </c>
      <c r="H9" s="196">
        <v>400</v>
      </c>
      <c r="I9" s="197">
        <v>30</v>
      </c>
      <c r="J9" s="268">
        <f t="shared" si="1"/>
        <v>12000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45604</v>
      </c>
      <c r="D10" s="196" t="s">
        <v>23</v>
      </c>
      <c r="E10" s="196" t="s">
        <v>24</v>
      </c>
      <c r="F10" s="197">
        <v>77150</v>
      </c>
      <c r="G10" s="197">
        <v>77250</v>
      </c>
      <c r="H10" s="196">
        <v>-100</v>
      </c>
      <c r="I10" s="197">
        <v>100</v>
      </c>
      <c r="J10" s="268">
        <f t="shared" si="1"/>
        <v>-10000</v>
      </c>
      <c r="K10" s="185"/>
      <c r="M10" s="364" t="s">
        <v>906</v>
      </c>
      <c r="N10" s="347">
        <f>COUNT(C149:C171)</f>
        <v>16</v>
      </c>
      <c r="O10" s="348">
        <f>V172</f>
        <v>13</v>
      </c>
      <c r="P10" s="348">
        <f>W172</f>
        <v>3</v>
      </c>
      <c r="Q10" s="349">
        <f>N10-O10-P10</f>
        <v>0</v>
      </c>
      <c r="R10" s="345">
        <f>O10/N10</f>
        <v>0.8125</v>
      </c>
      <c r="V10" s="183">
        <f t="shared" si="2"/>
        <v>0</v>
      </c>
      <c r="W10" s="183">
        <f t="shared" si="3"/>
        <v>1</v>
      </c>
    </row>
    <row r="11" spans="1:23" x14ac:dyDescent="0.3">
      <c r="A11" s="184"/>
      <c r="B11" s="194">
        <v>6</v>
      </c>
      <c r="C11" s="195">
        <v>45604</v>
      </c>
      <c r="D11" s="196" t="s">
        <v>23</v>
      </c>
      <c r="E11" s="196" t="s">
        <v>22</v>
      </c>
      <c r="F11" s="197">
        <v>91400</v>
      </c>
      <c r="G11" s="197">
        <v>91150</v>
      </c>
      <c r="H11" s="196">
        <f>91400-91150</f>
        <v>250</v>
      </c>
      <c r="I11" s="197">
        <v>30</v>
      </c>
      <c r="J11" s="268">
        <f t="shared" si="1"/>
        <v>7500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45607</v>
      </c>
      <c r="D12" s="196" t="s">
        <v>23</v>
      </c>
      <c r="E12" s="196" t="s">
        <v>24</v>
      </c>
      <c r="F12" s="197">
        <v>76750</v>
      </c>
      <c r="G12" s="197">
        <v>76610</v>
      </c>
      <c r="H12" s="196">
        <v>140</v>
      </c>
      <c r="I12" s="197">
        <v>100</v>
      </c>
      <c r="J12" s="268">
        <f t="shared" si="1"/>
        <v>14000</v>
      </c>
      <c r="K12" s="185"/>
      <c r="M12" s="362" t="s">
        <v>960</v>
      </c>
      <c r="N12" s="347">
        <f>COUNT(C180:C202)</f>
        <v>10</v>
      </c>
      <c r="O12" s="348">
        <f>V203</f>
        <v>10</v>
      </c>
      <c r="P12" s="348">
        <f>W203</f>
        <v>0</v>
      </c>
      <c r="Q12" s="349">
        <v>0</v>
      </c>
      <c r="R12" s="345">
        <f>O12/N12</f>
        <v>1</v>
      </c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45607</v>
      </c>
      <c r="D13" s="196" t="s">
        <v>23</v>
      </c>
      <c r="E13" s="196" t="s">
        <v>22</v>
      </c>
      <c r="F13" s="197">
        <v>91100</v>
      </c>
      <c r="G13" s="197">
        <v>90930</v>
      </c>
      <c r="H13" s="196">
        <f>91100-90930</f>
        <v>170</v>
      </c>
      <c r="I13" s="197">
        <v>30</v>
      </c>
      <c r="J13" s="268">
        <f t="shared" si="1"/>
        <v>5100</v>
      </c>
      <c r="K13" s="185"/>
      <c r="M13" s="362"/>
      <c r="N13" s="347"/>
      <c r="O13" s="348"/>
      <c r="P13" s="348"/>
      <c r="Q13" s="350"/>
      <c r="R13" s="345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45608</v>
      </c>
      <c r="D14" s="196" t="s">
        <v>23</v>
      </c>
      <c r="E14" s="196" t="s">
        <v>24</v>
      </c>
      <c r="F14" s="197">
        <v>75000</v>
      </c>
      <c r="G14" s="197">
        <v>74920</v>
      </c>
      <c r="H14" s="196">
        <f>75000-74920</f>
        <v>80</v>
      </c>
      <c r="I14" s="197">
        <v>100</v>
      </c>
      <c r="J14" s="268">
        <f t="shared" si="1"/>
        <v>8000</v>
      </c>
      <c r="K14" s="185"/>
      <c r="M14" s="364" t="s">
        <v>959</v>
      </c>
      <c r="N14" s="347">
        <f>COUNT(C211:C233)</f>
        <v>8</v>
      </c>
      <c r="O14" s="348">
        <f>V234</f>
        <v>7</v>
      </c>
      <c r="P14" s="348">
        <f>W234</f>
        <v>1</v>
      </c>
      <c r="Q14" s="349">
        <f>N14-O14-P14</f>
        <v>0</v>
      </c>
      <c r="R14" s="345">
        <f>O14/N14</f>
        <v>0.875</v>
      </c>
      <c r="V14" s="183">
        <f t="shared" si="2"/>
        <v>1</v>
      </c>
      <c r="W14" s="183">
        <f t="shared" si="3"/>
        <v>0</v>
      </c>
    </row>
    <row r="15" spans="1:23" ht="15" thickBot="1" x14ac:dyDescent="0.35">
      <c r="A15" s="184"/>
      <c r="B15" s="194">
        <v>10</v>
      </c>
      <c r="C15" s="195">
        <v>45608</v>
      </c>
      <c r="D15" s="196" t="s">
        <v>23</v>
      </c>
      <c r="E15" s="196" t="s">
        <v>22</v>
      </c>
      <c r="F15" s="197">
        <v>88850</v>
      </c>
      <c r="G15" s="197">
        <v>88320</v>
      </c>
      <c r="H15" s="196">
        <f>88850-88320</f>
        <v>530</v>
      </c>
      <c r="I15" s="197">
        <v>30</v>
      </c>
      <c r="J15" s="268">
        <f t="shared" si="1"/>
        <v>15900</v>
      </c>
      <c r="K15" s="185"/>
      <c r="M15" s="365"/>
      <c r="N15" s="347"/>
      <c r="O15" s="348"/>
      <c r="P15" s="348"/>
      <c r="Q15" s="350"/>
      <c r="R15" s="345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45609</v>
      </c>
      <c r="D16" s="196" t="s">
        <v>23</v>
      </c>
      <c r="E16" s="196" t="s">
        <v>24</v>
      </c>
      <c r="F16" s="197">
        <v>75100</v>
      </c>
      <c r="G16" s="197">
        <v>75040</v>
      </c>
      <c r="H16" s="196">
        <f>75100-75040</f>
        <v>60</v>
      </c>
      <c r="I16" s="197">
        <v>100</v>
      </c>
      <c r="J16" s="268">
        <f t="shared" si="1"/>
        <v>6000</v>
      </c>
      <c r="K16" s="185"/>
      <c r="M16" s="319" t="s">
        <v>300</v>
      </c>
      <c r="N16" s="371">
        <f>SUM(N4:N11)</f>
        <v>95</v>
      </c>
      <c r="O16" s="371">
        <f>SUM(O4:O11)</f>
        <v>70</v>
      </c>
      <c r="P16" s="371">
        <f>SUM(P4:P11)</f>
        <v>25</v>
      </c>
      <c r="Q16" s="371">
        <f>SUM(Q4:Q11)</f>
        <v>0</v>
      </c>
      <c r="R16" s="343">
        <f>O16/N16</f>
        <v>0.73684210526315785</v>
      </c>
      <c r="V16" s="183">
        <f t="shared" si="2"/>
        <v>1</v>
      </c>
      <c r="W16" s="183">
        <f t="shared" si="3"/>
        <v>0</v>
      </c>
    </row>
    <row r="17" spans="1:23" ht="15" thickBot="1" x14ac:dyDescent="0.35">
      <c r="A17" s="184"/>
      <c r="B17" s="194">
        <v>12</v>
      </c>
      <c r="C17" s="195">
        <v>45609</v>
      </c>
      <c r="D17" s="196" t="s">
        <v>23</v>
      </c>
      <c r="E17" s="196" t="s">
        <v>22</v>
      </c>
      <c r="F17" s="197">
        <v>89900</v>
      </c>
      <c r="G17" s="197">
        <v>90200</v>
      </c>
      <c r="H17" s="196">
        <v>-300</v>
      </c>
      <c r="I17" s="197">
        <v>30</v>
      </c>
      <c r="J17" s="268">
        <f t="shared" si="1"/>
        <v>-9000</v>
      </c>
      <c r="K17" s="185"/>
      <c r="M17" s="320"/>
      <c r="N17" s="372"/>
      <c r="O17" s="372"/>
      <c r="P17" s="372"/>
      <c r="Q17" s="372"/>
      <c r="R17" s="344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45610</v>
      </c>
      <c r="D18" s="196" t="s">
        <v>16</v>
      </c>
      <c r="E18" s="196" t="s">
        <v>24</v>
      </c>
      <c r="F18" s="197">
        <v>73750</v>
      </c>
      <c r="G18" s="197">
        <v>73650</v>
      </c>
      <c r="H18" s="196">
        <v>-100</v>
      </c>
      <c r="I18" s="197">
        <v>100</v>
      </c>
      <c r="J18" s="268">
        <f t="shared" si="1"/>
        <v>-10000</v>
      </c>
      <c r="K18" s="185"/>
      <c r="M18" s="323" t="s">
        <v>878</v>
      </c>
      <c r="N18" s="324"/>
      <c r="O18" s="325"/>
      <c r="P18" s="332">
        <f>R16</f>
        <v>0.73684210526315785</v>
      </c>
      <c r="Q18" s="333"/>
      <c r="R18" s="334"/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45610</v>
      </c>
      <c r="D19" s="196" t="s">
        <v>16</v>
      </c>
      <c r="E19" s="196" t="s">
        <v>22</v>
      </c>
      <c r="F19" s="197">
        <v>87500</v>
      </c>
      <c r="G19" s="197">
        <v>87200</v>
      </c>
      <c r="H19" s="196">
        <v>-300</v>
      </c>
      <c r="I19" s="197">
        <v>30</v>
      </c>
      <c r="J19" s="268">
        <f t="shared" si="1"/>
        <v>-9000</v>
      </c>
      <c r="K19" s="185"/>
      <c r="M19" s="326"/>
      <c r="N19" s="327"/>
      <c r="O19" s="328"/>
      <c r="P19" s="335"/>
      <c r="Q19" s="336"/>
      <c r="R19" s="337"/>
      <c r="V19" s="183">
        <f t="shared" si="2"/>
        <v>0</v>
      </c>
      <c r="W19" s="183">
        <f t="shared" si="3"/>
        <v>1</v>
      </c>
    </row>
    <row r="20" spans="1:23" ht="15" thickBot="1" x14ac:dyDescent="0.35">
      <c r="A20" s="184"/>
      <c r="B20" s="194">
        <v>15</v>
      </c>
      <c r="C20" s="195">
        <v>45614</v>
      </c>
      <c r="D20" s="196" t="s">
        <v>23</v>
      </c>
      <c r="E20" s="196" t="s">
        <v>24</v>
      </c>
      <c r="F20" s="197">
        <v>74650</v>
      </c>
      <c r="G20" s="197">
        <v>74563</v>
      </c>
      <c r="H20" s="196">
        <f>74650-74563</f>
        <v>87</v>
      </c>
      <c r="I20" s="197">
        <v>100</v>
      </c>
      <c r="J20" s="268">
        <f t="shared" si="1"/>
        <v>8700</v>
      </c>
      <c r="K20" s="185"/>
      <c r="M20" s="329"/>
      <c r="N20" s="330"/>
      <c r="O20" s="331"/>
      <c r="P20" s="338"/>
      <c r="Q20" s="339"/>
      <c r="R20" s="340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45614</v>
      </c>
      <c r="D21" s="196" t="s">
        <v>23</v>
      </c>
      <c r="E21" s="196" t="s">
        <v>22</v>
      </c>
      <c r="F21" s="197">
        <v>89400</v>
      </c>
      <c r="G21" s="197">
        <v>89700</v>
      </c>
      <c r="H21" s="196">
        <v>-300</v>
      </c>
      <c r="I21" s="197">
        <v>30</v>
      </c>
      <c r="J21" s="268">
        <f t="shared" si="1"/>
        <v>-9000</v>
      </c>
      <c r="K21" s="185"/>
      <c r="M21" s="183" t="s">
        <v>904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45615</v>
      </c>
      <c r="D22" s="196" t="s">
        <v>23</v>
      </c>
      <c r="E22" s="196" t="s">
        <v>24</v>
      </c>
      <c r="F22" s="197">
        <v>75360</v>
      </c>
      <c r="G22" s="197">
        <v>75460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45615</v>
      </c>
      <c r="D23" s="196" t="s">
        <v>23</v>
      </c>
      <c r="E23" s="196" t="s">
        <v>22</v>
      </c>
      <c r="F23" s="197">
        <v>90800</v>
      </c>
      <c r="G23" s="197">
        <v>90650</v>
      </c>
      <c r="H23" s="196">
        <f>90800-90650</f>
        <v>150</v>
      </c>
      <c r="I23" s="197">
        <v>30</v>
      </c>
      <c r="J23" s="268">
        <f t="shared" si="1"/>
        <v>4500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45617</v>
      </c>
      <c r="D24" s="196" t="s">
        <v>23</v>
      </c>
      <c r="E24" s="196" t="s">
        <v>24</v>
      </c>
      <c r="F24" s="197">
        <v>76600</v>
      </c>
      <c r="G24" s="197">
        <v>76500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45617</v>
      </c>
      <c r="D25" s="196" t="s">
        <v>23</v>
      </c>
      <c r="E25" s="196" t="s">
        <v>22</v>
      </c>
      <c r="F25" s="197">
        <v>90900</v>
      </c>
      <c r="G25" s="197">
        <v>90300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45618</v>
      </c>
      <c r="D26" s="196" t="s">
        <v>23</v>
      </c>
      <c r="E26" s="196" t="s">
        <v>24</v>
      </c>
      <c r="F26" s="197">
        <v>77370</v>
      </c>
      <c r="G26" s="197">
        <v>77270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45618</v>
      </c>
      <c r="D27" s="196" t="s">
        <v>23</v>
      </c>
      <c r="E27" s="196" t="s">
        <v>22</v>
      </c>
      <c r="F27" s="197">
        <v>91100</v>
      </c>
      <c r="G27" s="197">
        <v>90630</v>
      </c>
      <c r="H27" s="196">
        <f>91100-90630</f>
        <v>470</v>
      </c>
      <c r="I27" s="197">
        <v>30</v>
      </c>
      <c r="J27" s="268">
        <f t="shared" si="1"/>
        <v>14100</v>
      </c>
      <c r="K27" s="185"/>
      <c r="V27" s="183">
        <f t="shared" si="2"/>
        <v>1</v>
      </c>
      <c r="W27" s="183">
        <f t="shared" si="3"/>
        <v>0</v>
      </c>
    </row>
    <row r="28" spans="1:23" ht="14.4" customHeight="1" x14ac:dyDescent="0.3">
      <c r="A28" s="184"/>
      <c r="B28" s="194">
        <v>23</v>
      </c>
      <c r="C28" s="195">
        <v>45621</v>
      </c>
      <c r="D28" s="196" t="s">
        <v>23</v>
      </c>
      <c r="E28" s="196" t="s">
        <v>24</v>
      </c>
      <c r="F28" s="197">
        <v>76600</v>
      </c>
      <c r="G28" s="197">
        <v>76550</v>
      </c>
      <c r="H28" s="196">
        <f>76600-76550</f>
        <v>50</v>
      </c>
      <c r="I28" s="197">
        <v>100</v>
      </c>
      <c r="J28" s="268">
        <f t="shared" si="1"/>
        <v>5000</v>
      </c>
      <c r="K28" s="185"/>
      <c r="V28" s="183">
        <f t="shared" si="2"/>
        <v>1</v>
      </c>
      <c r="W28" s="183">
        <f t="shared" si="3"/>
        <v>0</v>
      </c>
    </row>
    <row r="29" spans="1:23" ht="14.4" customHeight="1" x14ac:dyDescent="0.3">
      <c r="A29" s="184"/>
      <c r="B29" s="194">
        <v>24</v>
      </c>
      <c r="C29" s="195">
        <v>45621</v>
      </c>
      <c r="D29" s="196" t="s">
        <v>23</v>
      </c>
      <c r="E29" s="196" t="s">
        <v>22</v>
      </c>
      <c r="F29" s="197">
        <v>89300</v>
      </c>
      <c r="G29" s="197">
        <v>88700</v>
      </c>
      <c r="H29" s="196">
        <v>600</v>
      </c>
      <c r="I29" s="197">
        <v>30</v>
      </c>
      <c r="J29" s="268">
        <f t="shared" si="1"/>
        <v>18000</v>
      </c>
      <c r="K29" s="185"/>
      <c r="V29" s="183">
        <f t="shared" si="2"/>
        <v>1</v>
      </c>
      <c r="W29" s="183">
        <f t="shared" si="3"/>
        <v>0</v>
      </c>
    </row>
    <row r="30" spans="1:23" ht="15" customHeight="1" x14ac:dyDescent="0.3">
      <c r="A30" s="184"/>
      <c r="B30" s="194">
        <v>25</v>
      </c>
      <c r="C30" s="195">
        <v>45622</v>
      </c>
      <c r="D30" s="196" t="s">
        <v>23</v>
      </c>
      <c r="E30" s="196" t="s">
        <v>24</v>
      </c>
      <c r="F30" s="197">
        <v>75000</v>
      </c>
      <c r="G30" s="197">
        <v>75100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45622</v>
      </c>
      <c r="D31" s="196" t="s">
        <v>23</v>
      </c>
      <c r="E31" s="196" t="s">
        <v>22</v>
      </c>
      <c r="F31" s="197">
        <v>87800</v>
      </c>
      <c r="G31" s="197">
        <v>88100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45623</v>
      </c>
      <c r="D32" s="196" t="s">
        <v>23</v>
      </c>
      <c r="E32" s="196" t="s">
        <v>24</v>
      </c>
      <c r="F32" s="197">
        <v>76050</v>
      </c>
      <c r="G32" s="197">
        <v>75850</v>
      </c>
      <c r="H32" s="196">
        <f>76050-75850</f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45623</v>
      </c>
      <c r="D33" s="196" t="s">
        <v>23</v>
      </c>
      <c r="E33" s="196" t="s">
        <v>22</v>
      </c>
      <c r="F33" s="197">
        <v>88800</v>
      </c>
      <c r="G33" s="197">
        <v>88400</v>
      </c>
      <c r="H33" s="196">
        <v>400</v>
      </c>
      <c r="I33" s="197">
        <v>30</v>
      </c>
      <c r="J33" s="268">
        <f t="shared" si="1"/>
        <v>12000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45624</v>
      </c>
      <c r="D34" s="196" t="s">
        <v>23</v>
      </c>
      <c r="E34" s="196" t="s">
        <v>24</v>
      </c>
      <c r="F34" s="197">
        <v>75900</v>
      </c>
      <c r="G34" s="197">
        <v>76000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45624</v>
      </c>
      <c r="D35" s="196" t="s">
        <v>23</v>
      </c>
      <c r="E35" s="196" t="s">
        <v>22</v>
      </c>
      <c r="F35" s="197">
        <v>87500</v>
      </c>
      <c r="G35" s="197">
        <v>87350</v>
      </c>
      <c r="H35" s="196">
        <f>87500-87350</f>
        <v>150</v>
      </c>
      <c r="I35" s="197">
        <v>30</v>
      </c>
      <c r="J35" s="268">
        <f t="shared" si="1"/>
        <v>4500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45625</v>
      </c>
      <c r="D36" s="196" t="s">
        <v>23</v>
      </c>
      <c r="E36" s="196" t="s">
        <v>24</v>
      </c>
      <c r="F36" s="197">
        <v>76370</v>
      </c>
      <c r="G36" s="197">
        <v>76170</v>
      </c>
      <c r="H36" s="196">
        <f>76370-76170</f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ht="15" thickBot="1" x14ac:dyDescent="0.35">
      <c r="A37" s="184"/>
      <c r="B37" s="194">
        <v>32</v>
      </c>
      <c r="C37" s="195">
        <v>45625</v>
      </c>
      <c r="D37" s="196" t="s">
        <v>23</v>
      </c>
      <c r="E37" s="196" t="s">
        <v>22</v>
      </c>
      <c r="F37" s="197">
        <v>89100</v>
      </c>
      <c r="G37" s="197">
        <v>89400</v>
      </c>
      <c r="H37" s="196"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3"/>
        <v>1</v>
      </c>
    </row>
    <row r="38" spans="1:23" hidden="1" x14ac:dyDescent="0.3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idden="1" x14ac:dyDescent="0.3">
      <c r="A39" s="184"/>
      <c r="B39" s="194">
        <v>34</v>
      </c>
      <c r="C39" s="195"/>
      <c r="D39" s="196"/>
      <c r="E39" s="196"/>
      <c r="F39" s="197"/>
      <c r="G39" s="197"/>
      <c r="H39" s="196"/>
      <c r="I39" s="197"/>
      <c r="J39" s="268">
        <f t="shared" si="1"/>
        <v>0</v>
      </c>
      <c r="K39" s="185"/>
      <c r="V39" s="183">
        <f t="shared" si="2"/>
        <v>0</v>
      </c>
      <c r="W39" s="183">
        <f t="shared" si="3"/>
        <v>0</v>
      </c>
    </row>
    <row r="40" spans="1:23" hidden="1" x14ac:dyDescent="0.3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N40" s="183" t="s">
        <v>0</v>
      </c>
      <c r="V40" s="183">
        <f t="shared" si="2"/>
        <v>0</v>
      </c>
      <c r="W40" s="183">
        <f t="shared" si="3"/>
        <v>0</v>
      </c>
    </row>
    <row r="41" spans="1:23" hidden="1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hidden="1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hidden="1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hidden="1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hidden="1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hidden="1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hidden="1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hidden="1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idden="1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idden="1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hidden="1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168800</v>
      </c>
      <c r="K52" s="185"/>
      <c r="V52" s="183">
        <f>SUM(V6:V51)</f>
        <v>22</v>
      </c>
      <c r="W52" s="183">
        <f>SUM(W6:W51)</f>
        <v>10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45597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45602</v>
      </c>
      <c r="D60" s="192" t="s">
        <v>23</v>
      </c>
      <c r="E60" s="192" t="s">
        <v>25</v>
      </c>
      <c r="F60" s="193">
        <v>5970</v>
      </c>
      <c r="G60" s="193">
        <v>5935</v>
      </c>
      <c r="H60" s="192">
        <v>35</v>
      </c>
      <c r="I60" s="193">
        <v>100</v>
      </c>
      <c r="J60" s="267">
        <f t="shared" ref="J60:J103" si="4">I60*H60</f>
        <v>3500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45602</v>
      </c>
      <c r="D61" s="196" t="s">
        <v>16</v>
      </c>
      <c r="E61" s="196" t="s">
        <v>939</v>
      </c>
      <c r="F61" s="222">
        <v>227</v>
      </c>
      <c r="G61" s="222">
        <v>229.2</v>
      </c>
      <c r="H61" s="222">
        <v>2.2000000000000002</v>
      </c>
      <c r="I61" s="197">
        <v>2500</v>
      </c>
      <c r="J61" s="268">
        <f t="shared" si="4"/>
        <v>5500</v>
      </c>
      <c r="K61" s="185"/>
      <c r="V61" s="183">
        <f t="shared" ref="V61:V103" si="5">IF($J61&gt;0,1,0)</f>
        <v>1</v>
      </c>
      <c r="W61" s="183">
        <f t="shared" ref="W61:W103" si="6">IF($J61&lt;0,1,0)</f>
        <v>0</v>
      </c>
    </row>
    <row r="62" spans="1:23" x14ac:dyDescent="0.3">
      <c r="A62" s="184"/>
      <c r="B62" s="194">
        <v>3</v>
      </c>
      <c r="C62" s="195">
        <v>45603</v>
      </c>
      <c r="D62" s="196" t="s">
        <v>23</v>
      </c>
      <c r="E62" s="196" t="s">
        <v>25</v>
      </c>
      <c r="F62" s="197">
        <v>6055</v>
      </c>
      <c r="G62" s="197">
        <v>6015</v>
      </c>
      <c r="H62" s="222">
        <f>6055-6015</f>
        <v>40</v>
      </c>
      <c r="I62" s="197">
        <v>100</v>
      </c>
      <c r="J62" s="268">
        <f t="shared" si="4"/>
        <v>4000</v>
      </c>
      <c r="K62" s="185"/>
      <c r="V62" s="183">
        <f t="shared" si="5"/>
        <v>1</v>
      </c>
      <c r="W62" s="183">
        <f t="shared" si="6"/>
        <v>0</v>
      </c>
    </row>
    <row r="63" spans="1:23" x14ac:dyDescent="0.3">
      <c r="A63" s="184"/>
      <c r="B63" s="194">
        <v>4</v>
      </c>
      <c r="C63" s="195">
        <v>45603</v>
      </c>
      <c r="D63" s="196" t="s">
        <v>23</v>
      </c>
      <c r="E63" s="196" t="s">
        <v>939</v>
      </c>
      <c r="F63" s="222">
        <v>233</v>
      </c>
      <c r="G63" s="222">
        <v>231.5</v>
      </c>
      <c r="H63" s="222">
        <f>233-231.5</f>
        <v>1.5</v>
      </c>
      <c r="I63" s="197">
        <v>2500</v>
      </c>
      <c r="J63" s="268">
        <f t="shared" si="4"/>
        <v>3750</v>
      </c>
      <c r="K63" s="185"/>
      <c r="V63" s="183">
        <f t="shared" si="5"/>
        <v>1</v>
      </c>
      <c r="W63" s="183">
        <f t="shared" si="6"/>
        <v>0</v>
      </c>
    </row>
    <row r="64" spans="1:23" x14ac:dyDescent="0.3">
      <c r="A64" s="184"/>
      <c r="B64" s="194">
        <v>5</v>
      </c>
      <c r="C64" s="195">
        <v>45604</v>
      </c>
      <c r="D64" s="196" t="s">
        <v>23</v>
      </c>
      <c r="E64" s="196" t="s">
        <v>25</v>
      </c>
      <c r="F64" s="197">
        <v>6055</v>
      </c>
      <c r="G64" s="197">
        <v>6009</v>
      </c>
      <c r="H64" s="196">
        <f>6055-6009</f>
        <v>46</v>
      </c>
      <c r="I64" s="197">
        <v>100</v>
      </c>
      <c r="J64" s="268">
        <f t="shared" si="4"/>
        <v>4600</v>
      </c>
      <c r="K64" s="185"/>
      <c r="V64" s="183">
        <f t="shared" si="5"/>
        <v>1</v>
      </c>
      <c r="W64" s="183">
        <f t="shared" si="6"/>
        <v>0</v>
      </c>
    </row>
    <row r="65" spans="1:23" x14ac:dyDescent="0.3">
      <c r="A65" s="184"/>
      <c r="B65" s="194">
        <v>6</v>
      </c>
      <c r="C65" s="195">
        <v>45604</v>
      </c>
      <c r="D65" s="196" t="s">
        <v>23</v>
      </c>
      <c r="E65" s="196" t="s">
        <v>939</v>
      </c>
      <c r="F65" s="222">
        <v>228</v>
      </c>
      <c r="G65" s="222">
        <v>231</v>
      </c>
      <c r="H65" s="196">
        <v>-3</v>
      </c>
      <c r="I65" s="197">
        <v>2500</v>
      </c>
      <c r="J65" s="268">
        <f t="shared" si="4"/>
        <v>-7500</v>
      </c>
      <c r="K65" s="185"/>
      <c r="V65" s="183">
        <f t="shared" si="5"/>
        <v>0</v>
      </c>
      <c r="W65" s="183">
        <f t="shared" si="6"/>
        <v>1</v>
      </c>
    </row>
    <row r="66" spans="1:23" x14ac:dyDescent="0.3">
      <c r="A66" s="184"/>
      <c r="B66" s="194">
        <v>7</v>
      </c>
      <c r="C66" s="195">
        <v>45607</v>
      </c>
      <c r="D66" s="196" t="s">
        <v>23</v>
      </c>
      <c r="E66" s="196" t="s">
        <v>25</v>
      </c>
      <c r="F66" s="222">
        <v>5950</v>
      </c>
      <c r="G66" s="222">
        <v>5880</v>
      </c>
      <c r="H66" s="196">
        <v>30</v>
      </c>
      <c r="I66" s="197">
        <v>100</v>
      </c>
      <c r="J66" s="268">
        <f t="shared" si="4"/>
        <v>3000</v>
      </c>
      <c r="K66" s="185"/>
      <c r="V66" s="183">
        <f t="shared" si="5"/>
        <v>1</v>
      </c>
      <c r="W66" s="183">
        <f t="shared" si="6"/>
        <v>0</v>
      </c>
    </row>
    <row r="67" spans="1:23" x14ac:dyDescent="0.3">
      <c r="A67" s="184"/>
      <c r="B67" s="194">
        <v>8</v>
      </c>
      <c r="C67" s="195">
        <v>45607</v>
      </c>
      <c r="D67" s="196" t="s">
        <v>23</v>
      </c>
      <c r="E67" s="196" t="s">
        <v>939</v>
      </c>
      <c r="F67" s="222">
        <v>240</v>
      </c>
      <c r="G67" s="222">
        <v>239</v>
      </c>
      <c r="H67" s="222">
        <v>1</v>
      </c>
      <c r="I67" s="197">
        <v>2500</v>
      </c>
      <c r="J67" s="268">
        <f t="shared" si="4"/>
        <v>2500</v>
      </c>
      <c r="K67" s="185"/>
      <c r="V67" s="183">
        <f t="shared" si="5"/>
        <v>1</v>
      </c>
      <c r="W67" s="183">
        <f t="shared" si="6"/>
        <v>0</v>
      </c>
    </row>
    <row r="68" spans="1:23" x14ac:dyDescent="0.3">
      <c r="A68" s="184"/>
      <c r="B68" s="194">
        <v>9</v>
      </c>
      <c r="C68" s="195">
        <v>45608</v>
      </c>
      <c r="D68" s="196" t="s">
        <v>23</v>
      </c>
      <c r="E68" s="196" t="s">
        <v>25</v>
      </c>
      <c r="F68" s="197">
        <v>5760</v>
      </c>
      <c r="G68" s="197">
        <v>5750</v>
      </c>
      <c r="H68" s="196">
        <v>10</v>
      </c>
      <c r="I68" s="197">
        <v>100</v>
      </c>
      <c r="J68" s="268">
        <f t="shared" si="4"/>
        <v>1000</v>
      </c>
      <c r="K68" s="185"/>
      <c r="V68" s="183">
        <f t="shared" si="5"/>
        <v>1</v>
      </c>
      <c r="W68" s="183">
        <f t="shared" si="6"/>
        <v>0</v>
      </c>
    </row>
    <row r="69" spans="1:23" x14ac:dyDescent="0.3">
      <c r="A69" s="184"/>
      <c r="B69" s="194">
        <v>10</v>
      </c>
      <c r="C69" s="195">
        <v>45608</v>
      </c>
      <c r="D69" s="196" t="s">
        <v>23</v>
      </c>
      <c r="E69" s="196" t="s">
        <v>939</v>
      </c>
      <c r="F69" s="222">
        <v>249</v>
      </c>
      <c r="G69" s="222">
        <v>247</v>
      </c>
      <c r="H69" s="222">
        <v>2</v>
      </c>
      <c r="I69" s="197">
        <v>2500</v>
      </c>
      <c r="J69" s="268">
        <f t="shared" si="4"/>
        <v>5000</v>
      </c>
      <c r="K69" s="185"/>
      <c r="V69" s="183">
        <f t="shared" si="5"/>
        <v>1</v>
      </c>
      <c r="W69" s="183">
        <f t="shared" si="6"/>
        <v>0</v>
      </c>
    </row>
    <row r="70" spans="1:23" x14ac:dyDescent="0.3">
      <c r="A70" s="184"/>
      <c r="B70" s="194">
        <v>11</v>
      </c>
      <c r="C70" s="195">
        <v>45609</v>
      </c>
      <c r="D70" s="196" t="s">
        <v>23</v>
      </c>
      <c r="E70" s="196" t="s">
        <v>25</v>
      </c>
      <c r="F70" s="197">
        <v>5755</v>
      </c>
      <c r="G70" s="222">
        <v>5795</v>
      </c>
      <c r="H70" s="196">
        <v>-40</v>
      </c>
      <c r="I70" s="197">
        <v>100</v>
      </c>
      <c r="J70" s="268">
        <f t="shared" si="4"/>
        <v>-4000</v>
      </c>
      <c r="K70" s="185"/>
      <c r="V70" s="183">
        <f t="shared" si="5"/>
        <v>0</v>
      </c>
      <c r="W70" s="183">
        <f t="shared" si="6"/>
        <v>1</v>
      </c>
    </row>
    <row r="71" spans="1:23" x14ac:dyDescent="0.3">
      <c r="A71" s="184"/>
      <c r="B71" s="194">
        <v>12</v>
      </c>
      <c r="C71" s="195">
        <v>45609</v>
      </c>
      <c r="D71" s="196" t="s">
        <v>23</v>
      </c>
      <c r="E71" s="196" t="s">
        <v>939</v>
      </c>
      <c r="F71" s="222">
        <v>244</v>
      </c>
      <c r="G71" s="222">
        <v>241</v>
      </c>
      <c r="H71" s="222">
        <v>3</v>
      </c>
      <c r="I71" s="197">
        <v>2500</v>
      </c>
      <c r="J71" s="268">
        <f t="shared" si="4"/>
        <v>7500</v>
      </c>
      <c r="K71" s="185"/>
      <c r="V71" s="183">
        <f t="shared" si="5"/>
        <v>1</v>
      </c>
      <c r="W71" s="183">
        <f t="shared" si="6"/>
        <v>0</v>
      </c>
    </row>
    <row r="72" spans="1:23" x14ac:dyDescent="0.3">
      <c r="A72" s="184"/>
      <c r="B72" s="194">
        <v>13</v>
      </c>
      <c r="C72" s="195">
        <v>45610</v>
      </c>
      <c r="D72" s="196" t="s">
        <v>23</v>
      </c>
      <c r="E72" s="196" t="s">
        <v>25</v>
      </c>
      <c r="F72" s="197">
        <v>5785</v>
      </c>
      <c r="G72" s="222">
        <v>5755</v>
      </c>
      <c r="H72" s="196">
        <v>30</v>
      </c>
      <c r="I72" s="197">
        <v>100</v>
      </c>
      <c r="J72" s="268">
        <f t="shared" si="4"/>
        <v>3000</v>
      </c>
      <c r="K72" s="185"/>
      <c r="V72" s="183">
        <f t="shared" si="5"/>
        <v>1</v>
      </c>
      <c r="W72" s="183">
        <f t="shared" si="6"/>
        <v>0</v>
      </c>
    </row>
    <row r="73" spans="1:23" x14ac:dyDescent="0.3">
      <c r="A73" s="184"/>
      <c r="B73" s="194">
        <v>14</v>
      </c>
      <c r="C73" s="195">
        <v>45610</v>
      </c>
      <c r="D73" s="196" t="s">
        <v>23</v>
      </c>
      <c r="E73" s="196" t="s">
        <v>939</v>
      </c>
      <c r="F73" s="222">
        <v>250</v>
      </c>
      <c r="G73" s="222">
        <v>253</v>
      </c>
      <c r="H73" s="196">
        <v>-3</v>
      </c>
      <c r="I73" s="197">
        <v>2500</v>
      </c>
      <c r="J73" s="268">
        <f t="shared" si="4"/>
        <v>-7500</v>
      </c>
      <c r="K73" s="185"/>
      <c r="V73" s="183">
        <f t="shared" si="5"/>
        <v>0</v>
      </c>
      <c r="W73" s="183">
        <f t="shared" si="6"/>
        <v>1</v>
      </c>
    </row>
    <row r="74" spans="1:23" x14ac:dyDescent="0.3">
      <c r="A74" s="184"/>
      <c r="B74" s="194">
        <v>15</v>
      </c>
      <c r="C74" s="195">
        <v>45614</v>
      </c>
      <c r="D74" s="196" t="s">
        <v>23</v>
      </c>
      <c r="E74" s="196" t="s">
        <v>25</v>
      </c>
      <c r="F74" s="197">
        <v>5720</v>
      </c>
      <c r="G74" s="222">
        <v>5702</v>
      </c>
      <c r="H74" s="196">
        <f>5720-5702</f>
        <v>18</v>
      </c>
      <c r="I74" s="197">
        <v>100</v>
      </c>
      <c r="J74" s="268">
        <f t="shared" si="4"/>
        <v>1800</v>
      </c>
      <c r="K74" s="185"/>
      <c r="V74" s="183">
        <f t="shared" si="5"/>
        <v>1</v>
      </c>
      <c r="W74" s="183">
        <f t="shared" si="6"/>
        <v>0</v>
      </c>
    </row>
    <row r="75" spans="1:23" x14ac:dyDescent="0.3">
      <c r="A75" s="184"/>
      <c r="B75" s="194">
        <v>16</v>
      </c>
      <c r="C75" s="195">
        <v>45614</v>
      </c>
      <c r="D75" s="196" t="s">
        <v>23</v>
      </c>
      <c r="E75" s="196" t="s">
        <v>939</v>
      </c>
      <c r="F75" s="222">
        <v>245</v>
      </c>
      <c r="G75" s="222">
        <v>244</v>
      </c>
      <c r="H75" s="196">
        <v>1</v>
      </c>
      <c r="I75" s="197">
        <v>2500</v>
      </c>
      <c r="J75" s="268">
        <f t="shared" si="4"/>
        <v>2500</v>
      </c>
      <c r="K75" s="185"/>
      <c r="V75" s="183">
        <f t="shared" si="5"/>
        <v>1</v>
      </c>
      <c r="W75" s="183">
        <f t="shared" si="6"/>
        <v>0</v>
      </c>
    </row>
    <row r="76" spans="1:23" x14ac:dyDescent="0.3">
      <c r="A76" s="184"/>
      <c r="B76" s="194">
        <v>17</v>
      </c>
      <c r="C76" s="195">
        <v>45615</v>
      </c>
      <c r="D76" s="196" t="s">
        <v>23</v>
      </c>
      <c r="E76" s="196" t="s">
        <v>25</v>
      </c>
      <c r="F76" s="197">
        <v>5850</v>
      </c>
      <c r="G76" s="197">
        <v>5811</v>
      </c>
      <c r="H76" s="196">
        <f>5850-5811</f>
        <v>39</v>
      </c>
      <c r="I76" s="197">
        <v>100</v>
      </c>
      <c r="J76" s="268">
        <f t="shared" si="4"/>
        <v>3900</v>
      </c>
      <c r="K76" s="185"/>
      <c r="V76" s="183">
        <f t="shared" si="5"/>
        <v>1</v>
      </c>
      <c r="W76" s="183">
        <f t="shared" si="6"/>
        <v>0</v>
      </c>
    </row>
    <row r="77" spans="1:23" x14ac:dyDescent="0.3">
      <c r="A77" s="184"/>
      <c r="B77" s="194">
        <v>18</v>
      </c>
      <c r="C77" s="195">
        <v>45615</v>
      </c>
      <c r="D77" s="196" t="s">
        <v>23</v>
      </c>
      <c r="E77" s="196" t="s">
        <v>939</v>
      </c>
      <c r="F77" s="222">
        <v>251</v>
      </c>
      <c r="G77" s="222">
        <v>247</v>
      </c>
      <c r="H77" s="222">
        <f>251-247</f>
        <v>4</v>
      </c>
      <c r="I77" s="197">
        <v>2500</v>
      </c>
      <c r="J77" s="268">
        <f t="shared" si="4"/>
        <v>10000</v>
      </c>
      <c r="K77" s="185"/>
      <c r="V77" s="183">
        <f t="shared" si="5"/>
        <v>1</v>
      </c>
      <c r="W77" s="183">
        <f t="shared" si="6"/>
        <v>0</v>
      </c>
    </row>
    <row r="78" spans="1:23" x14ac:dyDescent="0.3">
      <c r="A78" s="184"/>
      <c r="B78" s="194">
        <v>19</v>
      </c>
      <c r="C78" s="195">
        <v>45617</v>
      </c>
      <c r="D78" s="196" t="s">
        <v>23</v>
      </c>
      <c r="E78" s="196" t="s">
        <v>25</v>
      </c>
      <c r="F78" s="197">
        <v>5890</v>
      </c>
      <c r="G78" s="197">
        <v>5930</v>
      </c>
      <c r="H78" s="196">
        <v>-40</v>
      </c>
      <c r="I78" s="197">
        <v>100</v>
      </c>
      <c r="J78" s="268">
        <f t="shared" si="4"/>
        <v>-4000</v>
      </c>
      <c r="K78" s="185"/>
      <c r="V78" s="183">
        <f t="shared" si="5"/>
        <v>0</v>
      </c>
      <c r="W78" s="183">
        <f t="shared" si="6"/>
        <v>1</v>
      </c>
    </row>
    <row r="79" spans="1:23" x14ac:dyDescent="0.3">
      <c r="A79" s="184"/>
      <c r="B79" s="194">
        <v>20</v>
      </c>
      <c r="C79" s="195">
        <v>45617</v>
      </c>
      <c r="D79" s="196" t="s">
        <v>23</v>
      </c>
      <c r="E79" s="196" t="s">
        <v>939</v>
      </c>
      <c r="F79" s="222">
        <v>282</v>
      </c>
      <c r="G79" s="222">
        <v>285</v>
      </c>
      <c r="H79" s="196">
        <v>-3</v>
      </c>
      <c r="I79" s="197">
        <v>2500</v>
      </c>
      <c r="J79" s="268">
        <f t="shared" si="4"/>
        <v>-7500</v>
      </c>
      <c r="K79" s="185"/>
      <c r="V79" s="183">
        <f t="shared" si="5"/>
        <v>0</v>
      </c>
      <c r="W79" s="183">
        <f t="shared" si="6"/>
        <v>1</v>
      </c>
    </row>
    <row r="80" spans="1:23" x14ac:dyDescent="0.3">
      <c r="A80" s="184"/>
      <c r="B80" s="194">
        <v>21</v>
      </c>
      <c r="C80" s="195">
        <v>45618</v>
      </c>
      <c r="D80" s="196" t="s">
        <v>23</v>
      </c>
      <c r="E80" s="196" t="s">
        <v>25</v>
      </c>
      <c r="F80" s="197">
        <v>5980</v>
      </c>
      <c r="G80" s="197">
        <v>5910</v>
      </c>
      <c r="H80" s="196">
        <v>70</v>
      </c>
      <c r="I80" s="197">
        <v>100</v>
      </c>
      <c r="J80" s="268">
        <f t="shared" si="4"/>
        <v>7000</v>
      </c>
      <c r="K80" s="185"/>
      <c r="V80" s="183">
        <f t="shared" si="5"/>
        <v>1</v>
      </c>
      <c r="W80" s="183">
        <f t="shared" si="6"/>
        <v>0</v>
      </c>
    </row>
    <row r="81" spans="1:23" x14ac:dyDescent="0.3">
      <c r="A81" s="184"/>
      <c r="B81" s="194">
        <v>22</v>
      </c>
      <c r="C81" s="195">
        <v>45618</v>
      </c>
      <c r="D81" s="196" t="s">
        <v>23</v>
      </c>
      <c r="E81" s="196" t="s">
        <v>939</v>
      </c>
      <c r="F81" s="197">
        <v>286</v>
      </c>
      <c r="G81" s="222">
        <v>280</v>
      </c>
      <c r="H81" s="222">
        <v>6</v>
      </c>
      <c r="I81" s="197">
        <v>2500</v>
      </c>
      <c r="J81" s="268">
        <f t="shared" si="4"/>
        <v>15000</v>
      </c>
      <c r="K81" s="185"/>
      <c r="V81" s="183">
        <f t="shared" si="5"/>
        <v>1</v>
      </c>
      <c r="W81" s="183">
        <f t="shared" si="6"/>
        <v>0</v>
      </c>
    </row>
    <row r="82" spans="1:23" x14ac:dyDescent="0.3">
      <c r="A82" s="184"/>
      <c r="B82" s="194">
        <v>23</v>
      </c>
      <c r="C82" s="195">
        <v>45621</v>
      </c>
      <c r="D82" s="196" t="s">
        <v>23</v>
      </c>
      <c r="E82" s="196" t="s">
        <v>25</v>
      </c>
      <c r="F82" s="197">
        <v>5970</v>
      </c>
      <c r="G82" s="197">
        <v>5951</v>
      </c>
      <c r="H82" s="196">
        <f>5970-5951</f>
        <v>19</v>
      </c>
      <c r="I82" s="197">
        <v>100</v>
      </c>
      <c r="J82" s="268">
        <f t="shared" si="4"/>
        <v>1900</v>
      </c>
      <c r="K82" s="185"/>
      <c r="V82" s="183">
        <f t="shared" si="5"/>
        <v>1</v>
      </c>
      <c r="W82" s="183">
        <f t="shared" si="6"/>
        <v>0</v>
      </c>
    </row>
    <row r="83" spans="1:23" x14ac:dyDescent="0.3">
      <c r="A83" s="184"/>
      <c r="B83" s="194">
        <v>24</v>
      </c>
      <c r="C83" s="195">
        <v>45621</v>
      </c>
      <c r="D83" s="196" t="s">
        <v>23</v>
      </c>
      <c r="E83" s="196" t="s">
        <v>939</v>
      </c>
      <c r="F83" s="197">
        <v>281</v>
      </c>
      <c r="G83" s="222">
        <v>278</v>
      </c>
      <c r="H83" s="222">
        <f>281-278</f>
        <v>3</v>
      </c>
      <c r="I83" s="197">
        <v>2500</v>
      </c>
      <c r="J83" s="268">
        <f t="shared" si="4"/>
        <v>7500</v>
      </c>
      <c r="K83" s="185"/>
      <c r="V83" s="183">
        <f t="shared" si="5"/>
        <v>1</v>
      </c>
      <c r="W83" s="183">
        <f t="shared" si="6"/>
        <v>0</v>
      </c>
    </row>
    <row r="84" spans="1:23" x14ac:dyDescent="0.3">
      <c r="A84" s="184"/>
      <c r="B84" s="194">
        <v>25</v>
      </c>
      <c r="C84" s="195">
        <v>45622</v>
      </c>
      <c r="D84" s="196" t="s">
        <v>23</v>
      </c>
      <c r="E84" s="196" t="s">
        <v>25</v>
      </c>
      <c r="F84" s="197">
        <v>5865</v>
      </c>
      <c r="G84" s="222">
        <v>5835</v>
      </c>
      <c r="H84" s="222">
        <f>5865-5835</f>
        <v>30</v>
      </c>
      <c r="I84" s="197">
        <v>100</v>
      </c>
      <c r="J84" s="268">
        <f t="shared" si="4"/>
        <v>3000</v>
      </c>
      <c r="K84" s="185"/>
      <c r="V84" s="183">
        <f t="shared" si="5"/>
        <v>1</v>
      </c>
      <c r="W84" s="183">
        <f t="shared" si="6"/>
        <v>0</v>
      </c>
    </row>
    <row r="85" spans="1:23" x14ac:dyDescent="0.3">
      <c r="A85" s="184"/>
      <c r="B85" s="194">
        <v>26</v>
      </c>
      <c r="C85" s="195">
        <v>45622</v>
      </c>
      <c r="D85" s="196" t="s">
        <v>23</v>
      </c>
      <c r="E85" s="196" t="s">
        <v>939</v>
      </c>
      <c r="F85" s="222">
        <v>291.5</v>
      </c>
      <c r="G85" s="222">
        <v>288.5</v>
      </c>
      <c r="H85" s="196">
        <f>291.5-288.5</f>
        <v>3</v>
      </c>
      <c r="I85" s="197">
        <v>2500</v>
      </c>
      <c r="J85" s="268">
        <f t="shared" si="4"/>
        <v>7500</v>
      </c>
      <c r="K85" s="185"/>
      <c r="V85" s="183">
        <f t="shared" si="5"/>
        <v>1</v>
      </c>
      <c r="W85" s="183">
        <f t="shared" si="6"/>
        <v>0</v>
      </c>
    </row>
    <row r="86" spans="1:23" x14ac:dyDescent="0.3">
      <c r="A86" s="184"/>
      <c r="B86" s="194">
        <v>27</v>
      </c>
      <c r="C86" s="195">
        <v>45623</v>
      </c>
      <c r="D86" s="196" t="s">
        <v>23</v>
      </c>
      <c r="E86" s="196" t="s">
        <v>25</v>
      </c>
      <c r="F86" s="197">
        <v>5840</v>
      </c>
      <c r="G86" s="197">
        <v>5770</v>
      </c>
      <c r="H86" s="196">
        <f>5840-5770</f>
        <v>70</v>
      </c>
      <c r="I86" s="197">
        <v>100</v>
      </c>
      <c r="J86" s="268">
        <f t="shared" si="4"/>
        <v>7000</v>
      </c>
      <c r="K86" s="185"/>
      <c r="V86" s="183">
        <f t="shared" si="5"/>
        <v>1</v>
      </c>
      <c r="W86" s="183">
        <f t="shared" si="6"/>
        <v>0</v>
      </c>
    </row>
    <row r="87" spans="1:23" x14ac:dyDescent="0.3">
      <c r="A87" s="184"/>
      <c r="B87" s="194">
        <v>28</v>
      </c>
      <c r="C87" s="195">
        <v>45623</v>
      </c>
      <c r="D87" s="196" t="s">
        <v>23</v>
      </c>
      <c r="E87" s="196" t="s">
        <v>939</v>
      </c>
      <c r="F87" s="222">
        <v>283</v>
      </c>
      <c r="G87" s="222">
        <v>277</v>
      </c>
      <c r="H87" s="222">
        <f>283-277</f>
        <v>6</v>
      </c>
      <c r="I87" s="197">
        <v>2500</v>
      </c>
      <c r="J87" s="268">
        <f t="shared" si="4"/>
        <v>15000</v>
      </c>
      <c r="K87" s="185"/>
      <c r="V87" s="183">
        <f t="shared" si="5"/>
        <v>1</v>
      </c>
      <c r="W87" s="183">
        <f t="shared" si="6"/>
        <v>0</v>
      </c>
    </row>
    <row r="88" spans="1:23" x14ac:dyDescent="0.3">
      <c r="A88" s="184"/>
      <c r="B88" s="194">
        <v>29</v>
      </c>
      <c r="C88" s="195">
        <v>45624</v>
      </c>
      <c r="D88" s="196" t="s">
        <v>23</v>
      </c>
      <c r="E88" s="196" t="s">
        <v>25</v>
      </c>
      <c r="F88" s="197">
        <v>5800</v>
      </c>
      <c r="G88" s="197">
        <v>5840</v>
      </c>
      <c r="H88" s="196">
        <v>-40</v>
      </c>
      <c r="I88" s="197">
        <v>100</v>
      </c>
      <c r="J88" s="268">
        <f t="shared" si="4"/>
        <v>-4000</v>
      </c>
      <c r="K88" s="185"/>
      <c r="V88" s="183">
        <f t="shared" si="5"/>
        <v>0</v>
      </c>
      <c r="W88" s="183">
        <f t="shared" si="6"/>
        <v>1</v>
      </c>
    </row>
    <row r="89" spans="1:23" x14ac:dyDescent="0.3">
      <c r="A89" s="184"/>
      <c r="B89" s="194">
        <v>30</v>
      </c>
      <c r="C89" s="195">
        <v>45624</v>
      </c>
      <c r="D89" s="196" t="s">
        <v>23</v>
      </c>
      <c r="E89" s="196" t="s">
        <v>939</v>
      </c>
      <c r="F89" s="222">
        <v>273</v>
      </c>
      <c r="G89" s="222">
        <v>270</v>
      </c>
      <c r="H89" s="196">
        <v>3</v>
      </c>
      <c r="I89" s="197">
        <v>2500</v>
      </c>
      <c r="J89" s="268">
        <f t="shared" si="4"/>
        <v>7500</v>
      </c>
      <c r="K89" s="185"/>
      <c r="V89" s="183">
        <f t="shared" si="5"/>
        <v>1</v>
      </c>
      <c r="W89" s="183">
        <f t="shared" si="6"/>
        <v>0</v>
      </c>
    </row>
    <row r="90" spans="1:23" ht="15" thickBot="1" x14ac:dyDescent="0.35">
      <c r="A90" s="184"/>
      <c r="B90" s="194">
        <v>31</v>
      </c>
      <c r="C90" s="195">
        <v>45625</v>
      </c>
      <c r="D90" s="196" t="s">
        <v>23</v>
      </c>
      <c r="E90" s="196" t="s">
        <v>25</v>
      </c>
      <c r="F90" s="197">
        <v>5790</v>
      </c>
      <c r="G90" s="197">
        <v>5830</v>
      </c>
      <c r="H90" s="196">
        <f>5790-5830</f>
        <v>-40</v>
      </c>
      <c r="I90" s="197">
        <v>100</v>
      </c>
      <c r="J90" s="268">
        <f t="shared" si="4"/>
        <v>-4000</v>
      </c>
      <c r="K90" s="185"/>
      <c r="V90" s="183">
        <f t="shared" si="5"/>
        <v>0</v>
      </c>
      <c r="W90" s="183">
        <f t="shared" si="6"/>
        <v>1</v>
      </c>
    </row>
    <row r="91" spans="1:23" hidden="1" x14ac:dyDescent="0.3">
      <c r="A91" s="184"/>
      <c r="B91" s="194">
        <v>32</v>
      </c>
      <c r="C91" s="195"/>
      <c r="D91" s="196"/>
      <c r="E91" s="196"/>
      <c r="F91" s="222"/>
      <c r="G91" s="222"/>
      <c r="H91" s="222"/>
      <c r="I91" s="197"/>
      <c r="J91" s="268">
        <f t="shared" si="4"/>
        <v>0</v>
      </c>
      <c r="K91" s="185"/>
      <c r="V91" s="183">
        <f t="shared" si="5"/>
        <v>0</v>
      </c>
      <c r="W91" s="183">
        <f t="shared" si="6"/>
        <v>0</v>
      </c>
    </row>
    <row r="92" spans="1:23" hidden="1" x14ac:dyDescent="0.3">
      <c r="A92" s="184"/>
      <c r="B92" s="194">
        <v>33</v>
      </c>
      <c r="C92" s="195"/>
      <c r="D92" s="196"/>
      <c r="E92" s="196"/>
      <c r="F92" s="197"/>
      <c r="G92" s="197"/>
      <c r="H92" s="196"/>
      <c r="I92" s="197"/>
      <c r="J92" s="268">
        <f t="shared" si="4"/>
        <v>0</v>
      </c>
      <c r="K92" s="185"/>
      <c r="V92" s="183">
        <f t="shared" si="5"/>
        <v>0</v>
      </c>
      <c r="W92" s="183">
        <f t="shared" si="6"/>
        <v>0</v>
      </c>
    </row>
    <row r="93" spans="1:23" hidden="1" x14ac:dyDescent="0.3">
      <c r="A93" s="184"/>
      <c r="B93" s="194">
        <v>34</v>
      </c>
      <c r="C93" s="195"/>
      <c r="D93" s="196"/>
      <c r="E93" s="196"/>
      <c r="F93" s="222"/>
      <c r="G93" s="222"/>
      <c r="H93" s="222"/>
      <c r="I93" s="197"/>
      <c r="J93" s="268">
        <f t="shared" si="4"/>
        <v>0</v>
      </c>
      <c r="K93" s="185"/>
      <c r="V93" s="183">
        <f t="shared" si="5"/>
        <v>0</v>
      </c>
      <c r="W93" s="183">
        <f t="shared" si="6"/>
        <v>0</v>
      </c>
    </row>
    <row r="94" spans="1:23" hidden="1" x14ac:dyDescent="0.3">
      <c r="A94" s="184"/>
      <c r="B94" s="194">
        <v>35</v>
      </c>
      <c r="C94" s="195"/>
      <c r="D94" s="196"/>
      <c r="E94" s="196"/>
      <c r="F94" s="197"/>
      <c r="G94" s="197"/>
      <c r="H94" s="196"/>
      <c r="I94" s="197"/>
      <c r="J94" s="268">
        <f t="shared" si="4"/>
        <v>0</v>
      </c>
      <c r="K94" s="185"/>
      <c r="V94" s="183">
        <f t="shared" si="5"/>
        <v>0</v>
      </c>
      <c r="W94" s="183">
        <f t="shared" si="6"/>
        <v>0</v>
      </c>
    </row>
    <row r="95" spans="1:23" hidden="1" x14ac:dyDescent="0.3">
      <c r="A95" s="184"/>
      <c r="B95" s="194">
        <v>36</v>
      </c>
      <c r="C95" s="195"/>
      <c r="D95" s="196"/>
      <c r="E95" s="196"/>
      <c r="F95" s="197"/>
      <c r="G95" s="222"/>
      <c r="H95" s="222"/>
      <c r="I95" s="197"/>
      <c r="J95" s="268">
        <f t="shared" si="4"/>
        <v>0</v>
      </c>
      <c r="K95" s="185"/>
      <c r="V95" s="183">
        <f t="shared" si="5"/>
        <v>0</v>
      </c>
      <c r="W95" s="183">
        <f t="shared" si="6"/>
        <v>0</v>
      </c>
    </row>
    <row r="96" spans="1:23" hidden="1" x14ac:dyDescent="0.3">
      <c r="A96" s="184"/>
      <c r="B96" s="194">
        <v>37</v>
      </c>
      <c r="C96" s="195"/>
      <c r="D96" s="196"/>
      <c r="E96" s="196"/>
      <c r="F96" s="197"/>
      <c r="G96" s="197"/>
      <c r="H96" s="196"/>
      <c r="I96" s="197"/>
      <c r="J96" s="268">
        <f t="shared" si="4"/>
        <v>0</v>
      </c>
      <c r="K96" s="185"/>
      <c r="V96" s="183">
        <f t="shared" si="5"/>
        <v>0</v>
      </c>
      <c r="W96" s="183">
        <f t="shared" si="6"/>
        <v>0</v>
      </c>
    </row>
    <row r="97" spans="1:23" hidden="1" x14ac:dyDescent="0.3">
      <c r="A97" s="255"/>
      <c r="B97" s="194">
        <v>38</v>
      </c>
      <c r="C97" s="195"/>
      <c r="D97" s="196"/>
      <c r="E97" s="196"/>
      <c r="F97" s="197"/>
      <c r="G97" s="222"/>
      <c r="H97" s="222"/>
      <c r="I97" s="197"/>
      <c r="J97" s="268">
        <f t="shared" si="4"/>
        <v>0</v>
      </c>
      <c r="K97" s="185"/>
      <c r="V97" s="183">
        <f t="shared" si="5"/>
        <v>0</v>
      </c>
      <c r="W97" s="183">
        <f t="shared" si="6"/>
        <v>0</v>
      </c>
    </row>
    <row r="98" spans="1:23" hidden="1" x14ac:dyDescent="0.3">
      <c r="A98" s="184"/>
      <c r="B98" s="194">
        <v>39</v>
      </c>
      <c r="C98" s="195"/>
      <c r="D98" s="196"/>
      <c r="E98" s="196"/>
      <c r="F98" s="197"/>
      <c r="G98" s="222"/>
      <c r="H98" s="196"/>
      <c r="I98" s="197"/>
      <c r="J98" s="268">
        <f t="shared" si="4"/>
        <v>0</v>
      </c>
      <c r="K98" s="185"/>
      <c r="V98" s="183">
        <f t="shared" si="5"/>
        <v>0</v>
      </c>
      <c r="W98" s="183">
        <f t="shared" si="6"/>
        <v>0</v>
      </c>
    </row>
    <row r="99" spans="1:23" hidden="1" x14ac:dyDescent="0.3">
      <c r="A99" s="184"/>
      <c r="B99" s="194">
        <v>40</v>
      </c>
      <c r="C99" s="195"/>
      <c r="D99" s="196"/>
      <c r="E99" s="196"/>
      <c r="F99" s="222"/>
      <c r="G99" s="222"/>
      <c r="H99" s="222"/>
      <c r="I99" s="197"/>
      <c r="J99" s="268">
        <f t="shared" si="4"/>
        <v>0</v>
      </c>
      <c r="K99" s="185"/>
      <c r="V99" s="183">
        <f t="shared" si="5"/>
        <v>0</v>
      </c>
      <c r="W99" s="183">
        <f t="shared" si="6"/>
        <v>0</v>
      </c>
    </row>
    <row r="100" spans="1:23" hidden="1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4"/>
        <v>0</v>
      </c>
      <c r="K100" s="185"/>
      <c r="V100" s="183">
        <f t="shared" si="5"/>
        <v>0</v>
      </c>
      <c r="W100" s="183">
        <f t="shared" si="6"/>
        <v>0</v>
      </c>
    </row>
    <row r="101" spans="1:23" hidden="1" x14ac:dyDescent="0.3">
      <c r="A101" s="184"/>
      <c r="B101" s="194">
        <v>42</v>
      </c>
      <c r="C101" s="195"/>
      <c r="D101" s="196"/>
      <c r="E101" s="196"/>
      <c r="F101" s="197"/>
      <c r="G101" s="222"/>
      <c r="H101" s="196"/>
      <c r="I101" s="197"/>
      <c r="J101" s="268">
        <f t="shared" si="4"/>
        <v>0</v>
      </c>
      <c r="K101" s="185"/>
      <c r="V101" s="183">
        <f t="shared" si="5"/>
        <v>0</v>
      </c>
      <c r="W101" s="183">
        <f t="shared" si="6"/>
        <v>0</v>
      </c>
    </row>
    <row r="102" spans="1:23" hidden="1" x14ac:dyDescent="0.3">
      <c r="A102" s="184"/>
      <c r="B102" s="194">
        <v>43</v>
      </c>
      <c r="C102" s="195"/>
      <c r="D102" s="196"/>
      <c r="E102" s="196"/>
      <c r="F102" s="197"/>
      <c r="G102" s="222"/>
      <c r="H102" s="196"/>
      <c r="I102" s="202"/>
      <c r="J102" s="268">
        <f t="shared" si="4"/>
        <v>0</v>
      </c>
      <c r="K102" s="185"/>
      <c r="V102" s="183">
        <f t="shared" si="5"/>
        <v>0</v>
      </c>
      <c r="W102" s="183">
        <f t="shared" si="6"/>
        <v>0</v>
      </c>
    </row>
    <row r="103" spans="1:23" ht="15" hidden="1" thickBot="1" x14ac:dyDescent="0.35">
      <c r="A103" s="184"/>
      <c r="B103" s="194">
        <v>44</v>
      </c>
      <c r="C103" s="195"/>
      <c r="D103" s="196"/>
      <c r="E103" s="196"/>
      <c r="F103" s="197"/>
      <c r="G103" s="197"/>
      <c r="H103" s="196"/>
      <c r="I103" s="202"/>
      <c r="J103" s="269">
        <f t="shared" si="4"/>
        <v>0</v>
      </c>
      <c r="K103" s="185"/>
      <c r="V103" s="183">
        <f t="shared" si="5"/>
        <v>0</v>
      </c>
      <c r="W103" s="183">
        <f t="shared" si="6"/>
        <v>0</v>
      </c>
    </row>
    <row r="104" spans="1:23" ht="24" thickBot="1" x14ac:dyDescent="0.5">
      <c r="A104" s="184"/>
      <c r="B104" s="368" t="s">
        <v>879</v>
      </c>
      <c r="C104" s="305"/>
      <c r="D104" s="305"/>
      <c r="E104" s="305"/>
      <c r="F104" s="305"/>
      <c r="G104" s="305"/>
      <c r="H104" s="306"/>
      <c r="I104" s="203" t="s">
        <v>880</v>
      </c>
      <c r="J104" s="204">
        <f>SUM(J60:J103)</f>
        <v>94450</v>
      </c>
      <c r="K104" s="185"/>
      <c r="V104" s="183">
        <f>SUM(V60:V103)</f>
        <v>24</v>
      </c>
      <c r="W104" s="183">
        <f>SUM(W60:W103)</f>
        <v>7</v>
      </c>
    </row>
    <row r="105" spans="1:23" ht="30" customHeight="1" thickBot="1" x14ac:dyDescent="0.35">
      <c r="A105" s="205"/>
      <c r="B105" s="206"/>
      <c r="C105" s="206"/>
      <c r="D105" s="206"/>
      <c r="E105" s="206"/>
      <c r="F105" s="206"/>
      <c r="G105" s="206"/>
      <c r="H105" s="261"/>
      <c r="I105" s="206"/>
      <c r="J105" s="261"/>
      <c r="K105" s="207"/>
    </row>
    <row r="106" spans="1:23" ht="15" thickBot="1" x14ac:dyDescent="0.35"/>
    <row r="107" spans="1:23" ht="30" customHeight="1" thickBot="1" x14ac:dyDescent="0.35">
      <c r="A107" s="180"/>
      <c r="B107" s="181"/>
      <c r="C107" s="181"/>
      <c r="D107" s="181"/>
      <c r="E107" s="181"/>
      <c r="F107" s="181"/>
      <c r="G107" s="181"/>
      <c r="H107" s="259"/>
      <c r="I107" s="181"/>
      <c r="J107" s="259"/>
      <c r="K107" s="182"/>
    </row>
    <row r="108" spans="1:23" ht="25.2" thickBot="1" x14ac:dyDescent="0.35">
      <c r="A108" s="184" t="s">
        <v>0</v>
      </c>
      <c r="B108" s="307" t="s">
        <v>873</v>
      </c>
      <c r="C108" s="308"/>
      <c r="D108" s="308"/>
      <c r="E108" s="308"/>
      <c r="F108" s="308"/>
      <c r="G108" s="308"/>
      <c r="H108" s="308"/>
      <c r="I108" s="308"/>
      <c r="J108" s="309"/>
      <c r="K108" s="185"/>
    </row>
    <row r="109" spans="1:23" ht="16.2" thickBot="1" x14ac:dyDescent="0.35">
      <c r="A109" s="184"/>
      <c r="B109" s="310">
        <v>45597</v>
      </c>
      <c r="C109" s="311"/>
      <c r="D109" s="311"/>
      <c r="E109" s="311"/>
      <c r="F109" s="311"/>
      <c r="G109" s="311"/>
      <c r="H109" s="311"/>
      <c r="I109" s="311"/>
      <c r="J109" s="312"/>
      <c r="K109" s="185"/>
    </row>
    <row r="110" spans="1:23" ht="16.2" thickBot="1" x14ac:dyDescent="0.35">
      <c r="A110" s="184"/>
      <c r="B110" s="313" t="s">
        <v>882</v>
      </c>
      <c r="C110" s="314"/>
      <c r="D110" s="314"/>
      <c r="E110" s="314"/>
      <c r="F110" s="314"/>
      <c r="G110" s="314"/>
      <c r="H110" s="314"/>
      <c r="I110" s="314"/>
      <c r="J110" s="315"/>
      <c r="K110" s="185"/>
    </row>
    <row r="111" spans="1:23" ht="15" thickBot="1" x14ac:dyDescent="0.35">
      <c r="A111" s="208"/>
      <c r="B111" s="186" t="s">
        <v>876</v>
      </c>
      <c r="C111" s="187" t="s">
        <v>1</v>
      </c>
      <c r="D111" s="188" t="s">
        <v>2</v>
      </c>
      <c r="E111" s="188" t="s">
        <v>3</v>
      </c>
      <c r="F111" s="189" t="s">
        <v>4</v>
      </c>
      <c r="G111" s="189" t="s">
        <v>5</v>
      </c>
      <c r="H111" s="260" t="s">
        <v>720</v>
      </c>
      <c r="I111" s="189" t="s">
        <v>6</v>
      </c>
      <c r="J111" s="266" t="s">
        <v>7</v>
      </c>
      <c r="K111" s="209"/>
      <c r="L111" s="198"/>
      <c r="V111" s="183" t="s">
        <v>254</v>
      </c>
      <c r="W111" s="183" t="s">
        <v>255</v>
      </c>
    </row>
    <row r="112" spans="1:23" x14ac:dyDescent="0.3">
      <c r="A112" s="184"/>
      <c r="B112" s="214">
        <v>1</v>
      </c>
      <c r="C112" s="215">
        <v>45602</v>
      </c>
      <c r="D112" s="216" t="s">
        <v>23</v>
      </c>
      <c r="E112" s="256" t="s">
        <v>28</v>
      </c>
      <c r="F112" s="256">
        <v>284.5</v>
      </c>
      <c r="G112" s="256">
        <v>285.5</v>
      </c>
      <c r="H112" s="256">
        <v>1</v>
      </c>
      <c r="I112" s="218">
        <v>5000</v>
      </c>
      <c r="J112" s="273">
        <f>I112*H112</f>
        <v>5000</v>
      </c>
      <c r="K112" s="185"/>
      <c r="V112" s="183">
        <f>IF($J112&gt;0,1,0)</f>
        <v>1</v>
      </c>
      <c r="W112" s="183">
        <f>IF($J112&lt;0,1,0)</f>
        <v>0</v>
      </c>
    </row>
    <row r="113" spans="1:23" x14ac:dyDescent="0.3">
      <c r="A113" s="184"/>
      <c r="B113" s="194">
        <v>2</v>
      </c>
      <c r="C113" s="195">
        <v>45603</v>
      </c>
      <c r="D113" s="196" t="s">
        <v>23</v>
      </c>
      <c r="E113" s="222" t="s">
        <v>28</v>
      </c>
      <c r="F113" s="222">
        <v>283.60000000000002</v>
      </c>
      <c r="G113" s="222">
        <v>284.60000000000002</v>
      </c>
      <c r="H113" s="222">
        <v>-1</v>
      </c>
      <c r="I113" s="218">
        <v>5000</v>
      </c>
      <c r="J113" s="268">
        <f t="shared" ref="J113:J138" si="7">I113*H113</f>
        <v>-5000</v>
      </c>
      <c r="K113" s="185"/>
      <c r="V113" s="183">
        <f t="shared" ref="V113:V137" si="8">IF($J113&gt;0,1,0)</f>
        <v>0</v>
      </c>
      <c r="W113" s="183">
        <f t="shared" ref="W113:W137" si="9">IF($J113&lt;0,1,0)</f>
        <v>1</v>
      </c>
    </row>
    <row r="114" spans="1:23" x14ac:dyDescent="0.3">
      <c r="A114" s="184"/>
      <c r="B114" s="194">
        <v>3</v>
      </c>
      <c r="C114" s="195">
        <v>45604</v>
      </c>
      <c r="D114" s="196" t="s">
        <v>23</v>
      </c>
      <c r="E114" s="222" t="s">
        <v>28</v>
      </c>
      <c r="F114" s="222">
        <v>281.5</v>
      </c>
      <c r="G114" s="222">
        <v>282.5</v>
      </c>
      <c r="H114" s="222">
        <v>-1</v>
      </c>
      <c r="I114" s="218">
        <v>5000</v>
      </c>
      <c r="J114" s="268">
        <f t="shared" si="7"/>
        <v>-5000</v>
      </c>
      <c r="K114" s="185"/>
      <c r="M114" s="183" t="s">
        <v>870</v>
      </c>
      <c r="V114" s="183">
        <f t="shared" si="8"/>
        <v>0</v>
      </c>
      <c r="W114" s="183">
        <f t="shared" si="9"/>
        <v>1</v>
      </c>
    </row>
    <row r="115" spans="1:23" x14ac:dyDescent="0.3">
      <c r="A115" s="184"/>
      <c r="B115" s="194">
        <v>4</v>
      </c>
      <c r="C115" s="195">
        <v>45607</v>
      </c>
      <c r="D115" s="196" t="s">
        <v>23</v>
      </c>
      <c r="E115" s="222" t="s">
        <v>28</v>
      </c>
      <c r="F115" s="222">
        <v>279.60000000000002</v>
      </c>
      <c r="G115" s="222">
        <v>280.60000000000002</v>
      </c>
      <c r="H115" s="222">
        <v>-1</v>
      </c>
      <c r="I115" s="218">
        <v>5000</v>
      </c>
      <c r="J115" s="268">
        <f t="shared" si="7"/>
        <v>-5000</v>
      </c>
      <c r="K115" s="185"/>
      <c r="V115" s="183">
        <f t="shared" si="8"/>
        <v>0</v>
      </c>
      <c r="W115" s="183">
        <f t="shared" si="9"/>
        <v>1</v>
      </c>
    </row>
    <row r="116" spans="1:23" x14ac:dyDescent="0.3">
      <c r="A116" s="184"/>
      <c r="B116" s="194">
        <v>5</v>
      </c>
      <c r="C116" s="195">
        <v>45608</v>
      </c>
      <c r="D116" s="196" t="s">
        <v>23</v>
      </c>
      <c r="E116" s="222" t="s">
        <v>28</v>
      </c>
      <c r="F116" s="222">
        <v>276.2</v>
      </c>
      <c r="G116" s="222">
        <v>274.2</v>
      </c>
      <c r="H116" s="222">
        <v>2</v>
      </c>
      <c r="I116" s="218">
        <v>5000</v>
      </c>
      <c r="J116" s="268">
        <f t="shared" si="7"/>
        <v>10000</v>
      </c>
      <c r="K116" s="185"/>
      <c r="V116" s="183">
        <f t="shared" si="8"/>
        <v>1</v>
      </c>
      <c r="W116" s="183">
        <f t="shared" si="9"/>
        <v>0</v>
      </c>
    </row>
    <row r="117" spans="1:23" x14ac:dyDescent="0.3">
      <c r="A117" s="184"/>
      <c r="B117" s="194">
        <v>6</v>
      </c>
      <c r="C117" s="195">
        <v>45609</v>
      </c>
      <c r="D117" s="196" t="s">
        <v>16</v>
      </c>
      <c r="E117" s="222" t="s">
        <v>28</v>
      </c>
      <c r="F117" s="222">
        <v>272.7</v>
      </c>
      <c r="G117" s="222">
        <v>274.7</v>
      </c>
      <c r="H117" s="222">
        <v>2</v>
      </c>
      <c r="I117" s="218">
        <v>5000</v>
      </c>
      <c r="J117" s="268">
        <f t="shared" si="7"/>
        <v>10000</v>
      </c>
      <c r="K117" s="185"/>
      <c r="V117" s="183">
        <f t="shared" si="8"/>
        <v>1</v>
      </c>
      <c r="W117" s="183">
        <f t="shared" si="9"/>
        <v>0</v>
      </c>
    </row>
    <row r="118" spans="1:23" x14ac:dyDescent="0.3">
      <c r="A118" s="184"/>
      <c r="B118" s="194">
        <v>7</v>
      </c>
      <c r="C118" s="195">
        <v>45610</v>
      </c>
      <c r="D118" s="196" t="s">
        <v>16</v>
      </c>
      <c r="E118" s="222" t="s">
        <v>28</v>
      </c>
      <c r="F118" s="222">
        <v>271.5</v>
      </c>
      <c r="G118" s="222">
        <v>272.14999999999998</v>
      </c>
      <c r="H118" s="274">
        <v>1</v>
      </c>
      <c r="I118" s="218">
        <v>5000</v>
      </c>
      <c r="J118" s="268">
        <f t="shared" si="7"/>
        <v>5000</v>
      </c>
      <c r="K118" s="185"/>
      <c r="V118" s="183">
        <f t="shared" si="8"/>
        <v>1</v>
      </c>
      <c r="W118" s="183">
        <f t="shared" si="9"/>
        <v>0</v>
      </c>
    </row>
    <row r="119" spans="1:23" x14ac:dyDescent="0.3">
      <c r="A119" s="184"/>
      <c r="B119" s="194">
        <v>8</v>
      </c>
      <c r="C119" s="195">
        <v>45614</v>
      </c>
      <c r="D119" s="196" t="s">
        <v>23</v>
      </c>
      <c r="E119" s="222" t="s">
        <v>28</v>
      </c>
      <c r="F119" s="222">
        <v>276.8</v>
      </c>
      <c r="G119" s="222">
        <v>276.14999999999998</v>
      </c>
      <c r="H119" s="222">
        <f>276.8-276.15</f>
        <v>0.65000000000003411</v>
      </c>
      <c r="I119" s="197">
        <v>5000</v>
      </c>
      <c r="J119" s="268">
        <f t="shared" si="7"/>
        <v>3250.0000000001705</v>
      </c>
      <c r="K119" s="185"/>
      <c r="V119" s="183">
        <f t="shared" si="8"/>
        <v>1</v>
      </c>
      <c r="W119" s="183">
        <f t="shared" si="9"/>
        <v>0</v>
      </c>
    </row>
    <row r="120" spans="1:23" x14ac:dyDescent="0.3">
      <c r="A120" s="184"/>
      <c r="B120" s="194">
        <v>9</v>
      </c>
      <c r="C120" s="195">
        <v>45615</v>
      </c>
      <c r="D120" s="196" t="s">
        <v>23</v>
      </c>
      <c r="E120" s="222" t="s">
        <v>28</v>
      </c>
      <c r="F120" s="222">
        <v>279.5</v>
      </c>
      <c r="G120" s="222">
        <v>278.8</v>
      </c>
      <c r="H120" s="222">
        <f>279.5-278.8</f>
        <v>0.69999999999998863</v>
      </c>
      <c r="I120" s="197">
        <v>5000</v>
      </c>
      <c r="J120" s="268">
        <f t="shared" si="7"/>
        <v>3499.9999999999432</v>
      </c>
      <c r="K120" s="185"/>
      <c r="V120" s="183">
        <f t="shared" si="8"/>
        <v>1</v>
      </c>
      <c r="W120" s="183">
        <f t="shared" si="9"/>
        <v>0</v>
      </c>
    </row>
    <row r="121" spans="1:23" x14ac:dyDescent="0.3">
      <c r="A121" s="184"/>
      <c r="B121" s="194">
        <v>10</v>
      </c>
      <c r="C121" s="195">
        <v>45617</v>
      </c>
      <c r="D121" s="196" t="s">
        <v>23</v>
      </c>
      <c r="E121" s="222" t="s">
        <v>28</v>
      </c>
      <c r="F121" s="222">
        <v>278.8</v>
      </c>
      <c r="G121" s="222">
        <v>276.8</v>
      </c>
      <c r="H121" s="222">
        <v>2</v>
      </c>
      <c r="I121" s="197">
        <v>5000</v>
      </c>
      <c r="J121" s="268">
        <f t="shared" si="7"/>
        <v>10000</v>
      </c>
      <c r="K121" s="185"/>
      <c r="V121" s="183">
        <f t="shared" si="8"/>
        <v>1</v>
      </c>
      <c r="W121" s="183">
        <f t="shared" si="9"/>
        <v>0</v>
      </c>
    </row>
    <row r="122" spans="1:23" x14ac:dyDescent="0.3">
      <c r="A122" s="184"/>
      <c r="B122" s="194">
        <v>11</v>
      </c>
      <c r="C122" s="195">
        <v>45618</v>
      </c>
      <c r="D122" s="196" t="s">
        <v>23</v>
      </c>
      <c r="E122" s="222" t="s">
        <v>28</v>
      </c>
      <c r="F122" s="222">
        <v>280</v>
      </c>
      <c r="G122" s="222">
        <v>278.35000000000002</v>
      </c>
      <c r="H122" s="274">
        <f>280-278.35</f>
        <v>1.6499999999999773</v>
      </c>
      <c r="I122" s="197">
        <v>5000</v>
      </c>
      <c r="J122" s="268">
        <f t="shared" si="7"/>
        <v>8249.9999999998872</v>
      </c>
      <c r="K122" s="185"/>
      <c r="V122" s="183">
        <f t="shared" si="8"/>
        <v>1</v>
      </c>
      <c r="W122" s="183">
        <f t="shared" si="9"/>
        <v>0</v>
      </c>
    </row>
    <row r="123" spans="1:23" x14ac:dyDescent="0.3">
      <c r="A123" s="184"/>
      <c r="B123" s="194">
        <v>12</v>
      </c>
      <c r="C123" s="195">
        <v>45621</v>
      </c>
      <c r="D123" s="196" t="s">
        <v>23</v>
      </c>
      <c r="E123" s="222" t="s">
        <v>28</v>
      </c>
      <c r="F123" s="222">
        <v>279.39999999999998</v>
      </c>
      <c r="G123" s="222">
        <v>280.39999999999998</v>
      </c>
      <c r="H123" s="274">
        <v>-1</v>
      </c>
      <c r="I123" s="197">
        <v>5000</v>
      </c>
      <c r="J123" s="268">
        <f t="shared" si="7"/>
        <v>-5000</v>
      </c>
      <c r="K123" s="185"/>
      <c r="V123" s="183">
        <f t="shared" si="8"/>
        <v>0</v>
      </c>
      <c r="W123" s="183">
        <f t="shared" si="9"/>
        <v>1</v>
      </c>
    </row>
    <row r="124" spans="1:23" x14ac:dyDescent="0.3">
      <c r="A124" s="184"/>
      <c r="B124" s="194">
        <v>13</v>
      </c>
      <c r="C124" s="195">
        <v>45622</v>
      </c>
      <c r="D124" s="196" t="s">
        <v>23</v>
      </c>
      <c r="E124" s="222" t="s">
        <v>28</v>
      </c>
      <c r="F124" s="222">
        <v>281.5</v>
      </c>
      <c r="G124" s="222">
        <v>282.5</v>
      </c>
      <c r="H124" s="274">
        <v>-1</v>
      </c>
      <c r="I124" s="197">
        <v>5000</v>
      </c>
      <c r="J124" s="268">
        <f t="shared" si="7"/>
        <v>-5000</v>
      </c>
      <c r="K124" s="185"/>
      <c r="V124" s="183">
        <f t="shared" si="8"/>
        <v>0</v>
      </c>
      <c r="W124" s="183">
        <f t="shared" si="9"/>
        <v>1</v>
      </c>
    </row>
    <row r="125" spans="1:23" x14ac:dyDescent="0.3">
      <c r="A125" s="184"/>
      <c r="B125" s="194">
        <v>14</v>
      </c>
      <c r="C125" s="195">
        <v>45623</v>
      </c>
      <c r="D125" s="196" t="s">
        <v>23</v>
      </c>
      <c r="E125" s="222" t="s">
        <v>28</v>
      </c>
      <c r="F125" s="222">
        <v>288.3</v>
      </c>
      <c r="G125" s="222">
        <v>287.3</v>
      </c>
      <c r="H125" s="274">
        <v>1</v>
      </c>
      <c r="I125" s="197">
        <v>5000</v>
      </c>
      <c r="J125" s="268">
        <f t="shared" si="7"/>
        <v>5000</v>
      </c>
      <c r="K125" s="185"/>
      <c r="V125" s="183">
        <f t="shared" si="8"/>
        <v>1</v>
      </c>
      <c r="W125" s="183">
        <f t="shared" si="9"/>
        <v>0</v>
      </c>
    </row>
    <row r="126" spans="1:23" x14ac:dyDescent="0.3">
      <c r="A126" s="184"/>
      <c r="B126" s="194">
        <v>15</v>
      </c>
      <c r="C126" s="195">
        <v>45624</v>
      </c>
      <c r="D126" s="196" t="s">
        <v>23</v>
      </c>
      <c r="E126" s="196" t="s">
        <v>28</v>
      </c>
      <c r="F126" s="222">
        <v>282</v>
      </c>
      <c r="G126" s="222">
        <v>281</v>
      </c>
      <c r="H126" s="222">
        <v>1</v>
      </c>
      <c r="I126" s="197">
        <v>5000</v>
      </c>
      <c r="J126" s="268">
        <f t="shared" si="7"/>
        <v>5000</v>
      </c>
      <c r="K126" s="185"/>
      <c r="V126" s="183">
        <f t="shared" si="8"/>
        <v>1</v>
      </c>
      <c r="W126" s="183">
        <f t="shared" si="9"/>
        <v>0</v>
      </c>
    </row>
    <row r="127" spans="1:23" x14ac:dyDescent="0.3">
      <c r="A127" s="184"/>
      <c r="B127" s="194">
        <v>16</v>
      </c>
      <c r="C127" s="195">
        <v>45625</v>
      </c>
      <c r="D127" s="196" t="s">
        <v>23</v>
      </c>
      <c r="E127" s="196" t="s">
        <v>28</v>
      </c>
      <c r="F127" s="222">
        <v>284.5</v>
      </c>
      <c r="G127" s="222">
        <v>283</v>
      </c>
      <c r="H127" s="222">
        <f>284.5-283</f>
        <v>1.5</v>
      </c>
      <c r="I127" s="197">
        <v>5000</v>
      </c>
      <c r="J127" s="268">
        <f t="shared" si="7"/>
        <v>7500</v>
      </c>
      <c r="K127" s="185"/>
      <c r="V127" s="183">
        <f t="shared" si="8"/>
        <v>1</v>
      </c>
      <c r="W127" s="183">
        <f t="shared" si="9"/>
        <v>0</v>
      </c>
    </row>
    <row r="128" spans="1:23" hidden="1" x14ac:dyDescent="0.3">
      <c r="A128" s="184"/>
      <c r="B128" s="194">
        <v>17</v>
      </c>
      <c r="C128" s="195"/>
      <c r="D128" s="196"/>
      <c r="E128" s="196"/>
      <c r="F128" s="222"/>
      <c r="G128" s="274"/>
      <c r="H128" s="274"/>
      <c r="I128" s="197"/>
      <c r="J128" s="268">
        <f t="shared" si="7"/>
        <v>0</v>
      </c>
      <c r="K128" s="185"/>
      <c r="V128" s="183">
        <f t="shared" si="8"/>
        <v>0</v>
      </c>
      <c r="W128" s="183">
        <f t="shared" si="9"/>
        <v>0</v>
      </c>
    </row>
    <row r="129" spans="1:23" hidden="1" x14ac:dyDescent="0.3">
      <c r="A129" s="184"/>
      <c r="B129" s="194">
        <v>18</v>
      </c>
      <c r="C129" s="195"/>
      <c r="D129" s="196"/>
      <c r="E129" s="196"/>
      <c r="F129" s="222"/>
      <c r="G129" s="222"/>
      <c r="H129" s="274"/>
      <c r="I129" s="197"/>
      <c r="J129" s="268">
        <f t="shared" si="7"/>
        <v>0</v>
      </c>
      <c r="K129" s="185"/>
      <c r="V129" s="183">
        <f t="shared" si="8"/>
        <v>0</v>
      </c>
      <c r="W129" s="183">
        <f t="shared" si="9"/>
        <v>0</v>
      </c>
    </row>
    <row r="130" spans="1:23" hidden="1" x14ac:dyDescent="0.3">
      <c r="A130" s="184"/>
      <c r="B130" s="194">
        <v>19</v>
      </c>
      <c r="C130" s="195"/>
      <c r="D130" s="196"/>
      <c r="E130" s="196"/>
      <c r="F130" s="222"/>
      <c r="G130" s="222"/>
      <c r="H130" s="274"/>
      <c r="I130" s="197"/>
      <c r="J130" s="268">
        <f t="shared" si="7"/>
        <v>0</v>
      </c>
      <c r="K130" s="185"/>
      <c r="V130" s="183">
        <f t="shared" si="8"/>
        <v>0</v>
      </c>
      <c r="W130" s="183">
        <f t="shared" si="9"/>
        <v>0</v>
      </c>
    </row>
    <row r="131" spans="1:23" hidden="1" x14ac:dyDescent="0.3">
      <c r="A131" s="184"/>
      <c r="B131" s="194">
        <v>20</v>
      </c>
      <c r="C131" s="195"/>
      <c r="D131" s="196"/>
      <c r="E131" s="196"/>
      <c r="F131" s="222"/>
      <c r="G131" s="222"/>
      <c r="H131" s="274"/>
      <c r="I131" s="197"/>
      <c r="J131" s="268">
        <f t="shared" si="7"/>
        <v>0</v>
      </c>
      <c r="K131" s="185"/>
    </row>
    <row r="132" spans="1:23" hidden="1" x14ac:dyDescent="0.3">
      <c r="A132" s="184"/>
      <c r="B132" s="194">
        <v>21</v>
      </c>
      <c r="C132" s="195"/>
      <c r="D132" s="196"/>
      <c r="E132" s="196"/>
      <c r="F132" s="222"/>
      <c r="G132" s="222"/>
      <c r="H132" s="274"/>
      <c r="I132" s="197"/>
      <c r="J132" s="268">
        <f t="shared" si="7"/>
        <v>0</v>
      </c>
      <c r="K132" s="185"/>
    </row>
    <row r="133" spans="1:23" hidden="1" x14ac:dyDescent="0.3">
      <c r="A133" s="184"/>
      <c r="B133" s="194">
        <v>22</v>
      </c>
      <c r="C133" s="195"/>
      <c r="D133" s="196"/>
      <c r="E133" s="196"/>
      <c r="F133" s="222"/>
      <c r="G133" s="222"/>
      <c r="H133" s="274"/>
      <c r="I133" s="197"/>
      <c r="J133" s="268">
        <f t="shared" si="7"/>
        <v>0</v>
      </c>
      <c r="K133" s="185"/>
    </row>
    <row r="134" spans="1:23" hidden="1" x14ac:dyDescent="0.3">
      <c r="A134" s="184"/>
      <c r="B134" s="194">
        <v>23</v>
      </c>
      <c r="C134" s="195"/>
      <c r="D134" s="196"/>
      <c r="E134" s="196"/>
      <c r="F134" s="222"/>
      <c r="G134" s="222"/>
      <c r="H134" s="274"/>
      <c r="I134" s="197"/>
      <c r="J134" s="268">
        <f t="shared" si="7"/>
        <v>0</v>
      </c>
      <c r="K134" s="185"/>
    </row>
    <row r="135" spans="1:23" hidden="1" x14ac:dyDescent="0.3">
      <c r="A135" s="184"/>
      <c r="B135" s="194">
        <v>24</v>
      </c>
      <c r="C135" s="195"/>
      <c r="D135" s="196"/>
      <c r="E135" s="196"/>
      <c r="F135" s="222"/>
      <c r="G135" s="222"/>
      <c r="H135" s="274"/>
      <c r="I135" s="197"/>
      <c r="J135" s="268">
        <f t="shared" si="7"/>
        <v>0</v>
      </c>
      <c r="K135" s="185"/>
    </row>
    <row r="136" spans="1:23" hidden="1" x14ac:dyDescent="0.3">
      <c r="A136" s="184"/>
      <c r="B136" s="194">
        <v>25</v>
      </c>
      <c r="C136" s="195"/>
      <c r="D136" s="196"/>
      <c r="E136" s="196"/>
      <c r="F136" s="222"/>
      <c r="G136" s="222"/>
      <c r="H136" s="274"/>
      <c r="I136" s="197"/>
      <c r="J136" s="268">
        <f t="shared" si="7"/>
        <v>0</v>
      </c>
      <c r="K136" s="185"/>
      <c r="V136" s="183">
        <f t="shared" si="8"/>
        <v>0</v>
      </c>
      <c r="W136" s="183">
        <f t="shared" si="9"/>
        <v>0</v>
      </c>
    </row>
    <row r="137" spans="1:23" hidden="1" x14ac:dyDescent="0.3">
      <c r="A137" s="184"/>
      <c r="B137" s="194">
        <v>21</v>
      </c>
      <c r="C137" s="195"/>
      <c r="D137" s="196"/>
      <c r="E137" s="222"/>
      <c r="F137" s="222"/>
      <c r="G137" s="222"/>
      <c r="H137" s="274"/>
      <c r="I137" s="197"/>
      <c r="J137" s="268">
        <f t="shared" si="7"/>
        <v>0</v>
      </c>
      <c r="K137" s="185"/>
      <c r="V137" s="183">
        <f t="shared" si="8"/>
        <v>0</v>
      </c>
      <c r="W137" s="183">
        <f t="shared" si="9"/>
        <v>0</v>
      </c>
    </row>
    <row r="138" spans="1:23" hidden="1" x14ac:dyDescent="0.3">
      <c r="A138" s="184"/>
      <c r="B138" s="194">
        <v>22</v>
      </c>
      <c r="C138" s="195"/>
      <c r="D138" s="196"/>
      <c r="E138" s="222"/>
      <c r="F138" s="222"/>
      <c r="G138" s="222"/>
      <c r="H138" s="274"/>
      <c r="I138" s="197"/>
      <c r="J138" s="268">
        <f t="shared" si="7"/>
        <v>0</v>
      </c>
      <c r="K138" s="185"/>
      <c r="V138" s="183">
        <f>IF($J138&gt;0,1,0)</f>
        <v>0</v>
      </c>
      <c r="W138" s="183">
        <f>IF($J138&lt;0,1,0)</f>
        <v>0</v>
      </c>
    </row>
    <row r="139" spans="1:23" hidden="1" x14ac:dyDescent="0.3">
      <c r="A139" s="184"/>
      <c r="B139" s="194">
        <v>23</v>
      </c>
      <c r="C139" s="195"/>
      <c r="D139" s="196"/>
      <c r="E139" s="222"/>
      <c r="F139" s="222"/>
      <c r="G139" s="222"/>
      <c r="H139" s="222"/>
      <c r="I139" s="197"/>
      <c r="J139" s="268">
        <f>I139*H139</f>
        <v>0</v>
      </c>
      <c r="K139" s="185"/>
      <c r="V139" s="183">
        <f>IF($J139&gt;0,1,0)</f>
        <v>0</v>
      </c>
      <c r="W139" s="183">
        <f>IF($J139&lt;0,1,0)</f>
        <v>0</v>
      </c>
    </row>
    <row r="140" spans="1:23" ht="15" hidden="1" thickBot="1" x14ac:dyDescent="0.35">
      <c r="A140" s="184"/>
      <c r="B140" s="194">
        <v>26</v>
      </c>
      <c r="C140" s="220"/>
      <c r="D140" s="221"/>
      <c r="E140" s="221"/>
      <c r="F140" s="222"/>
      <c r="G140" s="222"/>
      <c r="H140" s="222"/>
      <c r="I140" s="211"/>
      <c r="J140" s="272">
        <f>I140*H140</f>
        <v>0</v>
      </c>
      <c r="K140" s="185"/>
      <c r="V140" s="183">
        <f>IF($J140&gt;0,1,0)</f>
        <v>0</v>
      </c>
      <c r="W140" s="183">
        <f>IF($J140&lt;0,1,0)</f>
        <v>0</v>
      </c>
    </row>
    <row r="141" spans="1:23" ht="24" thickBot="1" x14ac:dyDescent="0.5">
      <c r="A141" s="184"/>
      <c r="B141" s="373" t="s">
        <v>879</v>
      </c>
      <c r="C141" s="317"/>
      <c r="D141" s="317"/>
      <c r="E141" s="317"/>
      <c r="F141" s="317"/>
      <c r="G141" s="317"/>
      <c r="H141" s="318"/>
      <c r="I141" s="212" t="s">
        <v>880</v>
      </c>
      <c r="J141" s="213">
        <f>SUM(J112:J140)</f>
        <v>47500</v>
      </c>
      <c r="K141" s="185"/>
      <c r="V141" s="183">
        <f>SUM(V112:V140)</f>
        <v>11</v>
      </c>
      <c r="W141" s="183">
        <f>SUM(W112:W140)</f>
        <v>5</v>
      </c>
    </row>
    <row r="142" spans="1:23" ht="30" customHeight="1" thickBot="1" x14ac:dyDescent="0.35">
      <c r="A142" s="205"/>
      <c r="B142" s="206"/>
      <c r="C142" s="206"/>
      <c r="D142" s="206"/>
      <c r="E142" s="206"/>
      <c r="F142" s="206"/>
      <c r="G142" s="206"/>
      <c r="H142" s="261"/>
      <c r="I142" s="206"/>
      <c r="J142" s="261"/>
      <c r="K142" s="207"/>
      <c r="L142" s="183" t="s">
        <v>926</v>
      </c>
    </row>
    <row r="143" spans="1:23" ht="15" thickBot="1" x14ac:dyDescent="0.35"/>
    <row r="144" spans="1:23" ht="30" customHeight="1" thickBot="1" x14ac:dyDescent="0.35">
      <c r="A144" s="180"/>
      <c r="B144" s="181"/>
      <c r="C144" s="181"/>
      <c r="D144" s="181"/>
      <c r="E144" s="181"/>
      <c r="F144" s="181"/>
      <c r="G144" s="181"/>
      <c r="H144" s="259"/>
      <c r="I144" s="181"/>
      <c r="J144" s="259"/>
      <c r="K144" s="182"/>
    </row>
    <row r="145" spans="1:23" ht="25.2" thickBot="1" x14ac:dyDescent="0.35">
      <c r="A145" s="184" t="s">
        <v>0</v>
      </c>
      <c r="B145" s="307" t="s">
        <v>873</v>
      </c>
      <c r="C145" s="308"/>
      <c r="D145" s="308"/>
      <c r="E145" s="308"/>
      <c r="F145" s="308"/>
      <c r="G145" s="308"/>
      <c r="H145" s="308"/>
      <c r="I145" s="308"/>
      <c r="J145" s="309"/>
      <c r="K145" s="185"/>
    </row>
    <row r="146" spans="1:23" ht="16.2" thickBot="1" x14ac:dyDescent="0.35">
      <c r="A146" s="184"/>
      <c r="B146" s="310">
        <v>45597</v>
      </c>
      <c r="C146" s="311"/>
      <c r="D146" s="311"/>
      <c r="E146" s="311"/>
      <c r="F146" s="311"/>
      <c r="G146" s="311"/>
      <c r="H146" s="311"/>
      <c r="I146" s="311"/>
      <c r="J146" s="312"/>
      <c r="K146" s="185"/>
    </row>
    <row r="147" spans="1:23" ht="16.2" thickBot="1" x14ac:dyDescent="0.35">
      <c r="A147" s="184"/>
      <c r="B147" s="313" t="s">
        <v>905</v>
      </c>
      <c r="C147" s="314"/>
      <c r="D147" s="314"/>
      <c r="E147" s="314"/>
      <c r="F147" s="314"/>
      <c r="G147" s="314"/>
      <c r="H147" s="314"/>
      <c r="I147" s="314"/>
      <c r="J147" s="315"/>
      <c r="K147" s="185"/>
    </row>
    <row r="148" spans="1:23" ht="15" thickBot="1" x14ac:dyDescent="0.35">
      <c r="A148" s="208"/>
      <c r="B148" s="186" t="s">
        <v>876</v>
      </c>
      <c r="C148" s="187" t="s">
        <v>1</v>
      </c>
      <c r="D148" s="188" t="s">
        <v>2</v>
      </c>
      <c r="E148" s="188" t="s">
        <v>3</v>
      </c>
      <c r="F148" s="189" t="s">
        <v>4</v>
      </c>
      <c r="G148" s="189" t="s">
        <v>5</v>
      </c>
      <c r="H148" s="260" t="s">
        <v>720</v>
      </c>
      <c r="I148" s="189" t="s">
        <v>6</v>
      </c>
      <c r="J148" s="266" t="s">
        <v>7</v>
      </c>
      <c r="K148" s="209"/>
      <c r="L148" s="198"/>
      <c r="V148" s="183" t="s">
        <v>254</v>
      </c>
      <c r="W148" s="183" t="s">
        <v>255</v>
      </c>
    </row>
    <row r="149" spans="1:23" x14ac:dyDescent="0.3">
      <c r="A149" s="184"/>
      <c r="B149" s="214">
        <v>1</v>
      </c>
      <c r="C149" s="215">
        <v>45602</v>
      </c>
      <c r="D149" s="216" t="s">
        <v>16</v>
      </c>
      <c r="E149" s="256" t="s">
        <v>916</v>
      </c>
      <c r="F149" s="256">
        <v>180</v>
      </c>
      <c r="G149" s="256">
        <v>188</v>
      </c>
      <c r="H149" s="256">
        <v>8</v>
      </c>
      <c r="I149" s="218">
        <v>100</v>
      </c>
      <c r="J149" s="273">
        <f>I149*H149</f>
        <v>800</v>
      </c>
      <c r="K149" s="185"/>
      <c r="V149" s="183">
        <f>IF($J149&gt;0,1,0)</f>
        <v>1</v>
      </c>
      <c r="W149" s="183">
        <f>IF($J149&lt;0,1,0)</f>
        <v>0</v>
      </c>
    </row>
    <row r="150" spans="1:23" x14ac:dyDescent="0.3">
      <c r="A150" s="184"/>
      <c r="B150" s="194">
        <v>2</v>
      </c>
      <c r="C150" s="195">
        <v>45603</v>
      </c>
      <c r="D150" s="196" t="s">
        <v>16</v>
      </c>
      <c r="E150" s="222" t="s">
        <v>915</v>
      </c>
      <c r="F150" s="222">
        <v>180</v>
      </c>
      <c r="G150" s="222">
        <v>200</v>
      </c>
      <c r="H150" s="222">
        <v>20</v>
      </c>
      <c r="I150" s="218">
        <v>100</v>
      </c>
      <c r="J150" s="268">
        <f t="shared" ref="J150:J169" si="10">I150*H150</f>
        <v>2000</v>
      </c>
      <c r="K150" s="185"/>
      <c r="V150" s="183">
        <f t="shared" ref="V150:V171" si="11">IF($J150&gt;0,1,0)</f>
        <v>1</v>
      </c>
      <c r="W150" s="183">
        <f t="shared" ref="W150:W171" si="12">IF($J150&lt;0,1,0)</f>
        <v>0</v>
      </c>
    </row>
    <row r="151" spans="1:23" x14ac:dyDescent="0.3">
      <c r="A151" s="184"/>
      <c r="B151" s="194">
        <v>3</v>
      </c>
      <c r="C151" s="195">
        <v>45604</v>
      </c>
      <c r="D151" s="196" t="s">
        <v>16</v>
      </c>
      <c r="E151" s="222" t="s">
        <v>915</v>
      </c>
      <c r="F151" s="222">
        <v>160</v>
      </c>
      <c r="G151" s="222">
        <v>186</v>
      </c>
      <c r="H151" s="222">
        <v>26</v>
      </c>
      <c r="I151" s="218">
        <v>100</v>
      </c>
      <c r="J151" s="268">
        <f t="shared" si="10"/>
        <v>2600</v>
      </c>
      <c r="K151" s="185"/>
      <c r="M151" s="183" t="s">
        <v>870</v>
      </c>
      <c r="V151" s="183">
        <f t="shared" si="11"/>
        <v>1</v>
      </c>
      <c r="W151" s="183">
        <f t="shared" si="12"/>
        <v>0</v>
      </c>
    </row>
    <row r="152" spans="1:23" x14ac:dyDescent="0.3">
      <c r="A152" s="184"/>
      <c r="B152" s="194">
        <v>4</v>
      </c>
      <c r="C152" s="195">
        <v>45607</v>
      </c>
      <c r="D152" s="196" t="s">
        <v>16</v>
      </c>
      <c r="E152" s="222" t="s">
        <v>915</v>
      </c>
      <c r="F152" s="222">
        <v>210</v>
      </c>
      <c r="G152" s="222">
        <v>250</v>
      </c>
      <c r="H152" s="222">
        <v>40</v>
      </c>
      <c r="I152" s="218">
        <v>100</v>
      </c>
      <c r="J152" s="268">
        <f t="shared" si="10"/>
        <v>4000</v>
      </c>
      <c r="K152" s="185"/>
      <c r="V152" s="183">
        <f t="shared" si="11"/>
        <v>1</v>
      </c>
      <c r="W152" s="183">
        <f t="shared" si="12"/>
        <v>0</v>
      </c>
    </row>
    <row r="153" spans="1:23" x14ac:dyDescent="0.3">
      <c r="A153" s="184"/>
      <c r="B153" s="194">
        <v>5</v>
      </c>
      <c r="C153" s="195">
        <v>45608</v>
      </c>
      <c r="D153" s="196" t="s">
        <v>16</v>
      </c>
      <c r="E153" s="222" t="s">
        <v>924</v>
      </c>
      <c r="F153" s="222">
        <v>180</v>
      </c>
      <c r="G153" s="222">
        <v>160</v>
      </c>
      <c r="H153" s="222">
        <v>-20</v>
      </c>
      <c r="I153" s="218">
        <v>100</v>
      </c>
      <c r="J153" s="268">
        <f t="shared" si="10"/>
        <v>-2000</v>
      </c>
      <c r="K153" s="185"/>
      <c r="V153" s="183">
        <f t="shared" si="11"/>
        <v>0</v>
      </c>
      <c r="W153" s="183">
        <f t="shared" si="12"/>
        <v>1</v>
      </c>
    </row>
    <row r="154" spans="1:23" x14ac:dyDescent="0.3">
      <c r="A154" s="184"/>
      <c r="B154" s="194">
        <v>6</v>
      </c>
      <c r="C154" s="195">
        <v>45609</v>
      </c>
      <c r="D154" s="196" t="s">
        <v>16</v>
      </c>
      <c r="E154" s="222" t="s">
        <v>924</v>
      </c>
      <c r="F154" s="222">
        <v>170</v>
      </c>
      <c r="G154" s="222">
        <v>150</v>
      </c>
      <c r="H154" s="222">
        <v>-20</v>
      </c>
      <c r="I154" s="218">
        <v>100</v>
      </c>
      <c r="J154" s="268">
        <f t="shared" si="10"/>
        <v>-2000</v>
      </c>
      <c r="K154" s="185"/>
      <c r="V154" s="183">
        <f t="shared" si="11"/>
        <v>0</v>
      </c>
      <c r="W154" s="183">
        <f t="shared" si="12"/>
        <v>1</v>
      </c>
    </row>
    <row r="155" spans="1:23" x14ac:dyDescent="0.3">
      <c r="A155" s="184"/>
      <c r="B155" s="194">
        <v>7</v>
      </c>
      <c r="C155" s="195">
        <v>45610</v>
      </c>
      <c r="D155" s="196" t="s">
        <v>16</v>
      </c>
      <c r="E155" s="222" t="s">
        <v>916</v>
      </c>
      <c r="F155" s="222">
        <v>220</v>
      </c>
      <c r="G155" s="222">
        <v>250</v>
      </c>
      <c r="H155" s="274">
        <v>30</v>
      </c>
      <c r="I155" s="218">
        <v>100</v>
      </c>
      <c r="J155" s="268">
        <f t="shared" si="10"/>
        <v>3000</v>
      </c>
      <c r="K155" s="185"/>
      <c r="M155" s="183" t="s">
        <v>942</v>
      </c>
      <c r="V155" s="183">
        <f t="shared" si="11"/>
        <v>1</v>
      </c>
      <c r="W155" s="183">
        <f t="shared" si="12"/>
        <v>0</v>
      </c>
    </row>
    <row r="156" spans="1:23" x14ac:dyDescent="0.3">
      <c r="A156" s="184"/>
      <c r="B156" s="194">
        <v>8</v>
      </c>
      <c r="C156" s="195">
        <v>45614</v>
      </c>
      <c r="D156" s="196" t="s">
        <v>16</v>
      </c>
      <c r="E156" s="222" t="s">
        <v>919</v>
      </c>
      <c r="F156" s="222">
        <v>210</v>
      </c>
      <c r="G156" s="222">
        <v>221</v>
      </c>
      <c r="H156" s="222">
        <f>221-210</f>
        <v>11</v>
      </c>
      <c r="I156" s="218">
        <v>100</v>
      </c>
      <c r="J156" s="268">
        <f t="shared" si="10"/>
        <v>1100</v>
      </c>
      <c r="K156" s="185"/>
      <c r="V156" s="183">
        <f t="shared" si="11"/>
        <v>1</v>
      </c>
      <c r="W156" s="183">
        <f t="shared" si="12"/>
        <v>0</v>
      </c>
    </row>
    <row r="157" spans="1:23" x14ac:dyDescent="0.3">
      <c r="A157" s="184"/>
      <c r="B157" s="194">
        <v>9</v>
      </c>
      <c r="C157" s="195">
        <v>45615</v>
      </c>
      <c r="D157" s="196" t="s">
        <v>16</v>
      </c>
      <c r="E157" s="222" t="s">
        <v>923</v>
      </c>
      <c r="F157" s="222">
        <v>190</v>
      </c>
      <c r="G157" s="222">
        <v>210</v>
      </c>
      <c r="H157" s="222">
        <f>210-190</f>
        <v>20</v>
      </c>
      <c r="I157" s="218">
        <v>100</v>
      </c>
      <c r="J157" s="268">
        <f t="shared" si="10"/>
        <v>2000</v>
      </c>
      <c r="K157" s="185"/>
      <c r="V157" s="183">
        <f t="shared" si="11"/>
        <v>1</v>
      </c>
      <c r="W157" s="183">
        <f t="shared" si="12"/>
        <v>0</v>
      </c>
    </row>
    <row r="158" spans="1:23" x14ac:dyDescent="0.3">
      <c r="A158" s="184"/>
      <c r="B158" s="194">
        <v>10</v>
      </c>
      <c r="C158" s="195">
        <v>45617</v>
      </c>
      <c r="D158" s="196" t="s">
        <v>16</v>
      </c>
      <c r="E158" s="222" t="s">
        <v>924</v>
      </c>
      <c r="F158" s="222">
        <v>200</v>
      </c>
      <c r="G158" s="222">
        <v>208</v>
      </c>
      <c r="H158" s="222">
        <v>8</v>
      </c>
      <c r="I158" s="218">
        <v>100</v>
      </c>
      <c r="J158" s="268">
        <f t="shared" si="10"/>
        <v>800</v>
      </c>
      <c r="K158" s="185"/>
      <c r="V158" s="183">
        <f t="shared" si="11"/>
        <v>1</v>
      </c>
      <c r="W158" s="183">
        <f t="shared" si="12"/>
        <v>0</v>
      </c>
    </row>
    <row r="159" spans="1:23" x14ac:dyDescent="0.3">
      <c r="A159" s="184"/>
      <c r="B159" s="194">
        <v>11</v>
      </c>
      <c r="C159" s="195">
        <v>45618</v>
      </c>
      <c r="D159" s="196" t="s">
        <v>16</v>
      </c>
      <c r="E159" s="222" t="s">
        <v>916</v>
      </c>
      <c r="F159" s="222">
        <v>210</v>
      </c>
      <c r="G159" s="222">
        <v>250</v>
      </c>
      <c r="H159" s="274">
        <v>40</v>
      </c>
      <c r="I159" s="218">
        <v>100</v>
      </c>
      <c r="J159" s="268">
        <f t="shared" si="10"/>
        <v>4000</v>
      </c>
      <c r="K159" s="185"/>
      <c r="V159" s="183">
        <f t="shared" si="11"/>
        <v>1</v>
      </c>
      <c r="W159" s="183">
        <f t="shared" si="12"/>
        <v>0</v>
      </c>
    </row>
    <row r="160" spans="1:23" x14ac:dyDescent="0.3">
      <c r="A160" s="184"/>
      <c r="B160" s="194">
        <v>12</v>
      </c>
      <c r="C160" s="195">
        <v>45621</v>
      </c>
      <c r="D160" s="196" t="s">
        <v>16</v>
      </c>
      <c r="E160" s="222" t="s">
        <v>916</v>
      </c>
      <c r="F160" s="222">
        <v>195</v>
      </c>
      <c r="G160" s="222">
        <v>215</v>
      </c>
      <c r="H160" s="274">
        <f>215-195</f>
        <v>20</v>
      </c>
      <c r="I160" s="218">
        <v>100</v>
      </c>
      <c r="J160" s="268">
        <f t="shared" si="10"/>
        <v>2000</v>
      </c>
      <c r="K160" s="185"/>
      <c r="V160" s="183">
        <f t="shared" si="11"/>
        <v>1</v>
      </c>
      <c r="W160" s="183">
        <f t="shared" si="12"/>
        <v>0</v>
      </c>
    </row>
    <row r="161" spans="1:23" x14ac:dyDescent="0.3">
      <c r="A161" s="184"/>
      <c r="B161" s="194">
        <v>13</v>
      </c>
      <c r="C161" s="195">
        <v>45622</v>
      </c>
      <c r="D161" s="196" t="s">
        <v>16</v>
      </c>
      <c r="E161" s="222" t="s">
        <v>924</v>
      </c>
      <c r="F161" s="222">
        <v>205</v>
      </c>
      <c r="G161" s="222">
        <v>235</v>
      </c>
      <c r="H161" s="274">
        <f>235-205</f>
        <v>30</v>
      </c>
      <c r="I161" s="218">
        <v>100</v>
      </c>
      <c r="J161" s="268">
        <f t="shared" si="10"/>
        <v>3000</v>
      </c>
      <c r="K161" s="185"/>
      <c r="V161" s="183">
        <f t="shared" si="11"/>
        <v>1</v>
      </c>
      <c r="W161" s="183">
        <f t="shared" si="12"/>
        <v>0</v>
      </c>
    </row>
    <row r="162" spans="1:23" x14ac:dyDescent="0.3">
      <c r="A162" s="184"/>
      <c r="B162" s="194">
        <v>14</v>
      </c>
      <c r="C162" s="195">
        <v>45623</v>
      </c>
      <c r="D162" s="196" t="s">
        <v>16</v>
      </c>
      <c r="E162" s="222" t="s">
        <v>924</v>
      </c>
      <c r="F162" s="222">
        <v>210</v>
      </c>
      <c r="G162" s="222">
        <v>230</v>
      </c>
      <c r="H162" s="274">
        <v>20</v>
      </c>
      <c r="I162" s="218">
        <v>100</v>
      </c>
      <c r="J162" s="268">
        <f t="shared" si="10"/>
        <v>2000</v>
      </c>
      <c r="K162" s="185"/>
      <c r="V162" s="183">
        <f t="shared" si="11"/>
        <v>1</v>
      </c>
      <c r="W162" s="183">
        <f t="shared" si="12"/>
        <v>0</v>
      </c>
    </row>
    <row r="163" spans="1:23" x14ac:dyDescent="0.3">
      <c r="A163" s="184"/>
      <c r="B163" s="194">
        <v>15</v>
      </c>
      <c r="C163" s="195">
        <v>45624</v>
      </c>
      <c r="D163" s="196" t="s">
        <v>16</v>
      </c>
      <c r="E163" s="196" t="s">
        <v>923</v>
      </c>
      <c r="F163" s="222">
        <v>165</v>
      </c>
      <c r="G163" s="222">
        <v>145</v>
      </c>
      <c r="H163" s="222">
        <v>-20</v>
      </c>
      <c r="I163" s="218">
        <v>100</v>
      </c>
      <c r="J163" s="268">
        <f t="shared" si="10"/>
        <v>-2000</v>
      </c>
      <c r="K163" s="185"/>
      <c r="V163" s="183">
        <f t="shared" si="11"/>
        <v>0</v>
      </c>
      <c r="W163" s="183">
        <f t="shared" si="12"/>
        <v>1</v>
      </c>
    </row>
    <row r="164" spans="1:23" x14ac:dyDescent="0.3">
      <c r="A164" s="184"/>
      <c r="B164" s="194">
        <v>16</v>
      </c>
      <c r="C164" s="195">
        <v>45625</v>
      </c>
      <c r="D164" s="196" t="s">
        <v>16</v>
      </c>
      <c r="E164" s="196" t="s">
        <v>923</v>
      </c>
      <c r="F164" s="222">
        <v>170</v>
      </c>
      <c r="G164" s="274">
        <v>150</v>
      </c>
      <c r="H164" s="274">
        <v>20</v>
      </c>
      <c r="I164" s="218">
        <v>100</v>
      </c>
      <c r="J164" s="268">
        <f t="shared" si="10"/>
        <v>2000</v>
      </c>
      <c r="K164" s="185"/>
      <c r="V164" s="183">
        <f t="shared" si="11"/>
        <v>1</v>
      </c>
      <c r="W164" s="183">
        <f t="shared" si="12"/>
        <v>0</v>
      </c>
    </row>
    <row r="165" spans="1:23" hidden="1" x14ac:dyDescent="0.3">
      <c r="A165" s="184"/>
      <c r="B165" s="194">
        <v>17</v>
      </c>
      <c r="C165" s="195"/>
      <c r="D165" s="196"/>
      <c r="E165" s="196"/>
      <c r="F165" s="222"/>
      <c r="G165" s="222"/>
      <c r="H165" s="263"/>
      <c r="I165" s="218"/>
      <c r="J165" s="268">
        <f t="shared" si="10"/>
        <v>0</v>
      </c>
      <c r="K165" s="185"/>
      <c r="V165" s="183">
        <f t="shared" si="11"/>
        <v>0</v>
      </c>
      <c r="W165" s="183">
        <f t="shared" si="12"/>
        <v>0</v>
      </c>
    </row>
    <row r="166" spans="1:23" hidden="1" x14ac:dyDescent="0.3">
      <c r="A166" s="184"/>
      <c r="B166" s="194">
        <v>18</v>
      </c>
      <c r="C166" s="195"/>
      <c r="D166" s="196"/>
      <c r="E166" s="196"/>
      <c r="F166" s="222"/>
      <c r="G166" s="222"/>
      <c r="H166" s="274"/>
      <c r="I166" s="218"/>
      <c r="J166" s="268">
        <f t="shared" si="10"/>
        <v>0</v>
      </c>
      <c r="K166" s="185"/>
      <c r="V166" s="183">
        <f t="shared" si="11"/>
        <v>0</v>
      </c>
      <c r="W166" s="183">
        <f t="shared" si="12"/>
        <v>0</v>
      </c>
    </row>
    <row r="167" spans="1:23" hidden="1" x14ac:dyDescent="0.3">
      <c r="A167" s="184"/>
      <c r="B167" s="194">
        <v>19</v>
      </c>
      <c r="C167" s="195"/>
      <c r="D167" s="196"/>
      <c r="E167" s="196"/>
      <c r="F167" s="222"/>
      <c r="G167" s="222"/>
      <c r="H167" s="274"/>
      <c r="I167" s="218"/>
      <c r="J167" s="268">
        <f t="shared" si="10"/>
        <v>0</v>
      </c>
      <c r="K167" s="185"/>
      <c r="V167" s="183">
        <f t="shared" si="11"/>
        <v>0</v>
      </c>
      <c r="W167" s="183">
        <f t="shared" si="12"/>
        <v>0</v>
      </c>
    </row>
    <row r="168" spans="1:23" hidden="1" x14ac:dyDescent="0.3">
      <c r="A168" s="184"/>
      <c r="B168" s="194">
        <v>20</v>
      </c>
      <c r="C168" s="195"/>
      <c r="D168" s="196"/>
      <c r="E168" s="222"/>
      <c r="F168" s="222"/>
      <c r="G168" s="222"/>
      <c r="H168" s="274"/>
      <c r="I168" s="218"/>
      <c r="J168" s="268">
        <f t="shared" si="10"/>
        <v>0</v>
      </c>
      <c r="K168" s="185"/>
      <c r="V168" s="183">
        <f t="shared" si="11"/>
        <v>0</v>
      </c>
      <c r="W168" s="183">
        <f t="shared" si="12"/>
        <v>0</v>
      </c>
    </row>
    <row r="169" spans="1:23" hidden="1" x14ac:dyDescent="0.3">
      <c r="A169" s="184"/>
      <c r="B169" s="194">
        <v>21</v>
      </c>
      <c r="C169" s="195"/>
      <c r="D169" s="196"/>
      <c r="E169" s="222"/>
      <c r="F169" s="222"/>
      <c r="G169" s="222"/>
      <c r="H169" s="274"/>
      <c r="I169" s="218"/>
      <c r="J169" s="268">
        <f t="shared" si="10"/>
        <v>0</v>
      </c>
      <c r="K169" s="185"/>
      <c r="V169" s="183">
        <f t="shared" si="11"/>
        <v>0</v>
      </c>
      <c r="W169" s="183">
        <f t="shared" si="12"/>
        <v>0</v>
      </c>
    </row>
    <row r="170" spans="1:23" hidden="1" x14ac:dyDescent="0.3">
      <c r="A170" s="184"/>
      <c r="B170" s="194">
        <v>22</v>
      </c>
      <c r="C170" s="195"/>
      <c r="D170" s="196"/>
      <c r="E170" s="222"/>
      <c r="F170" s="222"/>
      <c r="G170" s="222"/>
      <c r="H170" s="222"/>
      <c r="I170" s="218"/>
      <c r="J170" s="268">
        <f>I170*H170</f>
        <v>0</v>
      </c>
      <c r="K170" s="185"/>
      <c r="V170" s="183">
        <f t="shared" si="11"/>
        <v>0</v>
      </c>
      <c r="W170" s="183">
        <f t="shared" si="12"/>
        <v>0</v>
      </c>
    </row>
    <row r="171" spans="1:23" ht="15" thickBot="1" x14ac:dyDescent="0.35">
      <c r="A171" s="184"/>
      <c r="B171" s="199">
        <v>23</v>
      </c>
      <c r="C171" s="200"/>
      <c r="D171" s="201"/>
      <c r="E171" s="201"/>
      <c r="F171" s="284"/>
      <c r="G171" s="284"/>
      <c r="H171" s="284"/>
      <c r="I171" s="285"/>
      <c r="J171" s="269">
        <f>I171*H171</f>
        <v>0</v>
      </c>
      <c r="K171" s="185"/>
      <c r="V171" s="183">
        <f t="shared" si="11"/>
        <v>0</v>
      </c>
      <c r="W171" s="183">
        <f t="shared" si="12"/>
        <v>0</v>
      </c>
    </row>
    <row r="172" spans="1:23" ht="24" thickBot="1" x14ac:dyDescent="0.5">
      <c r="A172" s="184"/>
      <c r="B172" s="304" t="s">
        <v>879</v>
      </c>
      <c r="C172" s="305"/>
      <c r="D172" s="305"/>
      <c r="E172" s="305"/>
      <c r="F172" s="305"/>
      <c r="G172" s="305"/>
      <c r="H172" s="306"/>
      <c r="I172" s="203" t="s">
        <v>880</v>
      </c>
      <c r="J172" s="204">
        <f>SUM(J149:J171)</f>
        <v>23300</v>
      </c>
      <c r="K172" s="185"/>
      <c r="V172" s="183">
        <f>SUM(V149:V171)</f>
        <v>13</v>
      </c>
      <c r="W172" s="183">
        <f>SUM(W149:W171)</f>
        <v>3</v>
      </c>
    </row>
    <row r="173" spans="1:23" ht="30" customHeight="1" thickBot="1" x14ac:dyDescent="0.35">
      <c r="A173" s="205"/>
      <c r="B173" s="286"/>
      <c r="C173" s="286"/>
      <c r="D173" s="286"/>
      <c r="E173" s="286"/>
      <c r="F173" s="286"/>
      <c r="G173" s="286"/>
      <c r="H173" s="287"/>
      <c r="I173" s="286"/>
      <c r="J173" s="287"/>
      <c r="K173" s="207"/>
    </row>
    <row r="174" spans="1:23" ht="15" thickBot="1" x14ac:dyDescent="0.35"/>
    <row r="175" spans="1:23" ht="15" thickBot="1" x14ac:dyDescent="0.35">
      <c r="A175" s="180"/>
      <c r="B175" s="181"/>
      <c r="C175" s="181"/>
      <c r="D175" s="181"/>
      <c r="E175" s="181"/>
      <c r="F175" s="181"/>
      <c r="G175" s="181"/>
      <c r="H175" s="259"/>
      <c r="I175" s="181"/>
      <c r="J175" s="259"/>
      <c r="K175" s="182"/>
    </row>
    <row r="176" spans="1:23" ht="25.2" thickBot="1" x14ac:dyDescent="0.35">
      <c r="A176" s="184" t="s">
        <v>0</v>
      </c>
      <c r="B176" s="307" t="s">
        <v>873</v>
      </c>
      <c r="C176" s="308"/>
      <c r="D176" s="308"/>
      <c r="E176" s="308"/>
      <c r="F176" s="308"/>
      <c r="G176" s="308"/>
      <c r="H176" s="308"/>
      <c r="I176" s="308"/>
      <c r="J176" s="309"/>
      <c r="K176" s="185"/>
    </row>
    <row r="177" spans="1:23" ht="16.2" thickBot="1" x14ac:dyDescent="0.35">
      <c r="A177" s="184"/>
      <c r="B177" s="310">
        <v>45597</v>
      </c>
      <c r="C177" s="311"/>
      <c r="D177" s="311"/>
      <c r="E177" s="311"/>
      <c r="F177" s="311"/>
      <c r="G177" s="311"/>
      <c r="H177" s="311"/>
      <c r="I177" s="311"/>
      <c r="J177" s="312"/>
      <c r="K177" s="185"/>
    </row>
    <row r="178" spans="1:23" ht="16.2" thickBot="1" x14ac:dyDescent="0.35">
      <c r="A178" s="184"/>
      <c r="B178" s="313" t="s">
        <v>950</v>
      </c>
      <c r="C178" s="314"/>
      <c r="D178" s="314"/>
      <c r="E178" s="314"/>
      <c r="F178" s="314"/>
      <c r="G178" s="314"/>
      <c r="H178" s="314"/>
      <c r="I178" s="314"/>
      <c r="J178" s="315"/>
      <c r="K178" s="185"/>
    </row>
    <row r="179" spans="1:23" ht="15" thickBot="1" x14ac:dyDescent="0.35">
      <c r="A179" s="208"/>
      <c r="B179" s="186" t="s">
        <v>876</v>
      </c>
      <c r="C179" s="187" t="s">
        <v>1</v>
      </c>
      <c r="D179" s="188" t="s">
        <v>2</v>
      </c>
      <c r="E179" s="188" t="s">
        <v>3</v>
      </c>
      <c r="F179" s="189" t="s">
        <v>4</v>
      </c>
      <c r="G179" s="189" t="s">
        <v>5</v>
      </c>
      <c r="H179" s="260" t="s">
        <v>720</v>
      </c>
      <c r="I179" s="189" t="s">
        <v>6</v>
      </c>
      <c r="J179" s="266" t="s">
        <v>7</v>
      </c>
      <c r="K179" s="209"/>
    </row>
    <row r="180" spans="1:23" x14ac:dyDescent="0.3">
      <c r="A180" s="184"/>
      <c r="B180" s="214">
        <v>1</v>
      </c>
      <c r="C180" s="215">
        <v>45602</v>
      </c>
      <c r="D180" s="216" t="s">
        <v>16</v>
      </c>
      <c r="E180" s="256" t="s">
        <v>955</v>
      </c>
      <c r="F180" s="256">
        <v>1050</v>
      </c>
      <c r="G180" s="256">
        <v>1250</v>
      </c>
      <c r="H180" s="256">
        <f>1250-1050</f>
        <v>200</v>
      </c>
      <c r="I180" s="218">
        <v>10</v>
      </c>
      <c r="J180" s="273">
        <f>I180*H180</f>
        <v>2000</v>
      </c>
      <c r="K180" s="185"/>
      <c r="V180" s="183">
        <f t="shared" ref="V180:V202" si="13">IF($J180&gt;0,1,0)</f>
        <v>1</v>
      </c>
      <c r="W180" s="183">
        <f t="shared" ref="W180:W202" si="14">IF($J180&lt;0,1,0)</f>
        <v>0</v>
      </c>
    </row>
    <row r="181" spans="1:23" x14ac:dyDescent="0.3">
      <c r="A181" s="184"/>
      <c r="B181" s="194">
        <v>2</v>
      </c>
      <c r="C181" s="195">
        <v>45603</v>
      </c>
      <c r="D181" s="196" t="s">
        <v>16</v>
      </c>
      <c r="E181" s="222" t="s">
        <v>956</v>
      </c>
      <c r="F181" s="222">
        <v>210</v>
      </c>
      <c r="G181" s="222">
        <v>222</v>
      </c>
      <c r="H181" s="222">
        <f>222-210</f>
        <v>12</v>
      </c>
      <c r="I181" s="218">
        <v>10</v>
      </c>
      <c r="J181" s="268">
        <f t="shared" ref="J181:J200" si="15">I181*H181</f>
        <v>120</v>
      </c>
      <c r="K181" s="185"/>
      <c r="V181" s="183">
        <f t="shared" si="13"/>
        <v>1</v>
      </c>
      <c r="W181" s="183">
        <f t="shared" si="14"/>
        <v>0</v>
      </c>
    </row>
    <row r="182" spans="1:23" x14ac:dyDescent="0.3">
      <c r="A182" s="184"/>
      <c r="B182" s="194">
        <v>3</v>
      </c>
      <c r="C182" s="195">
        <v>45607</v>
      </c>
      <c r="D182" s="196" t="s">
        <v>16</v>
      </c>
      <c r="E182" s="222" t="s">
        <v>953</v>
      </c>
      <c r="F182" s="222">
        <v>950</v>
      </c>
      <c r="G182" s="222">
        <v>1150</v>
      </c>
      <c r="H182" s="222">
        <f>1150-950</f>
        <v>200</v>
      </c>
      <c r="I182" s="218">
        <v>10</v>
      </c>
      <c r="J182" s="268">
        <f t="shared" si="15"/>
        <v>2000</v>
      </c>
      <c r="K182" s="185"/>
      <c r="V182" s="183">
        <f t="shared" si="13"/>
        <v>1</v>
      </c>
      <c r="W182" s="183">
        <f t="shared" si="14"/>
        <v>0</v>
      </c>
    </row>
    <row r="183" spans="1:23" x14ac:dyDescent="0.3">
      <c r="A183" s="184"/>
      <c r="B183" s="194">
        <v>4</v>
      </c>
      <c r="C183" s="195">
        <v>45608</v>
      </c>
      <c r="D183" s="196" t="s">
        <v>16</v>
      </c>
      <c r="E183" s="222" t="s">
        <v>954</v>
      </c>
      <c r="F183" s="222">
        <v>850</v>
      </c>
      <c r="G183" s="222">
        <v>900</v>
      </c>
      <c r="H183" s="222">
        <v>50</v>
      </c>
      <c r="I183" s="218">
        <v>10</v>
      </c>
      <c r="J183" s="268">
        <f t="shared" si="15"/>
        <v>500</v>
      </c>
      <c r="K183" s="185"/>
      <c r="V183" s="183">
        <f t="shared" si="13"/>
        <v>1</v>
      </c>
      <c r="W183" s="183">
        <f t="shared" si="14"/>
        <v>0</v>
      </c>
    </row>
    <row r="184" spans="1:23" x14ac:dyDescent="0.3">
      <c r="A184" s="184"/>
      <c r="B184" s="194">
        <v>5</v>
      </c>
      <c r="C184" s="195">
        <v>45609</v>
      </c>
      <c r="D184" s="196" t="s">
        <v>16</v>
      </c>
      <c r="E184" s="222" t="s">
        <v>957</v>
      </c>
      <c r="F184" s="222">
        <v>800</v>
      </c>
      <c r="G184" s="222">
        <v>855</v>
      </c>
      <c r="H184" s="222">
        <v>55</v>
      </c>
      <c r="I184" s="218">
        <v>10</v>
      </c>
      <c r="J184" s="268">
        <f t="shared" si="15"/>
        <v>550</v>
      </c>
      <c r="K184" s="185"/>
      <c r="V184" s="183">
        <f t="shared" si="13"/>
        <v>1</v>
      </c>
      <c r="W184" s="183">
        <f t="shared" si="14"/>
        <v>0</v>
      </c>
    </row>
    <row r="185" spans="1:23" x14ac:dyDescent="0.3">
      <c r="A185" s="184"/>
      <c r="B185" s="194">
        <v>6</v>
      </c>
      <c r="C185" s="195">
        <v>45615</v>
      </c>
      <c r="D185" s="196" t="s">
        <v>16</v>
      </c>
      <c r="E185" s="222" t="s">
        <v>958</v>
      </c>
      <c r="F185" s="222">
        <v>800</v>
      </c>
      <c r="G185" s="222">
        <v>940</v>
      </c>
      <c r="H185" s="222">
        <v>140</v>
      </c>
      <c r="I185" s="218">
        <v>10</v>
      </c>
      <c r="J185" s="268">
        <f t="shared" si="15"/>
        <v>1400</v>
      </c>
      <c r="K185" s="185"/>
      <c r="V185" s="183">
        <f t="shared" si="13"/>
        <v>1</v>
      </c>
      <c r="W185" s="183">
        <f t="shared" si="14"/>
        <v>0</v>
      </c>
    </row>
    <row r="186" spans="1:23" x14ac:dyDescent="0.3">
      <c r="A186" s="184"/>
      <c r="B186" s="194">
        <v>7</v>
      </c>
      <c r="C186" s="195">
        <v>45617</v>
      </c>
      <c r="D186" s="196" t="s">
        <v>16</v>
      </c>
      <c r="E186" s="222" t="s">
        <v>953</v>
      </c>
      <c r="F186" s="222">
        <v>800</v>
      </c>
      <c r="G186" s="222">
        <v>890</v>
      </c>
      <c r="H186" s="274">
        <v>90</v>
      </c>
      <c r="I186" s="218">
        <v>10</v>
      </c>
      <c r="J186" s="268">
        <f t="shared" si="15"/>
        <v>900</v>
      </c>
      <c r="K186" s="185"/>
      <c r="V186" s="183">
        <f t="shared" si="13"/>
        <v>1</v>
      </c>
      <c r="W186" s="183">
        <f t="shared" si="14"/>
        <v>0</v>
      </c>
    </row>
    <row r="187" spans="1:23" x14ac:dyDescent="0.3">
      <c r="A187" s="184"/>
      <c r="B187" s="194">
        <v>8</v>
      </c>
      <c r="C187" s="195">
        <v>45618</v>
      </c>
      <c r="D187" s="196" t="s">
        <v>16</v>
      </c>
      <c r="E187" s="222" t="s">
        <v>961</v>
      </c>
      <c r="F187" s="222">
        <v>500</v>
      </c>
      <c r="G187" s="222">
        <v>700</v>
      </c>
      <c r="H187" s="222">
        <v>200</v>
      </c>
      <c r="I187" s="218">
        <v>10</v>
      </c>
      <c r="J187" s="268">
        <f t="shared" si="15"/>
        <v>2000</v>
      </c>
      <c r="K187" s="185"/>
      <c r="V187" s="183">
        <f t="shared" si="13"/>
        <v>1</v>
      </c>
      <c r="W187" s="183">
        <f t="shared" si="14"/>
        <v>0</v>
      </c>
    </row>
    <row r="188" spans="1:23" x14ac:dyDescent="0.3">
      <c r="A188" s="184"/>
      <c r="B188" s="194">
        <v>9</v>
      </c>
      <c r="C188" s="195">
        <v>45621</v>
      </c>
      <c r="D188" s="196" t="s">
        <v>16</v>
      </c>
      <c r="E188" s="222" t="s">
        <v>953</v>
      </c>
      <c r="F188" s="222">
        <v>600</v>
      </c>
      <c r="G188" s="222">
        <v>800</v>
      </c>
      <c r="H188" s="222">
        <v>200</v>
      </c>
      <c r="I188" s="218">
        <v>10</v>
      </c>
      <c r="J188" s="268">
        <f t="shared" si="15"/>
        <v>2000</v>
      </c>
      <c r="K188" s="185"/>
      <c r="V188" s="183">
        <f t="shared" si="13"/>
        <v>1</v>
      </c>
      <c r="W188" s="183">
        <f t="shared" si="14"/>
        <v>0</v>
      </c>
    </row>
    <row r="189" spans="1:23" x14ac:dyDescent="0.3">
      <c r="A189" s="184"/>
      <c r="B189" s="194">
        <v>10</v>
      </c>
      <c r="C189" s="195">
        <v>45624</v>
      </c>
      <c r="D189" s="196" t="s">
        <v>16</v>
      </c>
      <c r="E189" s="222" t="s">
        <v>958</v>
      </c>
      <c r="F189" s="222">
        <v>1000</v>
      </c>
      <c r="G189" s="222">
        <v>1070</v>
      </c>
      <c r="H189" s="222">
        <v>70</v>
      </c>
      <c r="I189" s="218">
        <v>10</v>
      </c>
      <c r="J189" s="268">
        <f t="shared" si="15"/>
        <v>700</v>
      </c>
      <c r="K189" s="185"/>
      <c r="V189" s="183">
        <f t="shared" si="13"/>
        <v>1</v>
      </c>
      <c r="W189" s="183">
        <f t="shared" si="14"/>
        <v>0</v>
      </c>
    </row>
    <row r="190" spans="1:23" ht="15" thickBot="1" x14ac:dyDescent="0.35">
      <c r="A190" s="184"/>
      <c r="B190" s="194">
        <v>11</v>
      </c>
      <c r="C190" s="195"/>
      <c r="D190" s="196"/>
      <c r="E190" s="222"/>
      <c r="F190" s="222"/>
      <c r="G190" s="222"/>
      <c r="H190" s="274"/>
      <c r="I190" s="218"/>
      <c r="J190" s="268">
        <f t="shared" si="15"/>
        <v>0</v>
      </c>
      <c r="K190" s="185"/>
      <c r="V190" s="183">
        <f t="shared" si="13"/>
        <v>0</v>
      </c>
      <c r="W190" s="183">
        <f t="shared" si="14"/>
        <v>0</v>
      </c>
    </row>
    <row r="191" spans="1:23" hidden="1" x14ac:dyDescent="0.3">
      <c r="A191" s="184"/>
      <c r="B191" s="194">
        <v>12</v>
      </c>
      <c r="C191" s="195"/>
      <c r="D191" s="196"/>
      <c r="E191" s="222"/>
      <c r="F191" s="222"/>
      <c r="G191" s="222"/>
      <c r="H191" s="274"/>
      <c r="I191" s="218"/>
      <c r="J191" s="268">
        <f t="shared" si="15"/>
        <v>0</v>
      </c>
      <c r="K191" s="185"/>
      <c r="V191" s="183">
        <f t="shared" si="13"/>
        <v>0</v>
      </c>
      <c r="W191" s="183">
        <f t="shared" si="14"/>
        <v>0</v>
      </c>
    </row>
    <row r="192" spans="1:23" hidden="1" x14ac:dyDescent="0.3">
      <c r="A192" s="184"/>
      <c r="B192" s="194">
        <v>13</v>
      </c>
      <c r="C192" s="195"/>
      <c r="D192" s="196"/>
      <c r="E192" s="222"/>
      <c r="F192" s="222"/>
      <c r="G192" s="222"/>
      <c r="H192" s="274"/>
      <c r="I192" s="218"/>
      <c r="J192" s="268">
        <f t="shared" si="15"/>
        <v>0</v>
      </c>
      <c r="K192" s="185"/>
      <c r="V192" s="183">
        <f t="shared" si="13"/>
        <v>0</v>
      </c>
      <c r="W192" s="183">
        <f t="shared" si="14"/>
        <v>0</v>
      </c>
    </row>
    <row r="193" spans="1:23" hidden="1" x14ac:dyDescent="0.3">
      <c r="A193" s="184"/>
      <c r="B193" s="194">
        <v>14</v>
      </c>
      <c r="C193" s="195"/>
      <c r="D193" s="196"/>
      <c r="E193" s="222"/>
      <c r="F193" s="222"/>
      <c r="G193" s="222"/>
      <c r="H193" s="274"/>
      <c r="I193" s="218"/>
      <c r="J193" s="268">
        <f t="shared" si="15"/>
        <v>0</v>
      </c>
      <c r="K193" s="185"/>
      <c r="V193" s="183">
        <f t="shared" si="13"/>
        <v>0</v>
      </c>
      <c r="W193" s="183">
        <f t="shared" si="14"/>
        <v>0</v>
      </c>
    </row>
    <row r="194" spans="1:23" hidden="1" x14ac:dyDescent="0.3">
      <c r="A194" s="184"/>
      <c r="B194" s="194">
        <v>15</v>
      </c>
      <c r="C194" s="195"/>
      <c r="D194" s="196"/>
      <c r="E194" s="196"/>
      <c r="F194" s="222"/>
      <c r="G194" s="222"/>
      <c r="H194" s="222"/>
      <c r="I194" s="218"/>
      <c r="J194" s="268">
        <f t="shared" si="15"/>
        <v>0</v>
      </c>
      <c r="K194" s="185"/>
      <c r="V194" s="183">
        <f t="shared" si="13"/>
        <v>0</v>
      </c>
      <c r="W194" s="183">
        <f t="shared" si="14"/>
        <v>0</v>
      </c>
    </row>
    <row r="195" spans="1:23" hidden="1" x14ac:dyDescent="0.3">
      <c r="A195" s="184"/>
      <c r="B195" s="194">
        <v>16</v>
      </c>
      <c r="C195" s="195"/>
      <c r="D195" s="196"/>
      <c r="E195" s="196"/>
      <c r="F195" s="222"/>
      <c r="G195" s="274"/>
      <c r="H195" s="274"/>
      <c r="I195" s="218"/>
      <c r="J195" s="268">
        <f t="shared" si="15"/>
        <v>0</v>
      </c>
      <c r="K195" s="185"/>
      <c r="V195" s="183">
        <f t="shared" si="13"/>
        <v>0</v>
      </c>
      <c r="W195" s="183">
        <f t="shared" si="14"/>
        <v>0</v>
      </c>
    </row>
    <row r="196" spans="1:23" hidden="1" x14ac:dyDescent="0.3">
      <c r="A196" s="184"/>
      <c r="B196" s="194">
        <v>17</v>
      </c>
      <c r="C196" s="195"/>
      <c r="D196" s="196"/>
      <c r="E196" s="196"/>
      <c r="F196" s="222"/>
      <c r="G196" s="222"/>
      <c r="H196" s="263"/>
      <c r="I196" s="218"/>
      <c r="J196" s="268">
        <f t="shared" si="15"/>
        <v>0</v>
      </c>
      <c r="K196" s="185"/>
      <c r="V196" s="183">
        <f t="shared" si="13"/>
        <v>0</v>
      </c>
      <c r="W196" s="183">
        <f t="shared" si="14"/>
        <v>0</v>
      </c>
    </row>
    <row r="197" spans="1:23" hidden="1" x14ac:dyDescent="0.3">
      <c r="A197" s="184"/>
      <c r="B197" s="194">
        <v>18</v>
      </c>
      <c r="C197" s="195"/>
      <c r="D197" s="196"/>
      <c r="E197" s="196"/>
      <c r="F197" s="222"/>
      <c r="G197" s="222"/>
      <c r="H197" s="274"/>
      <c r="I197" s="218"/>
      <c r="J197" s="268">
        <f t="shared" si="15"/>
        <v>0</v>
      </c>
      <c r="K197" s="185"/>
      <c r="V197" s="183">
        <f t="shared" si="13"/>
        <v>0</v>
      </c>
      <c r="W197" s="183">
        <f t="shared" si="14"/>
        <v>0</v>
      </c>
    </row>
    <row r="198" spans="1:23" hidden="1" x14ac:dyDescent="0.3">
      <c r="A198" s="184"/>
      <c r="B198" s="194">
        <v>19</v>
      </c>
      <c r="C198" s="195"/>
      <c r="D198" s="196"/>
      <c r="E198" s="196"/>
      <c r="F198" s="222"/>
      <c r="G198" s="222"/>
      <c r="H198" s="274"/>
      <c r="I198" s="218"/>
      <c r="J198" s="268">
        <f t="shared" si="15"/>
        <v>0</v>
      </c>
      <c r="K198" s="185"/>
      <c r="V198" s="183">
        <f t="shared" si="13"/>
        <v>0</v>
      </c>
      <c r="W198" s="183">
        <f t="shared" si="14"/>
        <v>0</v>
      </c>
    </row>
    <row r="199" spans="1:23" hidden="1" x14ac:dyDescent="0.3">
      <c r="A199" s="184"/>
      <c r="B199" s="194">
        <v>20</v>
      </c>
      <c r="C199" s="195"/>
      <c r="D199" s="196"/>
      <c r="E199" s="222"/>
      <c r="F199" s="222"/>
      <c r="G199" s="222"/>
      <c r="H199" s="274"/>
      <c r="I199" s="218"/>
      <c r="J199" s="268">
        <f t="shared" si="15"/>
        <v>0</v>
      </c>
      <c r="K199" s="185"/>
      <c r="V199" s="183">
        <f t="shared" si="13"/>
        <v>0</v>
      </c>
      <c r="W199" s="183">
        <f t="shared" si="14"/>
        <v>0</v>
      </c>
    </row>
    <row r="200" spans="1:23" hidden="1" x14ac:dyDescent="0.3">
      <c r="A200" s="184"/>
      <c r="B200" s="194">
        <v>21</v>
      </c>
      <c r="C200" s="195"/>
      <c r="D200" s="196"/>
      <c r="E200" s="222"/>
      <c r="F200" s="222"/>
      <c r="G200" s="222"/>
      <c r="H200" s="274"/>
      <c r="I200" s="218"/>
      <c r="J200" s="268">
        <f t="shared" si="15"/>
        <v>0</v>
      </c>
      <c r="K200" s="185"/>
      <c r="V200" s="183">
        <f t="shared" si="13"/>
        <v>0</v>
      </c>
      <c r="W200" s="183">
        <f t="shared" si="14"/>
        <v>0</v>
      </c>
    </row>
    <row r="201" spans="1:23" hidden="1" x14ac:dyDescent="0.3">
      <c r="A201" s="184"/>
      <c r="B201" s="194">
        <v>22</v>
      </c>
      <c r="C201" s="195"/>
      <c r="D201" s="196"/>
      <c r="E201" s="222"/>
      <c r="F201" s="222"/>
      <c r="G201" s="222"/>
      <c r="H201" s="222"/>
      <c r="I201" s="218"/>
      <c r="J201" s="268">
        <f>I201*H201</f>
        <v>0</v>
      </c>
      <c r="K201" s="185"/>
      <c r="V201" s="183">
        <f t="shared" si="13"/>
        <v>0</v>
      </c>
      <c r="W201" s="183">
        <f t="shared" si="14"/>
        <v>0</v>
      </c>
    </row>
    <row r="202" spans="1:23" ht="15" hidden="1" thickBot="1" x14ac:dyDescent="0.35">
      <c r="A202" s="184"/>
      <c r="B202" s="199">
        <v>23</v>
      </c>
      <c r="C202" s="200"/>
      <c r="D202" s="201"/>
      <c r="E202" s="201"/>
      <c r="F202" s="284"/>
      <c r="G202" s="284"/>
      <c r="H202" s="284"/>
      <c r="I202" s="285"/>
      <c r="J202" s="269">
        <f>I202*H202</f>
        <v>0</v>
      </c>
      <c r="K202" s="185"/>
      <c r="V202" s="183">
        <f t="shared" si="13"/>
        <v>0</v>
      </c>
      <c r="W202" s="183">
        <f t="shared" si="14"/>
        <v>0</v>
      </c>
    </row>
    <row r="203" spans="1:23" ht="24" thickBot="1" x14ac:dyDescent="0.5">
      <c r="A203" s="184"/>
      <c r="B203" s="304" t="s">
        <v>879</v>
      </c>
      <c r="C203" s="305"/>
      <c r="D203" s="305"/>
      <c r="E203" s="305"/>
      <c r="F203" s="305"/>
      <c r="G203" s="305"/>
      <c r="H203" s="306"/>
      <c r="I203" s="203" t="s">
        <v>880</v>
      </c>
      <c r="J203" s="204">
        <f>SUM(J180:J202)</f>
        <v>12170</v>
      </c>
      <c r="K203" s="185"/>
      <c r="V203" s="183">
        <f>SUM(V180:V202)</f>
        <v>10</v>
      </c>
      <c r="W203" s="183">
        <f>SUM(W180:W202)</f>
        <v>0</v>
      </c>
    </row>
    <row r="204" spans="1:23" ht="15" thickBot="1" x14ac:dyDescent="0.35">
      <c r="A204" s="205"/>
      <c r="B204" s="286"/>
      <c r="C204" s="286"/>
      <c r="D204" s="286"/>
      <c r="E204" s="286"/>
      <c r="F204" s="286"/>
      <c r="G204" s="286"/>
      <c r="H204" s="287"/>
      <c r="I204" s="286"/>
      <c r="J204" s="287"/>
      <c r="K204" s="207"/>
    </row>
    <row r="205" spans="1:23" ht="15" thickBot="1" x14ac:dyDescent="0.35"/>
    <row r="206" spans="1:23" ht="15" thickBot="1" x14ac:dyDescent="0.35">
      <c r="A206" s="180"/>
      <c r="B206" s="181"/>
      <c r="C206" s="181"/>
      <c r="D206" s="181"/>
      <c r="E206" s="181"/>
      <c r="F206" s="181"/>
      <c r="G206" s="181"/>
      <c r="H206" s="259"/>
      <c r="I206" s="181"/>
      <c r="J206" s="259"/>
      <c r="K206" s="182"/>
    </row>
    <row r="207" spans="1:23" ht="25.2" thickBot="1" x14ac:dyDescent="0.35">
      <c r="A207" s="184" t="s">
        <v>0</v>
      </c>
      <c r="B207" s="307" t="s">
        <v>873</v>
      </c>
      <c r="C207" s="308"/>
      <c r="D207" s="308"/>
      <c r="E207" s="308"/>
      <c r="F207" s="308"/>
      <c r="G207" s="308"/>
      <c r="H207" s="308"/>
      <c r="I207" s="308"/>
      <c r="J207" s="309"/>
      <c r="K207" s="185"/>
    </row>
    <row r="208" spans="1:23" ht="16.2" thickBot="1" x14ac:dyDescent="0.35">
      <c r="A208" s="184"/>
      <c r="B208" s="310">
        <v>45597</v>
      </c>
      <c r="C208" s="311"/>
      <c r="D208" s="311"/>
      <c r="E208" s="311"/>
      <c r="F208" s="311"/>
      <c r="G208" s="311"/>
      <c r="H208" s="311"/>
      <c r="I208" s="311"/>
      <c r="J208" s="312"/>
      <c r="K208" s="185"/>
    </row>
    <row r="209" spans="1:23" ht="16.2" thickBot="1" x14ac:dyDescent="0.35">
      <c r="A209" s="184"/>
      <c r="B209" s="313" t="s">
        <v>949</v>
      </c>
      <c r="C209" s="314"/>
      <c r="D209" s="314"/>
      <c r="E209" s="314"/>
      <c r="F209" s="314"/>
      <c r="G209" s="314"/>
      <c r="H209" s="314"/>
      <c r="I209" s="314"/>
      <c r="J209" s="315"/>
      <c r="K209" s="185"/>
    </row>
    <row r="210" spans="1:23" ht="15" thickBot="1" x14ac:dyDescent="0.35">
      <c r="A210" s="208"/>
      <c r="B210" s="186" t="s">
        <v>876</v>
      </c>
      <c r="C210" s="187" t="s">
        <v>1</v>
      </c>
      <c r="D210" s="188" t="s">
        <v>2</v>
      </c>
      <c r="E210" s="188" t="s">
        <v>3</v>
      </c>
      <c r="F210" s="189" t="s">
        <v>4</v>
      </c>
      <c r="G210" s="189" t="s">
        <v>5</v>
      </c>
      <c r="H210" s="260" t="s">
        <v>720</v>
      </c>
      <c r="I210" s="189" t="s">
        <v>6</v>
      </c>
      <c r="J210" s="266" t="s">
        <v>7</v>
      </c>
      <c r="K210" s="209"/>
    </row>
    <row r="211" spans="1:23" x14ac:dyDescent="0.3">
      <c r="A211" s="184"/>
      <c r="B211" s="214">
        <v>1</v>
      </c>
      <c r="C211" s="215">
        <v>45602</v>
      </c>
      <c r="D211" s="216" t="s">
        <v>16</v>
      </c>
      <c r="E211" s="256" t="s">
        <v>951</v>
      </c>
      <c r="F211" s="256">
        <v>2350</v>
      </c>
      <c r="G211" s="256">
        <v>2741</v>
      </c>
      <c r="H211" s="256">
        <f>2741-2350</f>
        <v>391</v>
      </c>
      <c r="I211" s="218">
        <v>5</v>
      </c>
      <c r="J211" s="273">
        <f>I211*H211</f>
        <v>1955</v>
      </c>
      <c r="K211" s="185"/>
      <c r="V211" s="183">
        <f t="shared" ref="V211:V233" si="16">IF($J211&gt;0,1,0)</f>
        <v>1</v>
      </c>
      <c r="W211" s="183">
        <f t="shared" ref="W211:W233" si="17">IF($J211&lt;0,1,0)</f>
        <v>0</v>
      </c>
    </row>
    <row r="212" spans="1:23" x14ac:dyDescent="0.3">
      <c r="A212" s="184"/>
      <c r="B212" s="194">
        <v>2</v>
      </c>
      <c r="C212" s="195">
        <v>45603</v>
      </c>
      <c r="D212" s="196" t="s">
        <v>16</v>
      </c>
      <c r="E212" s="222" t="s">
        <v>952</v>
      </c>
      <c r="F212" s="222">
        <v>2150</v>
      </c>
      <c r="G212" s="222">
        <v>1950</v>
      </c>
      <c r="H212" s="222">
        <v>-200</v>
      </c>
      <c r="I212" s="218">
        <v>5</v>
      </c>
      <c r="J212" s="268">
        <f t="shared" ref="J212:J231" si="18">I212*H212</f>
        <v>-1000</v>
      </c>
      <c r="K212" s="185"/>
      <c r="V212" s="183">
        <f t="shared" si="16"/>
        <v>0</v>
      </c>
      <c r="W212" s="183">
        <f t="shared" si="17"/>
        <v>1</v>
      </c>
    </row>
    <row r="213" spans="1:23" x14ac:dyDescent="0.3">
      <c r="A213" s="184"/>
      <c r="B213" s="194">
        <v>3</v>
      </c>
      <c r="C213" s="195">
        <v>45607</v>
      </c>
      <c r="D213" s="196" t="s">
        <v>16</v>
      </c>
      <c r="E213" s="222" t="s">
        <v>952</v>
      </c>
      <c r="F213" s="222">
        <v>1400</v>
      </c>
      <c r="G213" s="222">
        <v>1792</v>
      </c>
      <c r="H213" s="222">
        <f>1792-1400</f>
        <v>392</v>
      </c>
      <c r="I213" s="218">
        <v>5</v>
      </c>
      <c r="J213" s="268">
        <f t="shared" si="18"/>
        <v>1960</v>
      </c>
      <c r="K213" s="185"/>
      <c r="V213" s="183">
        <f t="shared" si="16"/>
        <v>1</v>
      </c>
      <c r="W213" s="183">
        <f t="shared" si="17"/>
        <v>0</v>
      </c>
    </row>
    <row r="214" spans="1:23" x14ac:dyDescent="0.3">
      <c r="A214" s="184"/>
      <c r="B214" s="194">
        <v>4</v>
      </c>
      <c r="C214" s="195">
        <v>45608</v>
      </c>
      <c r="D214" s="196" t="s">
        <v>16</v>
      </c>
      <c r="E214" s="222" t="s">
        <v>954</v>
      </c>
      <c r="F214" s="222">
        <v>850</v>
      </c>
      <c r="G214" s="222">
        <v>900</v>
      </c>
      <c r="H214" s="222">
        <v>50</v>
      </c>
      <c r="I214" s="218">
        <v>5</v>
      </c>
      <c r="J214" s="268">
        <f t="shared" si="18"/>
        <v>250</v>
      </c>
      <c r="K214" s="185"/>
      <c r="V214" s="183">
        <f t="shared" si="16"/>
        <v>1</v>
      </c>
      <c r="W214" s="183">
        <f t="shared" si="17"/>
        <v>0</v>
      </c>
    </row>
    <row r="215" spans="1:23" x14ac:dyDescent="0.3">
      <c r="A215" s="184"/>
      <c r="B215" s="194">
        <v>5</v>
      </c>
      <c r="C215" s="195">
        <v>45615</v>
      </c>
      <c r="D215" s="196" t="s">
        <v>16</v>
      </c>
      <c r="E215" s="222" t="s">
        <v>952</v>
      </c>
      <c r="F215" s="222">
        <v>900</v>
      </c>
      <c r="G215" s="222">
        <v>1290</v>
      </c>
      <c r="H215" s="222">
        <f>1290-900</f>
        <v>390</v>
      </c>
      <c r="I215" s="218">
        <v>5</v>
      </c>
      <c r="J215" s="268">
        <f t="shared" si="18"/>
        <v>1950</v>
      </c>
      <c r="K215" s="185"/>
      <c r="V215" s="183">
        <f t="shared" si="16"/>
        <v>1</v>
      </c>
      <c r="W215" s="183">
        <f t="shared" si="17"/>
        <v>0</v>
      </c>
    </row>
    <row r="216" spans="1:23" x14ac:dyDescent="0.3">
      <c r="A216" s="184"/>
      <c r="B216" s="194">
        <v>6</v>
      </c>
      <c r="C216" s="195">
        <v>45617</v>
      </c>
      <c r="D216" s="196" t="s">
        <v>16</v>
      </c>
      <c r="E216" s="222" t="s">
        <v>962</v>
      </c>
      <c r="F216" s="222">
        <v>2600</v>
      </c>
      <c r="G216" s="222">
        <v>2983</v>
      </c>
      <c r="H216" s="222">
        <f>2983-2600</f>
        <v>383</v>
      </c>
      <c r="I216" s="218">
        <v>5</v>
      </c>
      <c r="J216" s="268">
        <f t="shared" si="18"/>
        <v>1915</v>
      </c>
      <c r="K216" s="185"/>
      <c r="V216" s="183">
        <f t="shared" si="16"/>
        <v>1</v>
      </c>
      <c r="W216" s="183">
        <f t="shared" si="17"/>
        <v>0</v>
      </c>
    </row>
    <row r="217" spans="1:23" x14ac:dyDescent="0.3">
      <c r="A217" s="184"/>
      <c r="B217" s="194">
        <v>7</v>
      </c>
      <c r="C217" s="195">
        <v>45618</v>
      </c>
      <c r="D217" s="196" t="s">
        <v>16</v>
      </c>
      <c r="E217" s="222" t="s">
        <v>962</v>
      </c>
      <c r="F217" s="222">
        <v>2550</v>
      </c>
      <c r="G217" s="222">
        <v>2899</v>
      </c>
      <c r="H217" s="274">
        <f>2899-2550</f>
        <v>349</v>
      </c>
      <c r="I217" s="218">
        <v>5</v>
      </c>
      <c r="J217" s="268">
        <f t="shared" si="18"/>
        <v>1745</v>
      </c>
      <c r="K217" s="185"/>
      <c r="V217" s="183">
        <f t="shared" si="16"/>
        <v>1</v>
      </c>
      <c r="W217" s="183">
        <f t="shared" si="17"/>
        <v>0</v>
      </c>
    </row>
    <row r="218" spans="1:23" ht="15" thickBot="1" x14ac:dyDescent="0.35">
      <c r="A218" s="184"/>
      <c r="B218" s="194">
        <v>8</v>
      </c>
      <c r="C218" s="195">
        <v>45622</v>
      </c>
      <c r="D218" s="196" t="s">
        <v>16</v>
      </c>
      <c r="E218" s="222" t="s">
        <v>962</v>
      </c>
      <c r="F218" s="222">
        <v>3300</v>
      </c>
      <c r="G218" s="222">
        <v>3638</v>
      </c>
      <c r="H218" s="222">
        <f>3638-3300</f>
        <v>338</v>
      </c>
      <c r="I218" s="218">
        <v>5</v>
      </c>
      <c r="J218" s="268">
        <f t="shared" si="18"/>
        <v>1690</v>
      </c>
      <c r="K218" s="185"/>
      <c r="V218" s="183">
        <f t="shared" si="16"/>
        <v>1</v>
      </c>
      <c r="W218" s="183">
        <f t="shared" si="17"/>
        <v>0</v>
      </c>
    </row>
    <row r="219" spans="1:23" hidden="1" x14ac:dyDescent="0.3">
      <c r="A219" s="184"/>
      <c r="B219" s="194">
        <v>9</v>
      </c>
      <c r="C219" s="195"/>
      <c r="D219" s="196"/>
      <c r="E219" s="222"/>
      <c r="F219" s="222"/>
      <c r="G219" s="222"/>
      <c r="H219" s="222"/>
      <c r="I219" s="218"/>
      <c r="J219" s="268">
        <f t="shared" si="18"/>
        <v>0</v>
      </c>
      <c r="K219" s="185"/>
      <c r="V219" s="183">
        <f t="shared" si="16"/>
        <v>0</v>
      </c>
      <c r="W219" s="183">
        <f t="shared" si="17"/>
        <v>0</v>
      </c>
    </row>
    <row r="220" spans="1:23" hidden="1" x14ac:dyDescent="0.3">
      <c r="A220" s="184"/>
      <c r="B220" s="194">
        <v>10</v>
      </c>
      <c r="C220" s="195"/>
      <c r="D220" s="196"/>
      <c r="E220" s="222"/>
      <c r="F220" s="222"/>
      <c r="G220" s="222"/>
      <c r="H220" s="222"/>
      <c r="I220" s="218"/>
      <c r="J220" s="268">
        <f t="shared" si="18"/>
        <v>0</v>
      </c>
      <c r="K220" s="185"/>
      <c r="V220" s="183">
        <f t="shared" si="16"/>
        <v>0</v>
      </c>
      <c r="W220" s="183">
        <f t="shared" si="17"/>
        <v>0</v>
      </c>
    </row>
    <row r="221" spans="1:23" hidden="1" x14ac:dyDescent="0.3">
      <c r="A221" s="184"/>
      <c r="B221" s="194">
        <v>11</v>
      </c>
      <c r="C221" s="195"/>
      <c r="D221" s="196"/>
      <c r="E221" s="222"/>
      <c r="F221" s="222"/>
      <c r="G221" s="222"/>
      <c r="H221" s="274"/>
      <c r="I221" s="218"/>
      <c r="J221" s="268">
        <f t="shared" si="18"/>
        <v>0</v>
      </c>
      <c r="K221" s="185"/>
      <c r="V221" s="183">
        <f t="shared" si="16"/>
        <v>0</v>
      </c>
      <c r="W221" s="183">
        <f t="shared" si="17"/>
        <v>0</v>
      </c>
    </row>
    <row r="222" spans="1:23" hidden="1" x14ac:dyDescent="0.3">
      <c r="A222" s="184"/>
      <c r="B222" s="194">
        <v>12</v>
      </c>
      <c r="C222" s="195"/>
      <c r="D222" s="196"/>
      <c r="E222" s="222"/>
      <c r="F222" s="222"/>
      <c r="G222" s="222"/>
      <c r="H222" s="274"/>
      <c r="I222" s="218"/>
      <c r="J222" s="268">
        <f t="shared" si="18"/>
        <v>0</v>
      </c>
      <c r="K222" s="185"/>
      <c r="V222" s="183">
        <f t="shared" si="16"/>
        <v>0</v>
      </c>
      <c r="W222" s="183">
        <f t="shared" si="17"/>
        <v>0</v>
      </c>
    </row>
    <row r="223" spans="1:23" hidden="1" x14ac:dyDescent="0.3">
      <c r="A223" s="184"/>
      <c r="B223" s="194">
        <v>13</v>
      </c>
      <c r="C223" s="195"/>
      <c r="D223" s="196"/>
      <c r="E223" s="222"/>
      <c r="F223" s="222"/>
      <c r="G223" s="222"/>
      <c r="H223" s="274"/>
      <c r="I223" s="218"/>
      <c r="J223" s="268">
        <f t="shared" si="18"/>
        <v>0</v>
      </c>
      <c r="K223" s="185"/>
      <c r="V223" s="183">
        <f t="shared" si="16"/>
        <v>0</v>
      </c>
      <c r="W223" s="183">
        <f t="shared" si="17"/>
        <v>0</v>
      </c>
    </row>
    <row r="224" spans="1:23" hidden="1" x14ac:dyDescent="0.3">
      <c r="A224" s="184"/>
      <c r="B224" s="194">
        <v>14</v>
      </c>
      <c r="C224" s="195"/>
      <c r="D224" s="196"/>
      <c r="E224" s="222"/>
      <c r="F224" s="222"/>
      <c r="G224" s="222"/>
      <c r="H224" s="274"/>
      <c r="I224" s="218"/>
      <c r="J224" s="268">
        <f t="shared" si="18"/>
        <v>0</v>
      </c>
      <c r="K224" s="185"/>
      <c r="V224" s="183">
        <f t="shared" si="16"/>
        <v>0</v>
      </c>
      <c r="W224" s="183">
        <f t="shared" si="17"/>
        <v>0</v>
      </c>
    </row>
    <row r="225" spans="1:23" hidden="1" x14ac:dyDescent="0.3">
      <c r="A225" s="184"/>
      <c r="B225" s="194">
        <v>15</v>
      </c>
      <c r="C225" s="195"/>
      <c r="D225" s="196"/>
      <c r="E225" s="196"/>
      <c r="F225" s="222"/>
      <c r="G225" s="222"/>
      <c r="H225" s="222"/>
      <c r="I225" s="218"/>
      <c r="J225" s="268">
        <f t="shared" si="18"/>
        <v>0</v>
      </c>
      <c r="K225" s="185"/>
      <c r="V225" s="183">
        <f t="shared" si="16"/>
        <v>0</v>
      </c>
      <c r="W225" s="183">
        <f t="shared" si="17"/>
        <v>0</v>
      </c>
    </row>
    <row r="226" spans="1:23" hidden="1" x14ac:dyDescent="0.3">
      <c r="A226" s="184"/>
      <c r="B226" s="194">
        <v>16</v>
      </c>
      <c r="C226" s="195"/>
      <c r="D226" s="196"/>
      <c r="E226" s="196"/>
      <c r="F226" s="222"/>
      <c r="G226" s="274"/>
      <c r="H226" s="274"/>
      <c r="I226" s="218"/>
      <c r="J226" s="268">
        <f t="shared" si="18"/>
        <v>0</v>
      </c>
      <c r="K226" s="185"/>
      <c r="V226" s="183">
        <f t="shared" si="16"/>
        <v>0</v>
      </c>
      <c r="W226" s="183">
        <f t="shared" si="17"/>
        <v>0</v>
      </c>
    </row>
    <row r="227" spans="1:23" hidden="1" x14ac:dyDescent="0.3">
      <c r="A227" s="184"/>
      <c r="B227" s="194">
        <v>17</v>
      </c>
      <c r="C227" s="195"/>
      <c r="D227" s="196"/>
      <c r="E227" s="196"/>
      <c r="F227" s="222"/>
      <c r="G227" s="222"/>
      <c r="H227" s="263"/>
      <c r="I227" s="218"/>
      <c r="J227" s="268">
        <f t="shared" si="18"/>
        <v>0</v>
      </c>
      <c r="K227" s="185"/>
      <c r="V227" s="183">
        <f t="shared" si="16"/>
        <v>0</v>
      </c>
      <c r="W227" s="183">
        <f t="shared" si="17"/>
        <v>0</v>
      </c>
    </row>
    <row r="228" spans="1:23" hidden="1" x14ac:dyDescent="0.3">
      <c r="A228" s="184"/>
      <c r="B228" s="194">
        <v>18</v>
      </c>
      <c r="C228" s="195"/>
      <c r="D228" s="196"/>
      <c r="E228" s="196"/>
      <c r="F228" s="222"/>
      <c r="G228" s="222"/>
      <c r="H228" s="274"/>
      <c r="I228" s="218"/>
      <c r="J228" s="268">
        <f t="shared" si="18"/>
        <v>0</v>
      </c>
      <c r="K228" s="185"/>
      <c r="V228" s="183">
        <f t="shared" si="16"/>
        <v>0</v>
      </c>
      <c r="W228" s="183">
        <f t="shared" si="17"/>
        <v>0</v>
      </c>
    </row>
    <row r="229" spans="1:23" hidden="1" x14ac:dyDescent="0.3">
      <c r="A229" s="184"/>
      <c r="B229" s="194">
        <v>19</v>
      </c>
      <c r="C229" s="195"/>
      <c r="D229" s="196"/>
      <c r="E229" s="196"/>
      <c r="F229" s="222"/>
      <c r="G229" s="222"/>
      <c r="H229" s="274"/>
      <c r="I229" s="218"/>
      <c r="J229" s="268">
        <f t="shared" si="18"/>
        <v>0</v>
      </c>
      <c r="K229" s="185"/>
      <c r="V229" s="183">
        <f t="shared" si="16"/>
        <v>0</v>
      </c>
      <c r="W229" s="183">
        <f t="shared" si="17"/>
        <v>0</v>
      </c>
    </row>
    <row r="230" spans="1:23" hidden="1" x14ac:dyDescent="0.3">
      <c r="A230" s="184"/>
      <c r="B230" s="194">
        <v>20</v>
      </c>
      <c r="C230" s="195"/>
      <c r="D230" s="196"/>
      <c r="E230" s="222"/>
      <c r="F230" s="222"/>
      <c r="G230" s="222"/>
      <c r="H230" s="274"/>
      <c r="I230" s="218"/>
      <c r="J230" s="268">
        <f t="shared" si="18"/>
        <v>0</v>
      </c>
      <c r="K230" s="185"/>
      <c r="V230" s="183">
        <f t="shared" si="16"/>
        <v>0</v>
      </c>
      <c r="W230" s="183">
        <f t="shared" si="17"/>
        <v>0</v>
      </c>
    </row>
    <row r="231" spans="1:23" hidden="1" x14ac:dyDescent="0.3">
      <c r="A231" s="184"/>
      <c r="B231" s="194">
        <v>21</v>
      </c>
      <c r="C231" s="195"/>
      <c r="D231" s="196"/>
      <c r="E231" s="222"/>
      <c r="F231" s="222"/>
      <c r="G231" s="222"/>
      <c r="H231" s="274"/>
      <c r="I231" s="218"/>
      <c r="J231" s="268">
        <f t="shared" si="18"/>
        <v>0</v>
      </c>
      <c r="K231" s="185"/>
      <c r="V231" s="183">
        <f t="shared" si="16"/>
        <v>0</v>
      </c>
      <c r="W231" s="183">
        <f t="shared" si="17"/>
        <v>0</v>
      </c>
    </row>
    <row r="232" spans="1:23" hidden="1" x14ac:dyDescent="0.3">
      <c r="A232" s="184"/>
      <c r="B232" s="194">
        <v>22</v>
      </c>
      <c r="C232" s="195"/>
      <c r="D232" s="196"/>
      <c r="E232" s="222"/>
      <c r="F232" s="222"/>
      <c r="G232" s="222"/>
      <c r="H232" s="222"/>
      <c r="I232" s="218"/>
      <c r="J232" s="268">
        <f>I232*H232</f>
        <v>0</v>
      </c>
      <c r="K232" s="185"/>
      <c r="V232" s="183">
        <f t="shared" si="16"/>
        <v>0</v>
      </c>
      <c r="W232" s="183">
        <f t="shared" si="17"/>
        <v>0</v>
      </c>
    </row>
    <row r="233" spans="1:23" ht="15" hidden="1" thickBot="1" x14ac:dyDescent="0.35">
      <c r="A233" s="184" t="s">
        <v>862</v>
      </c>
      <c r="B233" s="199">
        <v>23</v>
      </c>
      <c r="C233" s="200"/>
      <c r="D233" s="201"/>
      <c r="E233" s="201"/>
      <c r="F233" s="284"/>
      <c r="G233" s="284"/>
      <c r="H233" s="284"/>
      <c r="I233" s="285"/>
      <c r="J233" s="269">
        <f>I233*H233</f>
        <v>0</v>
      </c>
      <c r="K233" s="185"/>
      <c r="V233" s="183">
        <f t="shared" si="16"/>
        <v>0</v>
      </c>
      <c r="W233" s="183">
        <f t="shared" si="17"/>
        <v>0</v>
      </c>
    </row>
    <row r="234" spans="1:23" ht="24" thickBot="1" x14ac:dyDescent="0.5">
      <c r="A234" s="184"/>
      <c r="B234" s="304" t="s">
        <v>879</v>
      </c>
      <c r="C234" s="305"/>
      <c r="D234" s="305"/>
      <c r="E234" s="305"/>
      <c r="F234" s="305"/>
      <c r="G234" s="305"/>
      <c r="H234" s="306"/>
      <c r="I234" s="203" t="s">
        <v>880</v>
      </c>
      <c r="J234" s="204">
        <f>SUM(J211:J233)</f>
        <v>10465</v>
      </c>
      <c r="K234" s="185"/>
      <c r="V234" s="183">
        <f>SUM(V211:V233)</f>
        <v>7</v>
      </c>
      <c r="W234" s="183">
        <f>SUM(W211:W233)</f>
        <v>1</v>
      </c>
    </row>
    <row r="235" spans="1:23" ht="15" thickBot="1" x14ac:dyDescent="0.35">
      <c r="A235" s="205"/>
      <c r="B235" s="286"/>
      <c r="C235" s="286"/>
      <c r="D235" s="286"/>
      <c r="E235" s="286"/>
      <c r="F235" s="286"/>
      <c r="G235" s="286"/>
      <c r="H235" s="287"/>
      <c r="I235" s="286"/>
      <c r="J235" s="287"/>
      <c r="K235" s="207"/>
    </row>
  </sheetData>
  <mergeCells count="7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16:R17"/>
    <mergeCell ref="M10:M11"/>
    <mergeCell ref="N10:N11"/>
    <mergeCell ref="O10:O11"/>
    <mergeCell ref="P10:P11"/>
    <mergeCell ref="Q10:Q11"/>
    <mergeCell ref="R10:R11"/>
    <mergeCell ref="R12:R13"/>
    <mergeCell ref="M14:M15"/>
    <mergeCell ref="M12:M13"/>
    <mergeCell ref="N12:N13"/>
    <mergeCell ref="O12:O13"/>
    <mergeCell ref="P12:P13"/>
    <mergeCell ref="Q12:Q13"/>
    <mergeCell ref="N14:N15"/>
    <mergeCell ref="M16:M17"/>
    <mergeCell ref="N16:N17"/>
    <mergeCell ref="O16:O17"/>
    <mergeCell ref="P16:P17"/>
    <mergeCell ref="Q16:Q17"/>
    <mergeCell ref="B209:J209"/>
    <mergeCell ref="B234:H234"/>
    <mergeCell ref="B146:J146"/>
    <mergeCell ref="B147:J147"/>
    <mergeCell ref="B172:H172"/>
    <mergeCell ref="B176:J176"/>
    <mergeCell ref="B177:J177"/>
    <mergeCell ref="B178:J178"/>
    <mergeCell ref="B203:H203"/>
    <mergeCell ref="B207:J207"/>
    <mergeCell ref="B208:J208"/>
    <mergeCell ref="O14:O15"/>
    <mergeCell ref="P14:P15"/>
    <mergeCell ref="Q14:Q15"/>
    <mergeCell ref="R14:R15"/>
    <mergeCell ref="B145:J145"/>
    <mergeCell ref="M18:O20"/>
    <mergeCell ref="P18:R20"/>
    <mergeCell ref="B52:H52"/>
    <mergeCell ref="B56:J56"/>
    <mergeCell ref="B57:J57"/>
    <mergeCell ref="B104:H104"/>
    <mergeCell ref="B108:J108"/>
    <mergeCell ref="B109:J109"/>
    <mergeCell ref="B110:J110"/>
    <mergeCell ref="B141:H141"/>
    <mergeCell ref="B58:J58"/>
  </mergeCells>
  <hyperlinks>
    <hyperlink ref="B52" r:id="rId1" xr:uid="{B39BA1CD-16B9-4961-8A9A-6E2B555EE31F}"/>
    <hyperlink ref="B104" r:id="rId2" xr:uid="{0FCAB8B2-D160-42FC-8561-81415C336350}"/>
    <hyperlink ref="M4:M5" location="'NOV 2024'!A1" display="BULLION" xr:uid="{671FE387-2DB9-4022-A8B8-4E6D815D7160}"/>
    <hyperlink ref="B141" r:id="rId3" xr:uid="{F6F7EC40-0DE7-4EF1-BFA8-F6B9BDF8FB44}"/>
    <hyperlink ref="M8:M9" location="'NOV 2024'!A86" display="BASE METAL" xr:uid="{36747252-5FDC-447E-8B73-E01BEF81425D}"/>
    <hyperlink ref="M1" location="MASTER!A1" display="Back" xr:uid="{D2EA5730-A319-4B5B-A9E1-51F2EF299310}"/>
    <hyperlink ref="M6:M7" location="'NOV 2024'!A55" display="ENERGY" xr:uid="{18ED8A38-6DC0-41DE-BA28-58081B7E1561}"/>
    <hyperlink ref="B172" r:id="rId4" xr:uid="{8875A1A4-B298-4F4F-9211-73D2C8D1F4D5}"/>
    <hyperlink ref="M10:M11" location="'NOV 2024'!A117" display="CRUDEOIL OPTION" xr:uid="{BDFF27C1-B3B7-4C70-918C-059412018672}"/>
    <hyperlink ref="B203" r:id="rId5" xr:uid="{09AAAFAD-9607-4E39-A36F-37C83BA0144D}"/>
    <hyperlink ref="B234" r:id="rId6" xr:uid="{A772D156-8B9F-49BA-9942-E788B5F31CA1}"/>
    <hyperlink ref="M12:M13" location="'NOV 2024'!A202" display="GOLDM OPTION" xr:uid="{BCE3F450-B47A-4D90-A596-E389519474FA}"/>
    <hyperlink ref="M14:M15" location="'NOV 2024'!A233" display="SILVERM OPTION" xr:uid="{01A09320-2561-4220-9461-1C72A22C6426}"/>
  </hyperlinks>
  <pageMargins left="0" right="0" top="0" bottom="0" header="0" footer="0"/>
  <pageSetup paperSize="9" orientation="portrait" r:id="rId7"/>
  <ignoredErrors>
    <ignoredError sqref="N10" formula="1"/>
  </ignoredErrors>
  <drawing r:id="rId8"/>
  <legacyDrawing r:id="rId9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D3B43-D1C7-4276-AD12-F4B878DFA4FC}">
  <dimension ref="A1:W235"/>
  <sheetViews>
    <sheetView zoomScaleNormal="100" workbookViewId="0">
      <selection activeCell="Q6" sqref="Q6:Q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6.88671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 customWidth="1"/>
    <col min="22" max="22" width="7.5546875" style="183" hidden="1" customWidth="1"/>
    <col min="23" max="23" width="6.109375" style="183" hidden="1" customWidth="1"/>
    <col min="24" max="25" width="9.109375" style="183" customWidth="1"/>
    <col min="26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45627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42</v>
      </c>
      <c r="O4" s="369">
        <f>V52</f>
        <v>31</v>
      </c>
      <c r="P4" s="369">
        <f>W52</f>
        <v>11</v>
      </c>
      <c r="Q4" s="349">
        <f>N4-O4-P4</f>
        <v>0</v>
      </c>
      <c r="R4" s="343">
        <f>O4/N4</f>
        <v>0.73809523809523814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45628</v>
      </c>
      <c r="D6" s="192" t="s">
        <v>23</v>
      </c>
      <c r="E6" s="192" t="s">
        <v>24</v>
      </c>
      <c r="F6" s="193">
        <v>76600</v>
      </c>
      <c r="G6" s="193">
        <v>76700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COUNT(C60:C103)</f>
        <v>42</v>
      </c>
      <c r="O6" s="348">
        <f>V104</f>
        <v>37</v>
      </c>
      <c r="P6" s="348">
        <f>W104</f>
        <v>5</v>
      </c>
      <c r="Q6" s="349">
        <v>0</v>
      </c>
      <c r="R6" s="345">
        <f t="shared" ref="R6" si="0">O6/N6</f>
        <v>0.88095238095238093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45628</v>
      </c>
      <c r="D7" s="196" t="s">
        <v>23</v>
      </c>
      <c r="E7" s="196" t="s">
        <v>22</v>
      </c>
      <c r="F7" s="197">
        <v>90400</v>
      </c>
      <c r="G7" s="197">
        <v>90700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45629</v>
      </c>
      <c r="D8" s="196" t="s">
        <v>23</v>
      </c>
      <c r="E8" s="196" t="s">
        <v>24</v>
      </c>
      <c r="F8" s="197">
        <v>76780</v>
      </c>
      <c r="G8" s="197">
        <v>76720</v>
      </c>
      <c r="H8" s="196">
        <v>60</v>
      </c>
      <c r="I8" s="197">
        <v>100</v>
      </c>
      <c r="J8" s="268">
        <f t="shared" si="1"/>
        <v>6000</v>
      </c>
      <c r="K8" s="185"/>
      <c r="M8" s="362" t="s">
        <v>877</v>
      </c>
      <c r="N8" s="347">
        <f>COUNT(C112:C140)</f>
        <v>21</v>
      </c>
      <c r="O8" s="348">
        <f>V141</f>
        <v>19</v>
      </c>
      <c r="P8" s="348">
        <v>5</v>
      </c>
      <c r="Q8" s="349">
        <v>0</v>
      </c>
      <c r="R8" s="345">
        <f>O8/N8</f>
        <v>0.90476190476190477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45629</v>
      </c>
      <c r="D9" s="196" t="s">
        <v>23</v>
      </c>
      <c r="E9" s="196" t="s">
        <v>22</v>
      </c>
      <c r="F9" s="197">
        <v>91900</v>
      </c>
      <c r="G9" s="197">
        <v>91680</v>
      </c>
      <c r="H9" s="196">
        <f>91900-91680</f>
        <v>220</v>
      </c>
      <c r="I9" s="197">
        <v>30</v>
      </c>
      <c r="J9" s="268">
        <f t="shared" si="1"/>
        <v>6600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45630</v>
      </c>
      <c r="D10" s="196" t="s">
        <v>23</v>
      </c>
      <c r="E10" s="196" t="s">
        <v>24</v>
      </c>
      <c r="F10" s="197">
        <v>76820</v>
      </c>
      <c r="G10" s="197">
        <v>76920</v>
      </c>
      <c r="H10" s="196">
        <v>-100</v>
      </c>
      <c r="I10" s="197">
        <v>100</v>
      </c>
      <c r="J10" s="268">
        <f t="shared" si="1"/>
        <v>-10000</v>
      </c>
      <c r="K10" s="185"/>
      <c r="M10" s="364" t="s">
        <v>906</v>
      </c>
      <c r="N10" s="347">
        <f>COUNT(C149:C171)</f>
        <v>21</v>
      </c>
      <c r="O10" s="348">
        <f>V172</f>
        <v>17</v>
      </c>
      <c r="P10" s="348">
        <f>W172</f>
        <v>4</v>
      </c>
      <c r="Q10" s="349">
        <f>N10-O10-P10</f>
        <v>0</v>
      </c>
      <c r="R10" s="345">
        <f>O10/N10</f>
        <v>0.80952380952380953</v>
      </c>
      <c r="V10" s="183">
        <f t="shared" si="2"/>
        <v>0</v>
      </c>
      <c r="W10" s="183">
        <f t="shared" si="3"/>
        <v>1</v>
      </c>
    </row>
    <row r="11" spans="1:23" x14ac:dyDescent="0.3">
      <c r="A11" s="184"/>
      <c r="B11" s="194">
        <v>6</v>
      </c>
      <c r="C11" s="195">
        <v>45630</v>
      </c>
      <c r="D11" s="196" t="s">
        <v>23</v>
      </c>
      <c r="E11" s="196" t="s">
        <v>22</v>
      </c>
      <c r="F11" s="197">
        <v>91900</v>
      </c>
      <c r="G11" s="197">
        <v>91300</v>
      </c>
      <c r="H11" s="196">
        <v>600</v>
      </c>
      <c r="I11" s="197">
        <v>30</v>
      </c>
      <c r="J11" s="268">
        <f t="shared" si="1"/>
        <v>18000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45631</v>
      </c>
      <c r="D12" s="196" t="s">
        <v>23</v>
      </c>
      <c r="E12" s="196" t="s">
        <v>24</v>
      </c>
      <c r="F12" s="197">
        <v>76970</v>
      </c>
      <c r="G12" s="197">
        <v>76870</v>
      </c>
      <c r="H12" s="196">
        <v>100</v>
      </c>
      <c r="I12" s="197">
        <v>100</v>
      </c>
      <c r="J12" s="268">
        <f t="shared" si="1"/>
        <v>10000</v>
      </c>
      <c r="K12" s="185"/>
      <c r="M12" s="362" t="s">
        <v>960</v>
      </c>
      <c r="N12" s="347">
        <f>COUNT(C180:C202)</f>
        <v>4</v>
      </c>
      <c r="O12" s="348">
        <f>V203</f>
        <v>4</v>
      </c>
      <c r="P12" s="348">
        <f>W203</f>
        <v>0</v>
      </c>
      <c r="Q12" s="349">
        <v>0</v>
      </c>
      <c r="R12" s="345">
        <f>O12/N12</f>
        <v>1</v>
      </c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45631</v>
      </c>
      <c r="D13" s="196" t="s">
        <v>23</v>
      </c>
      <c r="E13" s="196" t="s">
        <v>22</v>
      </c>
      <c r="F13" s="197">
        <v>92900</v>
      </c>
      <c r="G13" s="197">
        <v>93200</v>
      </c>
      <c r="H13" s="196">
        <v>-300</v>
      </c>
      <c r="I13" s="197">
        <v>30</v>
      </c>
      <c r="J13" s="268">
        <f t="shared" si="1"/>
        <v>-9000</v>
      </c>
      <c r="K13" s="185"/>
      <c r="M13" s="362"/>
      <c r="N13" s="347"/>
      <c r="O13" s="348"/>
      <c r="P13" s="348"/>
      <c r="Q13" s="350"/>
      <c r="R13" s="345"/>
      <c r="V13" s="183">
        <f t="shared" si="2"/>
        <v>0</v>
      </c>
      <c r="W13" s="183">
        <f t="shared" si="3"/>
        <v>1</v>
      </c>
    </row>
    <row r="14" spans="1:23" x14ac:dyDescent="0.3">
      <c r="A14" s="184"/>
      <c r="B14" s="194">
        <v>9</v>
      </c>
      <c r="C14" s="195">
        <v>45632</v>
      </c>
      <c r="D14" s="196" t="s">
        <v>16</v>
      </c>
      <c r="E14" s="196" t="s">
        <v>24</v>
      </c>
      <c r="F14" s="197">
        <v>76700</v>
      </c>
      <c r="G14" s="197">
        <v>76800</v>
      </c>
      <c r="H14" s="196">
        <v>100</v>
      </c>
      <c r="I14" s="197">
        <v>100</v>
      </c>
      <c r="J14" s="268">
        <f t="shared" si="1"/>
        <v>10000</v>
      </c>
      <c r="K14" s="185"/>
      <c r="M14" s="364" t="s">
        <v>959</v>
      </c>
      <c r="N14" s="347">
        <f>COUNT(C211:C233)</f>
        <v>1</v>
      </c>
      <c r="O14" s="348">
        <f>V234</f>
        <v>1</v>
      </c>
      <c r="P14" s="348">
        <f>W234</f>
        <v>0</v>
      </c>
      <c r="Q14" s="349">
        <f>N14-O14-P14</f>
        <v>0</v>
      </c>
      <c r="R14" s="345">
        <f>O14/N14</f>
        <v>1</v>
      </c>
      <c r="V14" s="183">
        <f t="shared" si="2"/>
        <v>1</v>
      </c>
      <c r="W14" s="183">
        <f t="shared" si="3"/>
        <v>0</v>
      </c>
    </row>
    <row r="15" spans="1:23" ht="15" thickBot="1" x14ac:dyDescent="0.35">
      <c r="A15" s="184"/>
      <c r="B15" s="194">
        <v>10</v>
      </c>
      <c r="C15" s="195">
        <v>45632</v>
      </c>
      <c r="D15" s="196" t="s">
        <v>16</v>
      </c>
      <c r="E15" s="196" t="s">
        <v>22</v>
      </c>
      <c r="F15" s="197">
        <v>93000</v>
      </c>
      <c r="G15" s="197">
        <v>92700</v>
      </c>
      <c r="H15" s="196">
        <v>-300</v>
      </c>
      <c r="I15" s="197">
        <v>30</v>
      </c>
      <c r="J15" s="268">
        <f t="shared" si="1"/>
        <v>-9000</v>
      </c>
      <c r="K15" s="185"/>
      <c r="M15" s="365"/>
      <c r="N15" s="347"/>
      <c r="O15" s="348"/>
      <c r="P15" s="348"/>
      <c r="Q15" s="350"/>
      <c r="R15" s="345"/>
      <c r="V15" s="183">
        <f t="shared" si="2"/>
        <v>0</v>
      </c>
      <c r="W15" s="183">
        <f t="shared" si="3"/>
        <v>1</v>
      </c>
    </row>
    <row r="16" spans="1:23" x14ac:dyDescent="0.3">
      <c r="A16" s="184"/>
      <c r="B16" s="194">
        <v>11</v>
      </c>
      <c r="C16" s="195">
        <v>45635</v>
      </c>
      <c r="D16" s="196" t="s">
        <v>23</v>
      </c>
      <c r="E16" s="196" t="s">
        <v>24</v>
      </c>
      <c r="F16" s="197">
        <v>77100</v>
      </c>
      <c r="G16" s="197">
        <v>77200</v>
      </c>
      <c r="H16" s="196">
        <v>-100</v>
      </c>
      <c r="I16" s="197">
        <v>100</v>
      </c>
      <c r="J16" s="268">
        <f t="shared" si="1"/>
        <v>-10000</v>
      </c>
      <c r="K16" s="185"/>
      <c r="M16" s="319" t="s">
        <v>300</v>
      </c>
      <c r="N16" s="371">
        <f>SUM(N4:N11)</f>
        <v>126</v>
      </c>
      <c r="O16" s="371">
        <f>SUM(O4:O11)</f>
        <v>104</v>
      </c>
      <c r="P16" s="371">
        <f>SUM(P4:P11)</f>
        <v>25</v>
      </c>
      <c r="Q16" s="371">
        <f>SUM(Q4:Q11)</f>
        <v>0</v>
      </c>
      <c r="R16" s="343">
        <f>O16/N16</f>
        <v>0.82539682539682535</v>
      </c>
      <c r="V16" s="183">
        <f t="shared" si="2"/>
        <v>0</v>
      </c>
      <c r="W16" s="183">
        <f t="shared" si="3"/>
        <v>1</v>
      </c>
    </row>
    <row r="17" spans="1:23" ht="15" thickBot="1" x14ac:dyDescent="0.35">
      <c r="A17" s="184"/>
      <c r="B17" s="194">
        <v>12</v>
      </c>
      <c r="C17" s="195">
        <v>45635</v>
      </c>
      <c r="D17" s="196" t="s">
        <v>23</v>
      </c>
      <c r="E17" s="196" t="s">
        <v>22</v>
      </c>
      <c r="F17" s="197">
        <v>93300</v>
      </c>
      <c r="G17" s="197">
        <v>93600</v>
      </c>
      <c r="H17" s="196">
        <v>-300</v>
      </c>
      <c r="I17" s="197">
        <v>30</v>
      </c>
      <c r="J17" s="268">
        <f t="shared" si="1"/>
        <v>-9000</v>
      </c>
      <c r="K17" s="185"/>
      <c r="M17" s="320"/>
      <c r="N17" s="372"/>
      <c r="O17" s="372"/>
      <c r="P17" s="372"/>
      <c r="Q17" s="372"/>
      <c r="R17" s="344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45636</v>
      </c>
      <c r="D18" s="196" t="s">
        <v>23</v>
      </c>
      <c r="E18" s="196" t="s">
        <v>24</v>
      </c>
      <c r="F18" s="197">
        <v>77500</v>
      </c>
      <c r="G18" s="197">
        <v>77445</v>
      </c>
      <c r="H18" s="196">
        <f>77500-77445</f>
        <v>55</v>
      </c>
      <c r="I18" s="197">
        <v>100</v>
      </c>
      <c r="J18" s="268">
        <f t="shared" si="1"/>
        <v>5500</v>
      </c>
      <c r="K18" s="185"/>
      <c r="M18" s="323" t="s">
        <v>878</v>
      </c>
      <c r="N18" s="324"/>
      <c r="O18" s="325"/>
      <c r="P18" s="332">
        <f>R16</f>
        <v>0.82539682539682535</v>
      </c>
      <c r="Q18" s="333"/>
      <c r="R18" s="334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45636</v>
      </c>
      <c r="D19" s="196" t="s">
        <v>23</v>
      </c>
      <c r="E19" s="196" t="s">
        <v>22</v>
      </c>
      <c r="F19" s="197">
        <v>94800</v>
      </c>
      <c r="G19" s="197">
        <v>94650</v>
      </c>
      <c r="H19" s="196">
        <f>94800-94650</f>
        <v>150</v>
      </c>
      <c r="I19" s="197">
        <v>30</v>
      </c>
      <c r="J19" s="268">
        <f t="shared" si="1"/>
        <v>4500</v>
      </c>
      <c r="K19" s="185"/>
      <c r="M19" s="326"/>
      <c r="N19" s="327"/>
      <c r="O19" s="328"/>
      <c r="P19" s="335"/>
      <c r="Q19" s="336"/>
      <c r="R19" s="337"/>
      <c r="V19" s="183">
        <f t="shared" si="2"/>
        <v>1</v>
      </c>
      <c r="W19" s="183">
        <f t="shared" si="3"/>
        <v>0</v>
      </c>
    </row>
    <row r="20" spans="1:23" ht="15" thickBot="1" x14ac:dyDescent="0.35">
      <c r="A20" s="184"/>
      <c r="B20" s="194">
        <v>15</v>
      </c>
      <c r="C20" s="195">
        <v>45637</v>
      </c>
      <c r="D20" s="196" t="s">
        <v>23</v>
      </c>
      <c r="E20" s="196" t="s">
        <v>24</v>
      </c>
      <c r="F20" s="197">
        <v>78400</v>
      </c>
      <c r="G20" s="197">
        <v>78200</v>
      </c>
      <c r="H20" s="196">
        <v>300</v>
      </c>
      <c r="I20" s="197">
        <v>100</v>
      </c>
      <c r="J20" s="268">
        <f t="shared" si="1"/>
        <v>30000</v>
      </c>
      <c r="K20" s="185"/>
      <c r="M20" s="329"/>
      <c r="N20" s="330"/>
      <c r="O20" s="331"/>
      <c r="P20" s="338"/>
      <c r="Q20" s="339"/>
      <c r="R20" s="340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45637</v>
      </c>
      <c r="D21" s="196" t="s">
        <v>23</v>
      </c>
      <c r="E21" s="196" t="s">
        <v>22</v>
      </c>
      <c r="F21" s="197">
        <v>95100</v>
      </c>
      <c r="G21" s="197">
        <v>94800</v>
      </c>
      <c r="H21" s="196">
        <v>200</v>
      </c>
      <c r="I21" s="197">
        <v>30</v>
      </c>
      <c r="J21" s="268">
        <f t="shared" si="1"/>
        <v>6000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45638</v>
      </c>
      <c r="D22" s="196" t="s">
        <v>23</v>
      </c>
      <c r="E22" s="196" t="s">
        <v>24</v>
      </c>
      <c r="F22" s="197">
        <v>79000</v>
      </c>
      <c r="G22" s="197">
        <v>78800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45638</v>
      </c>
      <c r="D23" s="196" t="s">
        <v>23</v>
      </c>
      <c r="E23" s="196" t="s">
        <v>22</v>
      </c>
      <c r="F23" s="197">
        <v>96400</v>
      </c>
      <c r="G23" s="197">
        <v>95930</v>
      </c>
      <c r="H23" s="196">
        <v>470</v>
      </c>
      <c r="I23" s="197">
        <v>30</v>
      </c>
      <c r="J23" s="268">
        <f t="shared" si="1"/>
        <v>14100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45639</v>
      </c>
      <c r="D24" s="196" t="s">
        <v>23</v>
      </c>
      <c r="E24" s="196" t="s">
        <v>24</v>
      </c>
      <c r="F24" s="197">
        <v>77600</v>
      </c>
      <c r="G24" s="197">
        <v>77400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45639</v>
      </c>
      <c r="D25" s="196" t="s">
        <v>23</v>
      </c>
      <c r="E25" s="196" t="s">
        <v>22</v>
      </c>
      <c r="F25" s="197">
        <v>91900</v>
      </c>
      <c r="G25" s="197">
        <v>91400</v>
      </c>
      <c r="H25" s="196">
        <v>500</v>
      </c>
      <c r="I25" s="197">
        <v>30</v>
      </c>
      <c r="J25" s="268">
        <f t="shared" si="1"/>
        <v>15000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45642</v>
      </c>
      <c r="D26" s="196" t="s">
        <v>23</v>
      </c>
      <c r="E26" s="196" t="s">
        <v>24</v>
      </c>
      <c r="F26" s="197">
        <v>77200</v>
      </c>
      <c r="G26" s="197">
        <v>77145</v>
      </c>
      <c r="H26" s="196">
        <f>77200-77145</f>
        <v>55</v>
      </c>
      <c r="I26" s="197">
        <v>100</v>
      </c>
      <c r="J26" s="268">
        <f t="shared" si="1"/>
        <v>5500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45642</v>
      </c>
      <c r="D27" s="196" t="s">
        <v>23</v>
      </c>
      <c r="E27" s="196" t="s">
        <v>22</v>
      </c>
      <c r="F27" s="197">
        <v>91400</v>
      </c>
      <c r="G27" s="197">
        <v>91200</v>
      </c>
      <c r="H27" s="196"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ht="14.4" customHeight="1" x14ac:dyDescent="0.3">
      <c r="A28" s="184"/>
      <c r="B28" s="194">
        <v>23</v>
      </c>
      <c r="C28" s="195">
        <v>45643</v>
      </c>
      <c r="D28" s="196" t="s">
        <v>23</v>
      </c>
      <c r="E28" s="196" t="s">
        <v>24</v>
      </c>
      <c r="F28" s="197">
        <v>77050</v>
      </c>
      <c r="G28" s="197">
        <v>76850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ht="14.4" customHeight="1" x14ac:dyDescent="0.3">
      <c r="A29" s="184"/>
      <c r="B29" s="194">
        <v>24</v>
      </c>
      <c r="C29" s="195">
        <v>45643</v>
      </c>
      <c r="D29" s="196" t="s">
        <v>23</v>
      </c>
      <c r="E29" s="196" t="s">
        <v>22</v>
      </c>
      <c r="F29" s="197">
        <v>90800</v>
      </c>
      <c r="G29" s="197">
        <v>90200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ht="15" customHeight="1" x14ac:dyDescent="0.3">
      <c r="A30" s="184"/>
      <c r="B30" s="194">
        <v>25</v>
      </c>
      <c r="C30" s="195">
        <v>45644</v>
      </c>
      <c r="D30" s="196" t="s">
        <v>23</v>
      </c>
      <c r="E30" s="196" t="s">
        <v>24</v>
      </c>
      <c r="F30" s="197">
        <v>76800</v>
      </c>
      <c r="G30" s="197">
        <v>76900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45644</v>
      </c>
      <c r="D31" s="196" t="s">
        <v>23</v>
      </c>
      <c r="E31" s="196" t="s">
        <v>22</v>
      </c>
      <c r="F31" s="197">
        <v>90600</v>
      </c>
      <c r="G31" s="197">
        <v>90900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45645</v>
      </c>
      <c r="D32" s="196" t="s">
        <v>23</v>
      </c>
      <c r="E32" s="196" t="s">
        <v>24</v>
      </c>
      <c r="F32" s="197">
        <v>76230</v>
      </c>
      <c r="G32" s="197">
        <v>76180</v>
      </c>
      <c r="H32" s="196">
        <f>76230-76180</f>
        <v>50</v>
      </c>
      <c r="I32" s="197">
        <v>100</v>
      </c>
      <c r="J32" s="268">
        <f t="shared" si="1"/>
        <v>5000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45645</v>
      </c>
      <c r="D33" s="196" t="s">
        <v>23</v>
      </c>
      <c r="E33" s="196" t="s">
        <v>22</v>
      </c>
      <c r="F33" s="197">
        <v>88600</v>
      </c>
      <c r="G33" s="197">
        <v>88000</v>
      </c>
      <c r="H33" s="196">
        <f>88000-88600</f>
        <v>-600</v>
      </c>
      <c r="I33" s="197">
        <v>30</v>
      </c>
      <c r="J33" s="268">
        <f t="shared" si="1"/>
        <v>-18000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45646</v>
      </c>
      <c r="D34" s="196" t="s">
        <v>23</v>
      </c>
      <c r="E34" s="196" t="s">
        <v>24</v>
      </c>
      <c r="F34" s="197">
        <v>75800</v>
      </c>
      <c r="G34" s="197">
        <v>75700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45646</v>
      </c>
      <c r="D35" s="196" t="s">
        <v>23</v>
      </c>
      <c r="E35" s="196" t="s">
        <v>22</v>
      </c>
      <c r="F35" s="197">
        <v>87000</v>
      </c>
      <c r="G35" s="197">
        <v>86570</v>
      </c>
      <c r="H35" s="196">
        <f>87000-86570</f>
        <v>430</v>
      </c>
      <c r="I35" s="197">
        <v>30</v>
      </c>
      <c r="J35" s="268">
        <f t="shared" si="1"/>
        <v>12900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45649</v>
      </c>
      <c r="D36" s="196" t="s">
        <v>23</v>
      </c>
      <c r="E36" s="196" t="s">
        <v>24</v>
      </c>
      <c r="F36" s="197">
        <v>76530</v>
      </c>
      <c r="G36" s="197">
        <v>76330</v>
      </c>
      <c r="H36" s="196">
        <f>76530-76330</f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45649</v>
      </c>
      <c r="D37" s="196" t="s">
        <v>23</v>
      </c>
      <c r="E37" s="196" t="s">
        <v>22</v>
      </c>
      <c r="F37" s="197">
        <v>89300</v>
      </c>
      <c r="G37" s="197">
        <v>88700</v>
      </c>
      <c r="H37" s="196">
        <f>89300-88700</f>
        <v>600</v>
      </c>
      <c r="I37" s="197">
        <v>30</v>
      </c>
      <c r="J37" s="268">
        <f t="shared" si="1"/>
        <v>18000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45650</v>
      </c>
      <c r="D38" s="196" t="s">
        <v>23</v>
      </c>
      <c r="E38" s="196" t="s">
        <v>24</v>
      </c>
      <c r="F38" s="197">
        <v>76280</v>
      </c>
      <c r="G38" s="197">
        <v>76180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45650</v>
      </c>
      <c r="D39" s="196" t="s">
        <v>23</v>
      </c>
      <c r="E39" s="196" t="s">
        <v>22</v>
      </c>
      <c r="F39" s="197">
        <v>89300</v>
      </c>
      <c r="G39" s="197">
        <v>89000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45652</v>
      </c>
      <c r="D40" s="196" t="s">
        <v>23</v>
      </c>
      <c r="E40" s="196" t="s">
        <v>24</v>
      </c>
      <c r="F40" s="197">
        <v>76600</v>
      </c>
      <c r="G40" s="197">
        <v>76520</v>
      </c>
      <c r="H40" s="196">
        <f>76600-76520</f>
        <v>80</v>
      </c>
      <c r="I40" s="197">
        <v>100</v>
      </c>
      <c r="J40" s="268">
        <f t="shared" si="1"/>
        <v>8000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45652</v>
      </c>
      <c r="D41" s="196" t="s">
        <v>23</v>
      </c>
      <c r="E41" s="196" t="s">
        <v>22</v>
      </c>
      <c r="F41" s="197">
        <v>89400</v>
      </c>
      <c r="G41" s="197">
        <v>89700</v>
      </c>
      <c r="H41" s="196">
        <v>-300</v>
      </c>
      <c r="I41" s="197">
        <v>30</v>
      </c>
      <c r="J41" s="268">
        <f t="shared" si="1"/>
        <v>-9000</v>
      </c>
      <c r="K41" s="185"/>
      <c r="V41" s="183">
        <f t="shared" si="2"/>
        <v>0</v>
      </c>
      <c r="W41" s="183">
        <f t="shared" si="3"/>
        <v>1</v>
      </c>
    </row>
    <row r="42" spans="1:23" x14ac:dyDescent="0.3">
      <c r="A42" s="184"/>
      <c r="B42" s="194">
        <v>37</v>
      </c>
      <c r="C42" s="195">
        <v>45653</v>
      </c>
      <c r="D42" s="196" t="s">
        <v>23</v>
      </c>
      <c r="E42" s="196" t="s">
        <v>24</v>
      </c>
      <c r="F42" s="197">
        <v>76870</v>
      </c>
      <c r="G42" s="197">
        <v>76770</v>
      </c>
      <c r="H42" s="196">
        <v>100</v>
      </c>
      <c r="I42" s="197">
        <v>100</v>
      </c>
      <c r="J42" s="268">
        <f t="shared" si="1"/>
        <v>10000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45653</v>
      </c>
      <c r="D43" s="196" t="s">
        <v>23</v>
      </c>
      <c r="E43" s="196" t="s">
        <v>22</v>
      </c>
      <c r="F43" s="197">
        <v>89800</v>
      </c>
      <c r="G43" s="197">
        <v>89500</v>
      </c>
      <c r="H43" s="196">
        <v>300</v>
      </c>
      <c r="I43" s="197">
        <v>30</v>
      </c>
      <c r="J43" s="268">
        <f t="shared" si="1"/>
        <v>9000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45656</v>
      </c>
      <c r="D44" s="196" t="s">
        <v>23</v>
      </c>
      <c r="E44" s="196" t="s">
        <v>24</v>
      </c>
      <c r="F44" s="197">
        <v>76520</v>
      </c>
      <c r="G44" s="197">
        <v>76320</v>
      </c>
      <c r="H44" s="196">
        <v>200</v>
      </c>
      <c r="I44" s="197">
        <v>100</v>
      </c>
      <c r="J44" s="268">
        <f t="shared" si="1"/>
        <v>20000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45656</v>
      </c>
      <c r="D45" s="196" t="s">
        <v>23</v>
      </c>
      <c r="E45" s="196" t="s">
        <v>22</v>
      </c>
      <c r="F45" s="197">
        <v>89000</v>
      </c>
      <c r="G45" s="197">
        <v>88700</v>
      </c>
      <c r="H45" s="196">
        <f>89000-88700</f>
        <v>300</v>
      </c>
      <c r="I45" s="197">
        <v>30</v>
      </c>
      <c r="J45" s="268">
        <f t="shared" si="1"/>
        <v>9000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45657</v>
      </c>
      <c r="D46" s="196" t="s">
        <v>23</v>
      </c>
      <c r="E46" s="196" t="s">
        <v>24</v>
      </c>
      <c r="F46" s="197">
        <v>76540</v>
      </c>
      <c r="G46" s="197">
        <v>76460</v>
      </c>
      <c r="H46" s="196">
        <f>76540-76460</f>
        <v>80</v>
      </c>
      <c r="I46" s="197">
        <v>100</v>
      </c>
      <c r="J46" s="268">
        <f t="shared" si="1"/>
        <v>8000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45657</v>
      </c>
      <c r="D47" s="196" t="s">
        <v>23</v>
      </c>
      <c r="E47" s="196" t="s">
        <v>22</v>
      </c>
      <c r="F47" s="197">
        <v>87600</v>
      </c>
      <c r="G47" s="197">
        <v>87450</v>
      </c>
      <c r="H47" s="196">
        <f>87600-87450</f>
        <v>150</v>
      </c>
      <c r="I47" s="197">
        <v>30</v>
      </c>
      <c r="J47" s="268">
        <f t="shared" si="1"/>
        <v>4500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247600</v>
      </c>
      <c r="K52" s="185"/>
      <c r="V52" s="183">
        <f>SUM(V6:V51)</f>
        <v>31</v>
      </c>
      <c r="W52" s="183">
        <f>SUM(W6:W51)</f>
        <v>11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45627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45628</v>
      </c>
      <c r="D60" s="192" t="s">
        <v>23</v>
      </c>
      <c r="E60" s="192" t="s">
        <v>25</v>
      </c>
      <c r="F60" s="193">
        <v>5840</v>
      </c>
      <c r="G60" s="193">
        <v>5770</v>
      </c>
      <c r="H60" s="192">
        <f>5840-5770</f>
        <v>70</v>
      </c>
      <c r="I60" s="193">
        <v>100</v>
      </c>
      <c r="J60" s="267">
        <f t="shared" ref="J60:J103" si="4">I60*H60</f>
        <v>7000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45628</v>
      </c>
      <c r="D61" s="196" t="s">
        <v>16</v>
      </c>
      <c r="E61" s="196" t="s">
        <v>939</v>
      </c>
      <c r="F61" s="222">
        <v>269</v>
      </c>
      <c r="G61" s="222">
        <v>275</v>
      </c>
      <c r="H61" s="222">
        <f>275-269</f>
        <v>6</v>
      </c>
      <c r="I61" s="197">
        <v>2500</v>
      </c>
      <c r="J61" s="268">
        <f t="shared" si="4"/>
        <v>15000</v>
      </c>
      <c r="K61" s="185"/>
      <c r="V61" s="183">
        <f t="shared" ref="V61:V103" si="5">IF($J61&gt;0,1,0)</f>
        <v>1</v>
      </c>
      <c r="W61" s="183">
        <f t="shared" ref="W61:W103" si="6">IF($J61&lt;0,1,0)</f>
        <v>0</v>
      </c>
    </row>
    <row r="62" spans="1:23" x14ac:dyDescent="0.3">
      <c r="A62" s="184"/>
      <c r="B62" s="194">
        <v>3</v>
      </c>
      <c r="C62" s="195">
        <v>45629</v>
      </c>
      <c r="D62" s="196" t="s">
        <v>23</v>
      </c>
      <c r="E62" s="196" t="s">
        <v>25</v>
      </c>
      <c r="F62" s="197">
        <v>5840</v>
      </c>
      <c r="G62" s="197">
        <v>5830</v>
      </c>
      <c r="H62" s="222">
        <v>10</v>
      </c>
      <c r="I62" s="197">
        <v>100</v>
      </c>
      <c r="J62" s="268">
        <f t="shared" si="4"/>
        <v>1000</v>
      </c>
      <c r="K62" s="185"/>
      <c r="V62" s="183">
        <f t="shared" si="5"/>
        <v>1</v>
      </c>
      <c r="W62" s="183">
        <f t="shared" si="6"/>
        <v>0</v>
      </c>
    </row>
    <row r="63" spans="1:23" x14ac:dyDescent="0.3">
      <c r="A63" s="184"/>
      <c r="B63" s="194">
        <v>4</v>
      </c>
      <c r="C63" s="195">
        <v>45629</v>
      </c>
      <c r="D63" s="196" t="s">
        <v>23</v>
      </c>
      <c r="E63" s="196" t="s">
        <v>939</v>
      </c>
      <c r="F63" s="222">
        <v>271</v>
      </c>
      <c r="G63" s="222">
        <v>265</v>
      </c>
      <c r="H63" s="222">
        <f>271-265</f>
        <v>6</v>
      </c>
      <c r="I63" s="197">
        <v>2500</v>
      </c>
      <c r="J63" s="268">
        <f t="shared" si="4"/>
        <v>15000</v>
      </c>
      <c r="K63" s="185"/>
      <c r="V63" s="183">
        <f t="shared" si="5"/>
        <v>1</v>
      </c>
      <c r="W63" s="183">
        <f t="shared" si="6"/>
        <v>0</v>
      </c>
    </row>
    <row r="64" spans="1:23" x14ac:dyDescent="0.3">
      <c r="A64" s="184"/>
      <c r="B64" s="194">
        <v>5</v>
      </c>
      <c r="C64" s="195">
        <v>45630</v>
      </c>
      <c r="D64" s="196" t="s">
        <v>23</v>
      </c>
      <c r="E64" s="196" t="s">
        <v>25</v>
      </c>
      <c r="F64" s="197">
        <v>5980</v>
      </c>
      <c r="G64" s="197">
        <v>5940</v>
      </c>
      <c r="H64" s="196">
        <v>40</v>
      </c>
      <c r="I64" s="197">
        <v>100</v>
      </c>
      <c r="J64" s="268">
        <f t="shared" si="4"/>
        <v>4000</v>
      </c>
      <c r="K64" s="185"/>
      <c r="V64" s="183">
        <f t="shared" si="5"/>
        <v>1</v>
      </c>
      <c r="W64" s="183">
        <f t="shared" si="6"/>
        <v>0</v>
      </c>
    </row>
    <row r="65" spans="1:23" x14ac:dyDescent="0.3">
      <c r="A65" s="184"/>
      <c r="B65" s="194">
        <v>6</v>
      </c>
      <c r="C65" s="195">
        <v>45630</v>
      </c>
      <c r="D65" s="196" t="s">
        <v>23</v>
      </c>
      <c r="E65" s="196" t="s">
        <v>939</v>
      </c>
      <c r="F65" s="222">
        <v>258</v>
      </c>
      <c r="G65" s="222">
        <v>254</v>
      </c>
      <c r="H65" s="196">
        <v>4</v>
      </c>
      <c r="I65" s="197">
        <v>2500</v>
      </c>
      <c r="J65" s="268">
        <f t="shared" si="4"/>
        <v>10000</v>
      </c>
      <c r="K65" s="185"/>
      <c r="V65" s="183">
        <f t="shared" si="5"/>
        <v>1</v>
      </c>
      <c r="W65" s="183">
        <f t="shared" si="6"/>
        <v>0</v>
      </c>
    </row>
    <row r="66" spans="1:23" x14ac:dyDescent="0.3">
      <c r="A66" s="184"/>
      <c r="B66" s="194">
        <v>7</v>
      </c>
      <c r="C66" s="195">
        <v>45631</v>
      </c>
      <c r="D66" s="196" t="s">
        <v>16</v>
      </c>
      <c r="E66" s="196" t="s">
        <v>25</v>
      </c>
      <c r="F66" s="222">
        <v>5830</v>
      </c>
      <c r="G66" s="222">
        <v>5860</v>
      </c>
      <c r="H66" s="196">
        <v>30</v>
      </c>
      <c r="I66" s="197">
        <v>100</v>
      </c>
      <c r="J66" s="268">
        <f t="shared" si="4"/>
        <v>3000</v>
      </c>
      <c r="K66" s="185"/>
      <c r="V66" s="183">
        <f t="shared" si="5"/>
        <v>1</v>
      </c>
      <c r="W66" s="183">
        <f t="shared" si="6"/>
        <v>0</v>
      </c>
    </row>
    <row r="67" spans="1:23" x14ac:dyDescent="0.3">
      <c r="A67" s="184"/>
      <c r="B67" s="194">
        <v>8</v>
      </c>
      <c r="C67" s="195">
        <v>45631</v>
      </c>
      <c r="D67" s="196" t="s">
        <v>16</v>
      </c>
      <c r="E67" s="196" t="s">
        <v>939</v>
      </c>
      <c r="F67" s="222">
        <v>262.5</v>
      </c>
      <c r="G67" s="222">
        <v>264</v>
      </c>
      <c r="H67" s="222">
        <f>264-262.5</f>
        <v>1.5</v>
      </c>
      <c r="I67" s="197">
        <v>2500</v>
      </c>
      <c r="J67" s="268">
        <f t="shared" si="4"/>
        <v>3750</v>
      </c>
      <c r="K67" s="185"/>
      <c r="V67" s="183">
        <f t="shared" si="5"/>
        <v>1</v>
      </c>
      <c r="W67" s="183">
        <f t="shared" si="6"/>
        <v>0</v>
      </c>
    </row>
    <row r="68" spans="1:23" x14ac:dyDescent="0.3">
      <c r="A68" s="184"/>
      <c r="B68" s="194">
        <v>9</v>
      </c>
      <c r="C68" s="195">
        <v>45632</v>
      </c>
      <c r="D68" s="196" t="s">
        <v>23</v>
      </c>
      <c r="E68" s="196" t="s">
        <v>25</v>
      </c>
      <c r="F68" s="197">
        <v>5800</v>
      </c>
      <c r="G68" s="197">
        <v>5740</v>
      </c>
      <c r="H68" s="196">
        <f>5800-5740</f>
        <v>60</v>
      </c>
      <c r="I68" s="197">
        <v>100</v>
      </c>
      <c r="J68" s="268">
        <f t="shared" si="4"/>
        <v>6000</v>
      </c>
      <c r="K68" s="185"/>
      <c r="V68" s="183">
        <f t="shared" si="5"/>
        <v>1</v>
      </c>
      <c r="W68" s="183">
        <f t="shared" si="6"/>
        <v>0</v>
      </c>
    </row>
    <row r="69" spans="1:23" x14ac:dyDescent="0.3">
      <c r="A69" s="184"/>
      <c r="B69" s="194">
        <v>10</v>
      </c>
      <c r="C69" s="195">
        <v>45632</v>
      </c>
      <c r="D69" s="196" t="s">
        <v>23</v>
      </c>
      <c r="E69" s="196" t="s">
        <v>939</v>
      </c>
      <c r="F69" s="222">
        <v>259</v>
      </c>
      <c r="G69" s="222">
        <v>255</v>
      </c>
      <c r="H69" s="222">
        <v>4</v>
      </c>
      <c r="I69" s="197">
        <v>2</v>
      </c>
      <c r="J69" s="268">
        <f t="shared" si="4"/>
        <v>8</v>
      </c>
      <c r="K69" s="185"/>
      <c r="V69" s="183">
        <f t="shared" si="5"/>
        <v>1</v>
      </c>
      <c r="W69" s="183">
        <f t="shared" si="6"/>
        <v>0</v>
      </c>
    </row>
    <row r="70" spans="1:23" x14ac:dyDescent="0.3">
      <c r="A70" s="184"/>
      <c r="B70" s="194">
        <v>11</v>
      </c>
      <c r="C70" s="195">
        <v>45635</v>
      </c>
      <c r="D70" s="196" t="s">
        <v>23</v>
      </c>
      <c r="E70" s="196" t="s">
        <v>25</v>
      </c>
      <c r="F70" s="197">
        <v>5770</v>
      </c>
      <c r="G70" s="222">
        <v>5810</v>
      </c>
      <c r="H70" s="196">
        <v>-40</v>
      </c>
      <c r="I70" s="197">
        <v>100</v>
      </c>
      <c r="J70" s="268">
        <f t="shared" si="4"/>
        <v>-4000</v>
      </c>
      <c r="K70" s="185"/>
      <c r="V70" s="183">
        <f t="shared" si="5"/>
        <v>0</v>
      </c>
      <c r="W70" s="183">
        <f t="shared" si="6"/>
        <v>1</v>
      </c>
    </row>
    <row r="71" spans="1:23" x14ac:dyDescent="0.3">
      <c r="A71" s="184"/>
      <c r="B71" s="194">
        <v>12</v>
      </c>
      <c r="C71" s="195">
        <v>45635</v>
      </c>
      <c r="D71" s="196" t="s">
        <v>23</v>
      </c>
      <c r="E71" s="196" t="s">
        <v>939</v>
      </c>
      <c r="F71" s="222">
        <v>275</v>
      </c>
      <c r="G71" s="222">
        <v>269</v>
      </c>
      <c r="H71" s="222">
        <f>275-269</f>
        <v>6</v>
      </c>
      <c r="I71" s="197">
        <v>2500</v>
      </c>
      <c r="J71" s="268">
        <f t="shared" si="4"/>
        <v>15000</v>
      </c>
      <c r="K71" s="185"/>
      <c r="V71" s="183">
        <f t="shared" si="5"/>
        <v>1</v>
      </c>
      <c r="W71" s="183">
        <f t="shared" si="6"/>
        <v>0</v>
      </c>
    </row>
    <row r="72" spans="1:23" x14ac:dyDescent="0.3">
      <c r="A72" s="184"/>
      <c r="B72" s="194">
        <v>13</v>
      </c>
      <c r="C72" s="195">
        <v>45636</v>
      </c>
      <c r="D72" s="196" t="s">
        <v>23</v>
      </c>
      <c r="E72" s="196" t="s">
        <v>25</v>
      </c>
      <c r="F72" s="197">
        <v>5210</v>
      </c>
      <c r="G72" s="222">
        <v>5759</v>
      </c>
      <c r="H72" s="196">
        <v>649</v>
      </c>
      <c r="I72" s="197">
        <v>100</v>
      </c>
      <c r="J72" s="268">
        <f t="shared" si="4"/>
        <v>64900</v>
      </c>
      <c r="K72" s="185"/>
      <c r="V72" s="183">
        <f t="shared" si="5"/>
        <v>1</v>
      </c>
      <c r="W72" s="183">
        <f t="shared" si="6"/>
        <v>0</v>
      </c>
    </row>
    <row r="73" spans="1:23" x14ac:dyDescent="0.3">
      <c r="A73" s="184"/>
      <c r="B73" s="194">
        <v>14</v>
      </c>
      <c r="C73" s="195">
        <v>45636</v>
      </c>
      <c r="D73" s="196" t="s">
        <v>23</v>
      </c>
      <c r="E73" s="196" t="s">
        <v>939</v>
      </c>
      <c r="F73" s="222">
        <v>269</v>
      </c>
      <c r="G73" s="222">
        <v>263.8</v>
      </c>
      <c r="H73" s="196">
        <f>269-263.8</f>
        <v>5.1999999999999886</v>
      </c>
      <c r="I73" s="197">
        <v>2500</v>
      </c>
      <c r="J73" s="268">
        <f t="shared" si="4"/>
        <v>12999.999999999971</v>
      </c>
      <c r="K73" s="185"/>
      <c r="V73" s="183">
        <f t="shared" si="5"/>
        <v>1</v>
      </c>
      <c r="W73" s="183">
        <f t="shared" si="6"/>
        <v>0</v>
      </c>
    </row>
    <row r="74" spans="1:23" x14ac:dyDescent="0.3">
      <c r="A74" s="184"/>
      <c r="B74" s="194">
        <v>15</v>
      </c>
      <c r="C74" s="195">
        <v>45637</v>
      </c>
      <c r="D74" s="196" t="s">
        <v>23</v>
      </c>
      <c r="E74" s="196" t="s">
        <v>25</v>
      </c>
      <c r="F74" s="197">
        <v>5890</v>
      </c>
      <c r="G74" s="222">
        <v>5875</v>
      </c>
      <c r="H74" s="196">
        <f>5890-5875</f>
        <v>15</v>
      </c>
      <c r="I74" s="197">
        <v>100</v>
      </c>
      <c r="J74" s="268">
        <f t="shared" si="4"/>
        <v>1500</v>
      </c>
      <c r="K74" s="185"/>
      <c r="V74" s="183">
        <f t="shared" si="5"/>
        <v>1</v>
      </c>
      <c r="W74" s="183">
        <f t="shared" si="6"/>
        <v>0</v>
      </c>
    </row>
    <row r="75" spans="1:23" x14ac:dyDescent="0.3">
      <c r="A75" s="184"/>
      <c r="B75" s="194">
        <v>16</v>
      </c>
      <c r="C75" s="195">
        <v>45637</v>
      </c>
      <c r="D75" s="196" t="s">
        <v>23</v>
      </c>
      <c r="E75" s="196" t="s">
        <v>939</v>
      </c>
      <c r="F75" s="222">
        <v>275</v>
      </c>
      <c r="G75" s="222">
        <v>278</v>
      </c>
      <c r="H75" s="196">
        <v>-3</v>
      </c>
      <c r="I75" s="197">
        <v>2500</v>
      </c>
      <c r="J75" s="268">
        <f t="shared" si="4"/>
        <v>-7500</v>
      </c>
      <c r="K75" s="185"/>
      <c r="V75" s="183">
        <f t="shared" si="5"/>
        <v>0</v>
      </c>
      <c r="W75" s="183">
        <f t="shared" si="6"/>
        <v>1</v>
      </c>
    </row>
    <row r="76" spans="1:23" x14ac:dyDescent="0.3">
      <c r="A76" s="184"/>
      <c r="B76" s="194">
        <v>17</v>
      </c>
      <c r="C76" s="195">
        <v>45638</v>
      </c>
      <c r="D76" s="196" t="s">
        <v>23</v>
      </c>
      <c r="E76" s="196" t="s">
        <v>25</v>
      </c>
      <c r="F76" s="197">
        <v>6000</v>
      </c>
      <c r="G76" s="197">
        <v>5960</v>
      </c>
      <c r="H76" s="196">
        <v>40</v>
      </c>
      <c r="I76" s="197">
        <v>100</v>
      </c>
      <c r="J76" s="268">
        <f t="shared" si="4"/>
        <v>4000</v>
      </c>
      <c r="K76" s="185"/>
      <c r="V76" s="183">
        <f t="shared" si="5"/>
        <v>1</v>
      </c>
      <c r="W76" s="183">
        <f t="shared" si="6"/>
        <v>0</v>
      </c>
    </row>
    <row r="77" spans="1:23" x14ac:dyDescent="0.3">
      <c r="A77" s="184"/>
      <c r="B77" s="194">
        <v>18</v>
      </c>
      <c r="C77" s="195">
        <v>45638</v>
      </c>
      <c r="D77" s="196" t="s">
        <v>23</v>
      </c>
      <c r="E77" s="196" t="s">
        <v>939</v>
      </c>
      <c r="F77" s="222">
        <v>285</v>
      </c>
      <c r="G77" s="222">
        <v>283.5</v>
      </c>
      <c r="H77" s="222">
        <v>1.5</v>
      </c>
      <c r="I77" s="197">
        <v>2500</v>
      </c>
      <c r="J77" s="268">
        <f t="shared" si="4"/>
        <v>3750</v>
      </c>
      <c r="K77" s="185"/>
      <c r="V77" s="183">
        <f t="shared" si="5"/>
        <v>1</v>
      </c>
      <c r="W77" s="183">
        <f t="shared" si="6"/>
        <v>0</v>
      </c>
    </row>
    <row r="78" spans="1:23" x14ac:dyDescent="0.3">
      <c r="A78" s="184"/>
      <c r="B78" s="194">
        <v>19</v>
      </c>
      <c r="C78" s="195">
        <v>45639</v>
      </c>
      <c r="D78" s="196" t="s">
        <v>23</v>
      </c>
      <c r="E78" s="196" t="s">
        <v>25</v>
      </c>
      <c r="F78" s="197">
        <v>5950</v>
      </c>
      <c r="G78" s="197">
        <v>5990</v>
      </c>
      <c r="H78" s="196">
        <v>-40</v>
      </c>
      <c r="I78" s="197">
        <v>100</v>
      </c>
      <c r="J78" s="268">
        <f t="shared" si="4"/>
        <v>-4000</v>
      </c>
      <c r="K78" s="185"/>
      <c r="V78" s="183">
        <f t="shared" si="5"/>
        <v>0</v>
      </c>
      <c r="W78" s="183">
        <f t="shared" si="6"/>
        <v>1</v>
      </c>
    </row>
    <row r="79" spans="1:23" x14ac:dyDescent="0.3">
      <c r="A79" s="184"/>
      <c r="B79" s="194">
        <v>20</v>
      </c>
      <c r="C79" s="195">
        <v>45639</v>
      </c>
      <c r="D79" s="196" t="s">
        <v>23</v>
      </c>
      <c r="E79" s="196" t="s">
        <v>939</v>
      </c>
      <c r="F79" s="222">
        <v>294</v>
      </c>
      <c r="G79" s="222">
        <v>290</v>
      </c>
      <c r="H79" s="196">
        <v>4</v>
      </c>
      <c r="I79" s="197">
        <v>2500</v>
      </c>
      <c r="J79" s="268">
        <f t="shared" si="4"/>
        <v>10000</v>
      </c>
      <c r="K79" s="185"/>
      <c r="V79" s="183">
        <f t="shared" si="5"/>
        <v>1</v>
      </c>
      <c r="W79" s="183">
        <f t="shared" si="6"/>
        <v>0</v>
      </c>
    </row>
    <row r="80" spans="1:23" x14ac:dyDescent="0.3">
      <c r="A80" s="184"/>
      <c r="B80" s="194">
        <v>21</v>
      </c>
      <c r="C80" s="195">
        <v>45642</v>
      </c>
      <c r="D80" s="196" t="s">
        <v>23</v>
      </c>
      <c r="E80" s="196" t="s">
        <v>25</v>
      </c>
      <c r="F80" s="197">
        <v>6030</v>
      </c>
      <c r="G80" s="197">
        <v>5980</v>
      </c>
      <c r="H80" s="196">
        <f>6030-5980</f>
        <v>50</v>
      </c>
      <c r="I80" s="197">
        <v>100</v>
      </c>
      <c r="J80" s="268">
        <f t="shared" si="4"/>
        <v>5000</v>
      </c>
      <c r="K80" s="185"/>
      <c r="V80" s="183">
        <f t="shared" si="5"/>
        <v>1</v>
      </c>
      <c r="W80" s="183">
        <f t="shared" si="6"/>
        <v>0</v>
      </c>
    </row>
    <row r="81" spans="1:23" x14ac:dyDescent="0.3">
      <c r="A81" s="184"/>
      <c r="B81" s="194">
        <v>22</v>
      </c>
      <c r="C81" s="195">
        <v>45642</v>
      </c>
      <c r="D81" s="196" t="s">
        <v>23</v>
      </c>
      <c r="E81" s="196" t="s">
        <v>939</v>
      </c>
      <c r="F81" s="197">
        <v>270</v>
      </c>
      <c r="G81" s="222">
        <v>268</v>
      </c>
      <c r="H81" s="222">
        <v>2</v>
      </c>
      <c r="I81" s="197">
        <v>2500</v>
      </c>
      <c r="J81" s="268">
        <f t="shared" si="4"/>
        <v>5000</v>
      </c>
      <c r="K81" s="185"/>
      <c r="V81" s="183">
        <f t="shared" si="5"/>
        <v>1</v>
      </c>
      <c r="W81" s="183">
        <f t="shared" si="6"/>
        <v>0</v>
      </c>
    </row>
    <row r="82" spans="1:23" x14ac:dyDescent="0.3">
      <c r="A82" s="184"/>
      <c r="B82" s="194">
        <v>23</v>
      </c>
      <c r="C82" s="195">
        <v>45643</v>
      </c>
      <c r="D82" s="196" t="s">
        <v>23</v>
      </c>
      <c r="E82" s="196" t="s">
        <v>25</v>
      </c>
      <c r="F82" s="197">
        <v>5990</v>
      </c>
      <c r="G82" s="197">
        <v>5950</v>
      </c>
      <c r="H82" s="196">
        <v>40</v>
      </c>
      <c r="I82" s="197">
        <v>100</v>
      </c>
      <c r="J82" s="268">
        <f t="shared" si="4"/>
        <v>4000</v>
      </c>
      <c r="K82" s="185"/>
      <c r="V82" s="183">
        <f t="shared" si="5"/>
        <v>1</v>
      </c>
      <c r="W82" s="183">
        <f t="shared" si="6"/>
        <v>0</v>
      </c>
    </row>
    <row r="83" spans="1:23" x14ac:dyDescent="0.3">
      <c r="A83" s="184"/>
      <c r="B83" s="194">
        <v>24</v>
      </c>
      <c r="C83" s="195">
        <v>45643</v>
      </c>
      <c r="D83" s="196" t="s">
        <v>23</v>
      </c>
      <c r="E83" s="196" t="s">
        <v>939</v>
      </c>
      <c r="F83" s="197">
        <v>275</v>
      </c>
      <c r="G83" s="222">
        <v>273.8</v>
      </c>
      <c r="H83" s="222">
        <f>275-273.8</f>
        <v>1.1999999999999886</v>
      </c>
      <c r="I83" s="197">
        <v>2500</v>
      </c>
      <c r="J83" s="268">
        <f t="shared" si="4"/>
        <v>2999.9999999999718</v>
      </c>
      <c r="K83" s="185"/>
      <c r="V83" s="183">
        <f t="shared" si="5"/>
        <v>1</v>
      </c>
      <c r="W83" s="183">
        <f t="shared" si="6"/>
        <v>0</v>
      </c>
    </row>
    <row r="84" spans="1:23" x14ac:dyDescent="0.3">
      <c r="A84" s="184"/>
      <c r="B84" s="194">
        <v>25</v>
      </c>
      <c r="C84" s="195">
        <v>45644</v>
      </c>
      <c r="D84" s="196" t="s">
        <v>23</v>
      </c>
      <c r="E84" s="196" t="s">
        <v>25</v>
      </c>
      <c r="F84" s="197">
        <v>5990</v>
      </c>
      <c r="G84" s="222">
        <v>5975</v>
      </c>
      <c r="H84" s="222">
        <f>5990-5975</f>
        <v>15</v>
      </c>
      <c r="I84" s="197">
        <v>100</v>
      </c>
      <c r="J84" s="268">
        <f t="shared" si="4"/>
        <v>1500</v>
      </c>
      <c r="K84" s="185"/>
      <c r="V84" s="183">
        <f t="shared" si="5"/>
        <v>1</v>
      </c>
      <c r="W84" s="183">
        <f t="shared" si="6"/>
        <v>0</v>
      </c>
    </row>
    <row r="85" spans="1:23" x14ac:dyDescent="0.3">
      <c r="A85" s="184"/>
      <c r="B85" s="194">
        <v>26</v>
      </c>
      <c r="C85" s="195">
        <v>45644</v>
      </c>
      <c r="D85" s="196" t="s">
        <v>23</v>
      </c>
      <c r="E85" s="196" t="s">
        <v>939</v>
      </c>
      <c r="F85" s="222">
        <v>284</v>
      </c>
      <c r="G85" s="222">
        <v>283</v>
      </c>
      <c r="H85" s="196">
        <v>1</v>
      </c>
      <c r="I85" s="197">
        <v>2500</v>
      </c>
      <c r="J85" s="268">
        <f t="shared" si="4"/>
        <v>2500</v>
      </c>
      <c r="K85" s="185"/>
      <c r="V85" s="183">
        <f t="shared" si="5"/>
        <v>1</v>
      </c>
      <c r="W85" s="183">
        <f t="shared" si="6"/>
        <v>0</v>
      </c>
    </row>
    <row r="86" spans="1:23" x14ac:dyDescent="0.3">
      <c r="A86" s="184"/>
      <c r="B86" s="194">
        <v>27</v>
      </c>
      <c r="C86" s="195">
        <v>45645</v>
      </c>
      <c r="D86" s="196" t="s">
        <v>23</v>
      </c>
      <c r="E86" s="196" t="s">
        <v>25</v>
      </c>
      <c r="F86" s="197">
        <v>5970</v>
      </c>
      <c r="G86" s="197">
        <v>5952</v>
      </c>
      <c r="H86" s="196">
        <f>5970-5952</f>
        <v>18</v>
      </c>
      <c r="I86" s="197">
        <v>100</v>
      </c>
      <c r="J86" s="268">
        <f t="shared" si="4"/>
        <v>1800</v>
      </c>
      <c r="K86" s="185"/>
      <c r="V86" s="183">
        <f t="shared" si="5"/>
        <v>1</v>
      </c>
      <c r="W86" s="183">
        <f t="shared" si="6"/>
        <v>0</v>
      </c>
    </row>
    <row r="87" spans="1:23" x14ac:dyDescent="0.3">
      <c r="A87" s="184"/>
      <c r="B87" s="194">
        <v>28</v>
      </c>
      <c r="C87" s="195">
        <v>45645</v>
      </c>
      <c r="D87" s="196" t="s">
        <v>23</v>
      </c>
      <c r="E87" s="196" t="s">
        <v>939</v>
      </c>
      <c r="F87" s="222">
        <v>294</v>
      </c>
      <c r="G87" s="222">
        <v>292</v>
      </c>
      <c r="H87" s="222">
        <v>2</v>
      </c>
      <c r="I87" s="197">
        <v>2500</v>
      </c>
      <c r="J87" s="268">
        <f t="shared" si="4"/>
        <v>5000</v>
      </c>
      <c r="K87" s="185"/>
      <c r="V87" s="183">
        <f t="shared" si="5"/>
        <v>1</v>
      </c>
      <c r="W87" s="183">
        <f t="shared" si="6"/>
        <v>0</v>
      </c>
    </row>
    <row r="88" spans="1:23" x14ac:dyDescent="0.3">
      <c r="A88" s="184"/>
      <c r="B88" s="194">
        <v>29</v>
      </c>
      <c r="C88" s="195">
        <v>45646</v>
      </c>
      <c r="D88" s="196" t="s">
        <v>23</v>
      </c>
      <c r="E88" s="196" t="s">
        <v>25</v>
      </c>
      <c r="F88" s="197">
        <v>5880</v>
      </c>
      <c r="G88" s="197">
        <v>5850</v>
      </c>
      <c r="H88" s="196">
        <v>30</v>
      </c>
      <c r="I88" s="197">
        <v>100</v>
      </c>
      <c r="J88" s="268">
        <f t="shared" si="4"/>
        <v>3000</v>
      </c>
      <c r="K88" s="185"/>
      <c r="V88" s="183">
        <f t="shared" si="5"/>
        <v>1</v>
      </c>
      <c r="W88" s="183">
        <f t="shared" si="6"/>
        <v>0</v>
      </c>
    </row>
    <row r="89" spans="1:23" x14ac:dyDescent="0.3">
      <c r="A89" s="184"/>
      <c r="B89" s="194">
        <v>30</v>
      </c>
      <c r="C89" s="195">
        <v>45646</v>
      </c>
      <c r="D89" s="196" t="s">
        <v>23</v>
      </c>
      <c r="E89" s="196" t="s">
        <v>939</v>
      </c>
      <c r="F89" s="222">
        <v>310</v>
      </c>
      <c r="G89" s="222">
        <v>307</v>
      </c>
      <c r="H89" s="196">
        <v>3</v>
      </c>
      <c r="I89" s="197">
        <v>2500</v>
      </c>
      <c r="J89" s="268">
        <f t="shared" si="4"/>
        <v>7500</v>
      </c>
      <c r="K89" s="185"/>
      <c r="V89" s="183">
        <f t="shared" si="5"/>
        <v>1</v>
      </c>
      <c r="W89" s="183">
        <f t="shared" si="6"/>
        <v>0</v>
      </c>
    </row>
    <row r="90" spans="1:23" x14ac:dyDescent="0.3">
      <c r="A90" s="184"/>
      <c r="B90" s="194">
        <v>31</v>
      </c>
      <c r="C90" s="195">
        <v>45649</v>
      </c>
      <c r="D90" s="196" t="s">
        <v>23</v>
      </c>
      <c r="E90" s="196" t="s">
        <v>25</v>
      </c>
      <c r="F90" s="197">
        <v>5960</v>
      </c>
      <c r="G90" s="197">
        <v>5890</v>
      </c>
      <c r="H90" s="196">
        <v>70</v>
      </c>
      <c r="I90" s="197">
        <v>100</v>
      </c>
      <c r="J90" s="268">
        <f t="shared" si="4"/>
        <v>7000</v>
      </c>
      <c r="K90" s="185"/>
      <c r="V90" s="183">
        <f t="shared" si="5"/>
        <v>1</v>
      </c>
      <c r="W90" s="183">
        <f t="shared" si="6"/>
        <v>0</v>
      </c>
    </row>
    <row r="91" spans="1:23" x14ac:dyDescent="0.3">
      <c r="A91" s="184"/>
      <c r="B91" s="194">
        <v>32</v>
      </c>
      <c r="C91" s="195">
        <v>45649</v>
      </c>
      <c r="D91" s="196" t="s">
        <v>23</v>
      </c>
      <c r="E91" s="196" t="s">
        <v>939</v>
      </c>
      <c r="F91" s="222">
        <v>331</v>
      </c>
      <c r="G91" s="222">
        <v>325</v>
      </c>
      <c r="H91" s="222">
        <f>331-325</f>
        <v>6</v>
      </c>
      <c r="I91" s="197">
        <v>2500</v>
      </c>
      <c r="J91" s="268">
        <f t="shared" si="4"/>
        <v>15000</v>
      </c>
      <c r="K91" s="185"/>
      <c r="V91" s="183">
        <f t="shared" si="5"/>
        <v>1</v>
      </c>
      <c r="W91" s="183">
        <f t="shared" si="6"/>
        <v>0</v>
      </c>
    </row>
    <row r="92" spans="1:23" x14ac:dyDescent="0.3">
      <c r="A92" s="184"/>
      <c r="B92" s="194">
        <v>33</v>
      </c>
      <c r="C92" s="195">
        <v>45650</v>
      </c>
      <c r="D92" s="196" t="s">
        <v>23</v>
      </c>
      <c r="E92" s="196" t="s">
        <v>25</v>
      </c>
      <c r="F92" s="197">
        <v>5965</v>
      </c>
      <c r="G92" s="197">
        <v>5943</v>
      </c>
      <c r="H92" s="196">
        <f>5965-5943</f>
        <v>22</v>
      </c>
      <c r="I92" s="197">
        <v>100</v>
      </c>
      <c r="J92" s="268">
        <f t="shared" si="4"/>
        <v>2200</v>
      </c>
      <c r="K92" s="185"/>
      <c r="V92" s="183">
        <f t="shared" si="5"/>
        <v>1</v>
      </c>
      <c r="W92" s="183">
        <f t="shared" si="6"/>
        <v>0</v>
      </c>
    </row>
    <row r="93" spans="1:23" x14ac:dyDescent="0.3">
      <c r="A93" s="184"/>
      <c r="B93" s="194">
        <v>34</v>
      </c>
      <c r="C93" s="195">
        <v>45650</v>
      </c>
      <c r="D93" s="196" t="s">
        <v>23</v>
      </c>
      <c r="E93" s="196" t="s">
        <v>939</v>
      </c>
      <c r="F93" s="222">
        <v>318</v>
      </c>
      <c r="G93" s="222">
        <v>316.5</v>
      </c>
      <c r="H93" s="222">
        <f>318-316.5</f>
        <v>1.5</v>
      </c>
      <c r="I93" s="197">
        <v>2500</v>
      </c>
      <c r="J93" s="268">
        <f t="shared" si="4"/>
        <v>3750</v>
      </c>
      <c r="K93" s="185"/>
      <c r="V93" s="183">
        <f t="shared" si="5"/>
        <v>1</v>
      </c>
      <c r="W93" s="183">
        <f t="shared" si="6"/>
        <v>0</v>
      </c>
    </row>
    <row r="94" spans="1:23" x14ac:dyDescent="0.3">
      <c r="A94" s="184"/>
      <c r="B94" s="194">
        <v>35</v>
      </c>
      <c r="C94" s="195">
        <v>45652</v>
      </c>
      <c r="D94" s="196" t="s">
        <v>23</v>
      </c>
      <c r="E94" s="196" t="s">
        <v>25</v>
      </c>
      <c r="F94" s="197">
        <v>6030</v>
      </c>
      <c r="G94" s="197">
        <v>5960</v>
      </c>
      <c r="H94" s="196">
        <f>6030-5960</f>
        <v>70</v>
      </c>
      <c r="I94" s="197">
        <v>100</v>
      </c>
      <c r="J94" s="268">
        <f t="shared" si="4"/>
        <v>7000</v>
      </c>
      <c r="K94" s="185"/>
      <c r="V94" s="183">
        <f t="shared" si="5"/>
        <v>1</v>
      </c>
      <c r="W94" s="183">
        <f t="shared" si="6"/>
        <v>0</v>
      </c>
    </row>
    <row r="95" spans="1:23" x14ac:dyDescent="0.3">
      <c r="A95" s="184"/>
      <c r="B95" s="194">
        <v>36</v>
      </c>
      <c r="C95" s="195">
        <v>45652</v>
      </c>
      <c r="D95" s="196" t="s">
        <v>23</v>
      </c>
      <c r="E95" s="196" t="s">
        <v>939</v>
      </c>
      <c r="F95" s="197">
        <v>340</v>
      </c>
      <c r="G95" s="222">
        <v>334</v>
      </c>
      <c r="H95" s="222">
        <f>340-334</f>
        <v>6</v>
      </c>
      <c r="I95" s="197">
        <v>2500</v>
      </c>
      <c r="J95" s="268">
        <f t="shared" si="4"/>
        <v>15000</v>
      </c>
      <c r="K95" s="185"/>
      <c r="V95" s="183">
        <f t="shared" si="5"/>
        <v>1</v>
      </c>
      <c r="W95" s="183">
        <f t="shared" si="6"/>
        <v>0</v>
      </c>
    </row>
    <row r="96" spans="1:23" x14ac:dyDescent="0.3">
      <c r="A96" s="184"/>
      <c r="B96" s="194">
        <v>37</v>
      </c>
      <c r="C96" s="195">
        <v>45653</v>
      </c>
      <c r="D96" s="196" t="s">
        <v>23</v>
      </c>
      <c r="E96" s="196" t="s">
        <v>25</v>
      </c>
      <c r="F96" s="197">
        <v>5995</v>
      </c>
      <c r="G96" s="197">
        <v>6035</v>
      </c>
      <c r="H96" s="196">
        <v>-40</v>
      </c>
      <c r="I96" s="197">
        <v>100</v>
      </c>
      <c r="J96" s="268">
        <f t="shared" si="4"/>
        <v>-4000</v>
      </c>
      <c r="K96" s="185"/>
      <c r="V96" s="183">
        <f t="shared" si="5"/>
        <v>0</v>
      </c>
      <c r="W96" s="183">
        <f t="shared" si="6"/>
        <v>1</v>
      </c>
    </row>
    <row r="97" spans="1:23" x14ac:dyDescent="0.3">
      <c r="A97" s="255"/>
      <c r="B97" s="194">
        <v>38</v>
      </c>
      <c r="C97" s="195">
        <v>45653</v>
      </c>
      <c r="D97" s="196" t="s">
        <v>16</v>
      </c>
      <c r="E97" s="196" t="s">
        <v>968</v>
      </c>
      <c r="F97" s="197">
        <v>25</v>
      </c>
      <c r="G97" s="222">
        <v>31</v>
      </c>
      <c r="H97" s="222">
        <f>31-25</f>
        <v>6</v>
      </c>
      <c r="I97" s="197">
        <v>2500</v>
      </c>
      <c r="J97" s="268">
        <f t="shared" si="4"/>
        <v>15000</v>
      </c>
      <c r="K97" s="185"/>
      <c r="V97" s="183">
        <f t="shared" si="5"/>
        <v>1</v>
      </c>
      <c r="W97" s="183">
        <f t="shared" si="6"/>
        <v>0</v>
      </c>
    </row>
    <row r="98" spans="1:23" x14ac:dyDescent="0.3">
      <c r="A98" s="184"/>
      <c r="B98" s="194">
        <v>39</v>
      </c>
      <c r="C98" s="195">
        <v>45656</v>
      </c>
      <c r="D98" s="196" t="s">
        <v>23</v>
      </c>
      <c r="E98" s="196" t="s">
        <v>25</v>
      </c>
      <c r="F98" s="197">
        <v>6050</v>
      </c>
      <c r="G98" s="222">
        <v>6030</v>
      </c>
      <c r="H98" s="196">
        <v>20</v>
      </c>
      <c r="I98" s="197">
        <v>100</v>
      </c>
      <c r="J98" s="268">
        <f t="shared" si="4"/>
        <v>2000</v>
      </c>
      <c r="K98" s="185"/>
      <c r="V98" s="183">
        <f t="shared" si="5"/>
        <v>1</v>
      </c>
      <c r="W98" s="183">
        <f t="shared" si="6"/>
        <v>0</v>
      </c>
    </row>
    <row r="99" spans="1:23" x14ac:dyDescent="0.3">
      <c r="A99" s="184"/>
      <c r="B99" s="194">
        <v>40</v>
      </c>
      <c r="C99" s="195">
        <v>45656</v>
      </c>
      <c r="D99" s="196" t="s">
        <v>16</v>
      </c>
      <c r="E99" s="196" t="s">
        <v>969</v>
      </c>
      <c r="F99" s="222">
        <v>26</v>
      </c>
      <c r="G99" s="222">
        <v>23</v>
      </c>
      <c r="H99" s="222">
        <v>-3</v>
      </c>
      <c r="I99" s="197">
        <v>2500</v>
      </c>
      <c r="J99" s="268">
        <f t="shared" si="4"/>
        <v>-7500</v>
      </c>
      <c r="K99" s="185"/>
      <c r="V99" s="183">
        <f t="shared" si="5"/>
        <v>0</v>
      </c>
      <c r="W99" s="183">
        <f t="shared" si="6"/>
        <v>1</v>
      </c>
    </row>
    <row r="100" spans="1:23" x14ac:dyDescent="0.3">
      <c r="A100" s="184"/>
      <c r="B100" s="194">
        <v>41</v>
      </c>
      <c r="C100" s="195">
        <v>45657</v>
      </c>
      <c r="D100" s="196" t="s">
        <v>23</v>
      </c>
      <c r="E100" s="196" t="s">
        <v>25</v>
      </c>
      <c r="F100" s="197">
        <v>6150</v>
      </c>
      <c r="G100" s="197">
        <v>6120</v>
      </c>
      <c r="H100" s="196">
        <v>30</v>
      </c>
      <c r="I100" s="197">
        <v>100</v>
      </c>
      <c r="J100" s="268">
        <f t="shared" si="4"/>
        <v>3000</v>
      </c>
      <c r="K100" s="185"/>
      <c r="V100" s="183">
        <f t="shared" si="5"/>
        <v>1</v>
      </c>
      <c r="W100" s="183">
        <f t="shared" si="6"/>
        <v>0</v>
      </c>
    </row>
    <row r="101" spans="1:23" x14ac:dyDescent="0.3">
      <c r="A101" s="184"/>
      <c r="B101" s="194">
        <v>42</v>
      </c>
      <c r="C101" s="195">
        <v>45657</v>
      </c>
      <c r="D101" s="196" t="s">
        <v>16</v>
      </c>
      <c r="E101" s="196" t="s">
        <v>970</v>
      </c>
      <c r="F101" s="197">
        <v>30</v>
      </c>
      <c r="G101" s="222">
        <v>31.7</v>
      </c>
      <c r="H101" s="222">
        <v>1.7</v>
      </c>
      <c r="I101" s="197">
        <v>2500</v>
      </c>
      <c r="J101" s="268">
        <f t="shared" si="4"/>
        <v>4250</v>
      </c>
      <c r="K101" s="185"/>
      <c r="V101" s="183">
        <f t="shared" si="5"/>
        <v>1</v>
      </c>
      <c r="W101" s="183">
        <f t="shared" si="6"/>
        <v>0</v>
      </c>
    </row>
    <row r="102" spans="1:23" x14ac:dyDescent="0.3">
      <c r="A102" s="184"/>
      <c r="B102" s="194">
        <v>43</v>
      </c>
      <c r="C102" s="195"/>
      <c r="D102" s="196"/>
      <c r="E102" s="196"/>
      <c r="F102" s="197"/>
      <c r="G102" s="222"/>
      <c r="H102" s="196"/>
      <c r="I102" s="202"/>
      <c r="J102" s="268">
        <f t="shared" si="4"/>
        <v>0</v>
      </c>
      <c r="K102" s="185"/>
      <c r="V102" s="183">
        <f t="shared" si="5"/>
        <v>0</v>
      </c>
      <c r="W102" s="183">
        <f t="shared" si="6"/>
        <v>0</v>
      </c>
    </row>
    <row r="103" spans="1:23" ht="15" thickBot="1" x14ac:dyDescent="0.35">
      <c r="A103" s="184"/>
      <c r="B103" s="194">
        <v>44</v>
      </c>
      <c r="C103" s="195"/>
      <c r="D103" s="196"/>
      <c r="E103" s="196"/>
      <c r="F103" s="197"/>
      <c r="G103" s="197"/>
      <c r="H103" s="196"/>
      <c r="I103" s="202"/>
      <c r="J103" s="269">
        <f t="shared" si="4"/>
        <v>0</v>
      </c>
      <c r="K103" s="185"/>
      <c r="V103" s="183">
        <f t="shared" si="5"/>
        <v>0</v>
      </c>
      <c r="W103" s="183">
        <f t="shared" si="6"/>
        <v>0</v>
      </c>
    </row>
    <row r="104" spans="1:23" ht="24" thickBot="1" x14ac:dyDescent="0.5">
      <c r="A104" s="184"/>
      <c r="B104" s="368" t="s">
        <v>879</v>
      </c>
      <c r="C104" s="305"/>
      <c r="D104" s="305"/>
      <c r="E104" s="305"/>
      <c r="F104" s="305"/>
      <c r="G104" s="305"/>
      <c r="H104" s="306"/>
      <c r="I104" s="203" t="s">
        <v>880</v>
      </c>
      <c r="J104" s="204">
        <f>SUM(J60:J103)</f>
        <v>262407.99999999994</v>
      </c>
      <c r="K104" s="185"/>
      <c r="V104" s="183">
        <f>SUM(V60:V103)</f>
        <v>37</v>
      </c>
      <c r="W104" s="183">
        <f>SUM(W60:W103)</f>
        <v>5</v>
      </c>
    </row>
    <row r="105" spans="1:23" ht="30" customHeight="1" thickBot="1" x14ac:dyDescent="0.35">
      <c r="A105" s="205"/>
      <c r="B105" s="206"/>
      <c r="C105" s="206"/>
      <c r="D105" s="206"/>
      <c r="E105" s="206"/>
      <c r="F105" s="206"/>
      <c r="G105" s="206"/>
      <c r="H105" s="261"/>
      <c r="I105" s="206"/>
      <c r="J105" s="261"/>
      <c r="K105" s="207"/>
    </row>
    <row r="106" spans="1:23" ht="15" thickBot="1" x14ac:dyDescent="0.35"/>
    <row r="107" spans="1:23" ht="30" customHeight="1" thickBot="1" x14ac:dyDescent="0.35">
      <c r="A107" s="180"/>
      <c r="B107" s="181"/>
      <c r="C107" s="181"/>
      <c r="D107" s="181"/>
      <c r="E107" s="181"/>
      <c r="F107" s="181"/>
      <c r="G107" s="181"/>
      <c r="H107" s="259"/>
      <c r="I107" s="181"/>
      <c r="J107" s="259"/>
      <c r="K107" s="182"/>
    </row>
    <row r="108" spans="1:23" ht="25.2" thickBot="1" x14ac:dyDescent="0.35">
      <c r="A108" s="184" t="s">
        <v>0</v>
      </c>
      <c r="B108" s="307" t="s">
        <v>873</v>
      </c>
      <c r="C108" s="308"/>
      <c r="D108" s="308"/>
      <c r="E108" s="308"/>
      <c r="F108" s="308"/>
      <c r="G108" s="308"/>
      <c r="H108" s="308"/>
      <c r="I108" s="308"/>
      <c r="J108" s="309"/>
      <c r="K108" s="185"/>
    </row>
    <row r="109" spans="1:23" ht="16.2" thickBot="1" x14ac:dyDescent="0.35">
      <c r="A109" s="184"/>
      <c r="B109" s="310">
        <v>45627</v>
      </c>
      <c r="C109" s="311"/>
      <c r="D109" s="311"/>
      <c r="E109" s="311"/>
      <c r="F109" s="311"/>
      <c r="G109" s="311"/>
      <c r="H109" s="311"/>
      <c r="I109" s="311"/>
      <c r="J109" s="312"/>
      <c r="K109" s="185"/>
    </row>
    <row r="110" spans="1:23" ht="16.2" thickBot="1" x14ac:dyDescent="0.35">
      <c r="A110" s="184"/>
      <c r="B110" s="313" t="s">
        <v>882</v>
      </c>
      <c r="C110" s="314"/>
      <c r="D110" s="314"/>
      <c r="E110" s="314"/>
      <c r="F110" s="314"/>
      <c r="G110" s="314"/>
      <c r="H110" s="314"/>
      <c r="I110" s="314"/>
      <c r="J110" s="315"/>
      <c r="K110" s="185"/>
    </row>
    <row r="111" spans="1:23" ht="15" thickBot="1" x14ac:dyDescent="0.35">
      <c r="A111" s="208"/>
      <c r="B111" s="186" t="s">
        <v>876</v>
      </c>
      <c r="C111" s="187" t="s">
        <v>1</v>
      </c>
      <c r="D111" s="188" t="s">
        <v>2</v>
      </c>
      <c r="E111" s="188" t="s">
        <v>3</v>
      </c>
      <c r="F111" s="189" t="s">
        <v>4</v>
      </c>
      <c r="G111" s="189" t="s">
        <v>5</v>
      </c>
      <c r="H111" s="260" t="s">
        <v>720</v>
      </c>
      <c r="I111" s="189" t="s">
        <v>6</v>
      </c>
      <c r="J111" s="266" t="s">
        <v>7</v>
      </c>
      <c r="K111" s="209"/>
      <c r="L111" s="198"/>
      <c r="V111" s="183" t="s">
        <v>254</v>
      </c>
      <c r="W111" s="183" t="s">
        <v>255</v>
      </c>
    </row>
    <row r="112" spans="1:23" x14ac:dyDescent="0.3">
      <c r="A112" s="184"/>
      <c r="B112" s="214">
        <v>1</v>
      </c>
      <c r="C112" s="215">
        <v>45628</v>
      </c>
      <c r="D112" s="216" t="s">
        <v>23</v>
      </c>
      <c r="E112" s="256" t="s">
        <v>28</v>
      </c>
      <c r="F112" s="256">
        <v>286</v>
      </c>
      <c r="G112" s="256">
        <v>285.5</v>
      </c>
      <c r="H112" s="256">
        <v>0.5</v>
      </c>
      <c r="I112" s="218">
        <v>5000</v>
      </c>
      <c r="J112" s="273">
        <f>I112*H112</f>
        <v>2500</v>
      </c>
      <c r="K112" s="185"/>
      <c r="V112" s="183">
        <f>IF($J112&gt;0,1,0)</f>
        <v>1</v>
      </c>
      <c r="W112" s="183">
        <f>IF($J112&lt;0,1,0)</f>
        <v>0</v>
      </c>
    </row>
    <row r="113" spans="1:23" x14ac:dyDescent="0.3">
      <c r="A113" s="184"/>
      <c r="B113" s="194">
        <v>2</v>
      </c>
      <c r="C113" s="195">
        <v>45629</v>
      </c>
      <c r="D113" s="196" t="s">
        <v>23</v>
      </c>
      <c r="E113" s="222" t="s">
        <v>28</v>
      </c>
      <c r="F113" s="222">
        <v>286.10000000000002</v>
      </c>
      <c r="G113" s="222">
        <v>285.10000000000002</v>
      </c>
      <c r="H113" s="222">
        <v>1</v>
      </c>
      <c r="I113" s="218">
        <v>5000</v>
      </c>
      <c r="J113" s="268">
        <f t="shared" ref="J113:J138" si="7">I113*H113</f>
        <v>5000</v>
      </c>
      <c r="K113" s="185"/>
      <c r="V113" s="183">
        <f t="shared" ref="V113:V137" si="8">IF($J113&gt;0,1,0)</f>
        <v>1</v>
      </c>
      <c r="W113" s="183">
        <f t="shared" ref="W113:W137" si="9">IF($J113&lt;0,1,0)</f>
        <v>0</v>
      </c>
    </row>
    <row r="114" spans="1:23" x14ac:dyDescent="0.3">
      <c r="A114" s="184"/>
      <c r="B114" s="194">
        <v>3</v>
      </c>
      <c r="C114" s="195">
        <v>45630</v>
      </c>
      <c r="D114" s="196" t="s">
        <v>23</v>
      </c>
      <c r="E114" s="222" t="s">
        <v>28</v>
      </c>
      <c r="F114" s="222">
        <v>287.8</v>
      </c>
      <c r="G114" s="222">
        <v>286.2</v>
      </c>
      <c r="H114" s="222">
        <f>287.8-286.2</f>
        <v>1.6000000000000227</v>
      </c>
      <c r="I114" s="218">
        <v>5000</v>
      </c>
      <c r="J114" s="268">
        <f t="shared" si="7"/>
        <v>8000.0000000001137</v>
      </c>
      <c r="K114" s="185"/>
      <c r="M114" s="183" t="s">
        <v>870</v>
      </c>
      <c r="V114" s="183">
        <f t="shared" si="8"/>
        <v>1</v>
      </c>
      <c r="W114" s="183">
        <f t="shared" si="9"/>
        <v>0</v>
      </c>
    </row>
    <row r="115" spans="1:23" x14ac:dyDescent="0.3">
      <c r="A115" s="184"/>
      <c r="B115" s="194">
        <v>4</v>
      </c>
      <c r="C115" s="195">
        <v>45631</v>
      </c>
      <c r="D115" s="196" t="s">
        <v>16</v>
      </c>
      <c r="E115" s="222" t="s">
        <v>28</v>
      </c>
      <c r="F115" s="222">
        <v>289.2</v>
      </c>
      <c r="G115" s="222">
        <v>290.39999999999998</v>
      </c>
      <c r="H115" s="222">
        <f>290.4-289.2</f>
        <v>1.1999999999999886</v>
      </c>
      <c r="I115" s="218">
        <v>5000</v>
      </c>
      <c r="J115" s="268">
        <f t="shared" si="7"/>
        <v>5999.9999999999436</v>
      </c>
      <c r="K115" s="185"/>
      <c r="V115" s="183">
        <f t="shared" si="8"/>
        <v>1</v>
      </c>
      <c r="W115" s="183">
        <f t="shared" si="9"/>
        <v>0</v>
      </c>
    </row>
    <row r="116" spans="1:23" x14ac:dyDescent="0.3">
      <c r="A116" s="184"/>
      <c r="B116" s="194">
        <v>5</v>
      </c>
      <c r="C116" s="195">
        <v>45632</v>
      </c>
      <c r="D116" s="196" t="s">
        <v>23</v>
      </c>
      <c r="E116" s="222" t="s">
        <v>28</v>
      </c>
      <c r="F116" s="222">
        <v>288.8</v>
      </c>
      <c r="G116" s="222">
        <v>287.55</v>
      </c>
      <c r="H116" s="222">
        <f>288.8-287.55</f>
        <v>1.25</v>
      </c>
      <c r="I116" s="218">
        <v>5000</v>
      </c>
      <c r="J116" s="268">
        <f t="shared" si="7"/>
        <v>6250</v>
      </c>
      <c r="K116" s="185"/>
      <c r="V116" s="183">
        <f t="shared" si="8"/>
        <v>1</v>
      </c>
      <c r="W116" s="183">
        <f t="shared" si="9"/>
        <v>0</v>
      </c>
    </row>
    <row r="117" spans="1:23" x14ac:dyDescent="0.3">
      <c r="A117" s="184"/>
      <c r="B117" s="194">
        <v>6</v>
      </c>
      <c r="C117" s="195">
        <v>45635</v>
      </c>
      <c r="D117" s="196" t="s">
        <v>23</v>
      </c>
      <c r="E117" s="222" t="s">
        <v>28</v>
      </c>
      <c r="F117" s="222">
        <v>291.8</v>
      </c>
      <c r="G117" s="222">
        <v>290.8</v>
      </c>
      <c r="H117" s="222">
        <v>1</v>
      </c>
      <c r="I117" s="218">
        <v>5000</v>
      </c>
      <c r="J117" s="268">
        <f t="shared" si="7"/>
        <v>5000</v>
      </c>
      <c r="K117" s="185"/>
      <c r="V117" s="183">
        <f t="shared" si="8"/>
        <v>1</v>
      </c>
      <c r="W117" s="183">
        <f t="shared" si="9"/>
        <v>0</v>
      </c>
    </row>
    <row r="118" spans="1:23" x14ac:dyDescent="0.3">
      <c r="A118" s="184"/>
      <c r="B118" s="194">
        <v>7</v>
      </c>
      <c r="C118" s="195">
        <v>45636</v>
      </c>
      <c r="D118" s="196" t="s">
        <v>23</v>
      </c>
      <c r="E118" s="222" t="s">
        <v>28</v>
      </c>
      <c r="F118" s="222">
        <v>290.5</v>
      </c>
      <c r="G118" s="222">
        <v>289.5</v>
      </c>
      <c r="H118" s="274">
        <v>1</v>
      </c>
      <c r="I118" s="218">
        <v>5000</v>
      </c>
      <c r="J118" s="268">
        <f t="shared" si="7"/>
        <v>5000</v>
      </c>
      <c r="K118" s="185"/>
      <c r="V118" s="183">
        <f t="shared" si="8"/>
        <v>1</v>
      </c>
      <c r="W118" s="183">
        <f t="shared" si="9"/>
        <v>0</v>
      </c>
    </row>
    <row r="119" spans="1:23" x14ac:dyDescent="0.3">
      <c r="A119" s="184"/>
      <c r="B119" s="194">
        <v>8</v>
      </c>
      <c r="C119" s="195">
        <v>45637</v>
      </c>
      <c r="D119" s="196" t="s">
        <v>23</v>
      </c>
      <c r="E119" s="222" t="s">
        <v>28</v>
      </c>
      <c r="F119" s="222">
        <v>291</v>
      </c>
      <c r="G119" s="222">
        <v>290.02</v>
      </c>
      <c r="H119" s="222">
        <f>291-290.02</f>
        <v>0.98000000000001819</v>
      </c>
      <c r="I119" s="197">
        <v>5000</v>
      </c>
      <c r="J119" s="268">
        <f t="shared" si="7"/>
        <v>4900.0000000000909</v>
      </c>
      <c r="K119" s="185"/>
      <c r="V119" s="183">
        <f t="shared" si="8"/>
        <v>1</v>
      </c>
      <c r="W119" s="183">
        <f t="shared" si="9"/>
        <v>0</v>
      </c>
    </row>
    <row r="120" spans="1:23" x14ac:dyDescent="0.3">
      <c r="A120" s="184"/>
      <c r="B120" s="194">
        <v>9</v>
      </c>
      <c r="C120" s="195">
        <v>45638</v>
      </c>
      <c r="D120" s="196" t="s">
        <v>23</v>
      </c>
      <c r="E120" s="222" t="s">
        <v>28</v>
      </c>
      <c r="F120" s="222">
        <v>291.3</v>
      </c>
      <c r="G120" s="222">
        <v>289.60000000000002</v>
      </c>
      <c r="H120" s="222">
        <f>291.3-289.6</f>
        <v>1.6999999999999886</v>
      </c>
      <c r="I120" s="197">
        <v>5000</v>
      </c>
      <c r="J120" s="268">
        <f t="shared" si="7"/>
        <v>8499.9999999999436</v>
      </c>
      <c r="K120" s="185"/>
      <c r="V120" s="183">
        <f t="shared" si="8"/>
        <v>1</v>
      </c>
      <c r="W120" s="183">
        <f t="shared" si="9"/>
        <v>0</v>
      </c>
    </row>
    <row r="121" spans="1:23" x14ac:dyDescent="0.3">
      <c r="A121" s="184"/>
      <c r="B121" s="194">
        <v>10</v>
      </c>
      <c r="C121" s="195">
        <v>45639</v>
      </c>
      <c r="D121" s="196" t="s">
        <v>23</v>
      </c>
      <c r="E121" s="222" t="s">
        <v>28</v>
      </c>
      <c r="F121" s="222">
        <v>289.2</v>
      </c>
      <c r="G121" s="222">
        <v>288.2</v>
      </c>
      <c r="H121" s="222">
        <v>1</v>
      </c>
      <c r="I121" s="197">
        <v>5000</v>
      </c>
      <c r="J121" s="268">
        <f t="shared" si="7"/>
        <v>5000</v>
      </c>
      <c r="K121" s="185"/>
      <c r="V121" s="183">
        <f t="shared" si="8"/>
        <v>1</v>
      </c>
      <c r="W121" s="183">
        <f t="shared" si="9"/>
        <v>0</v>
      </c>
    </row>
    <row r="122" spans="1:23" x14ac:dyDescent="0.3">
      <c r="A122" s="184"/>
      <c r="B122" s="194">
        <v>11</v>
      </c>
      <c r="C122" s="195">
        <v>45642</v>
      </c>
      <c r="D122" s="196" t="s">
        <v>23</v>
      </c>
      <c r="E122" s="222" t="s">
        <v>28</v>
      </c>
      <c r="F122" s="222">
        <v>287.2</v>
      </c>
      <c r="G122" s="222">
        <v>286.8</v>
      </c>
      <c r="H122" s="274">
        <v>0.4</v>
      </c>
      <c r="I122" s="197">
        <v>5000</v>
      </c>
      <c r="J122" s="268">
        <f t="shared" si="7"/>
        <v>2000</v>
      </c>
      <c r="K122" s="185"/>
      <c r="V122" s="183">
        <f t="shared" si="8"/>
        <v>1</v>
      </c>
      <c r="W122" s="183">
        <f t="shared" si="9"/>
        <v>0</v>
      </c>
    </row>
    <row r="123" spans="1:23" x14ac:dyDescent="0.3">
      <c r="A123" s="184"/>
      <c r="B123" s="194">
        <v>12</v>
      </c>
      <c r="C123" s="195">
        <v>45643</v>
      </c>
      <c r="D123" s="196" t="s">
        <v>23</v>
      </c>
      <c r="E123" s="222" t="s">
        <v>28</v>
      </c>
      <c r="F123" s="222">
        <v>283.5</v>
      </c>
      <c r="G123" s="222">
        <v>282.5</v>
      </c>
      <c r="H123" s="274">
        <v>1</v>
      </c>
      <c r="I123" s="197">
        <v>5000</v>
      </c>
      <c r="J123" s="268">
        <f t="shared" si="7"/>
        <v>5000</v>
      </c>
      <c r="K123" s="185"/>
      <c r="V123" s="183">
        <f t="shared" si="8"/>
        <v>1</v>
      </c>
      <c r="W123" s="183">
        <f t="shared" si="9"/>
        <v>0</v>
      </c>
    </row>
    <row r="124" spans="1:23" x14ac:dyDescent="0.3">
      <c r="A124" s="184"/>
      <c r="B124" s="194">
        <v>13</v>
      </c>
      <c r="C124" s="195">
        <v>45644</v>
      </c>
      <c r="D124" s="196" t="s">
        <v>23</v>
      </c>
      <c r="E124" s="222" t="s">
        <v>28</v>
      </c>
      <c r="F124" s="222">
        <v>280.8</v>
      </c>
      <c r="G124" s="222">
        <v>280.2</v>
      </c>
      <c r="H124" s="274">
        <v>0.6</v>
      </c>
      <c r="I124" s="197">
        <v>5000</v>
      </c>
      <c r="J124" s="268">
        <f t="shared" si="7"/>
        <v>3000</v>
      </c>
      <c r="K124" s="185"/>
      <c r="V124" s="183">
        <f t="shared" si="8"/>
        <v>1</v>
      </c>
      <c r="W124" s="183">
        <f t="shared" si="9"/>
        <v>0</v>
      </c>
    </row>
    <row r="125" spans="1:23" x14ac:dyDescent="0.3">
      <c r="A125" s="184"/>
      <c r="B125" s="194">
        <v>14</v>
      </c>
      <c r="C125" s="195">
        <v>45645</v>
      </c>
      <c r="D125" s="196" t="s">
        <v>23</v>
      </c>
      <c r="E125" s="222" t="s">
        <v>28</v>
      </c>
      <c r="F125" s="222">
        <v>280.5</v>
      </c>
      <c r="G125" s="222">
        <v>279.7</v>
      </c>
      <c r="H125" s="274">
        <f>280.5-279.7</f>
        <v>0.80000000000001137</v>
      </c>
      <c r="I125" s="197">
        <v>5000</v>
      </c>
      <c r="J125" s="268">
        <f t="shared" si="7"/>
        <v>4000.0000000000568</v>
      </c>
      <c r="K125" s="185"/>
      <c r="V125" s="183">
        <f t="shared" si="8"/>
        <v>1</v>
      </c>
      <c r="W125" s="183">
        <f t="shared" si="9"/>
        <v>0</v>
      </c>
    </row>
    <row r="126" spans="1:23" x14ac:dyDescent="0.3">
      <c r="A126" s="184"/>
      <c r="B126" s="194">
        <v>15</v>
      </c>
      <c r="C126" s="195">
        <v>45646</v>
      </c>
      <c r="D126" s="196" t="s">
        <v>23</v>
      </c>
      <c r="E126" s="196" t="s">
        <v>28</v>
      </c>
      <c r="F126" s="222">
        <v>279.5</v>
      </c>
      <c r="G126" s="222">
        <v>278</v>
      </c>
      <c r="H126" s="222">
        <f>279.5-278</f>
        <v>1.5</v>
      </c>
      <c r="I126" s="197">
        <v>5000</v>
      </c>
      <c r="J126" s="268">
        <f t="shared" si="7"/>
        <v>7500</v>
      </c>
      <c r="K126" s="185"/>
      <c r="V126" s="183">
        <f t="shared" si="8"/>
        <v>1</v>
      </c>
      <c r="W126" s="183">
        <f t="shared" si="9"/>
        <v>0</v>
      </c>
    </row>
    <row r="127" spans="1:23" x14ac:dyDescent="0.3">
      <c r="A127" s="184"/>
      <c r="B127" s="194">
        <v>16</v>
      </c>
      <c r="C127" s="195">
        <v>45649</v>
      </c>
      <c r="D127" s="196" t="s">
        <v>23</v>
      </c>
      <c r="E127" s="196" t="s">
        <v>28</v>
      </c>
      <c r="F127" s="222">
        <v>280.8</v>
      </c>
      <c r="G127" s="222">
        <v>278.8</v>
      </c>
      <c r="H127" s="222">
        <f>280.8-278.8</f>
        <v>2</v>
      </c>
      <c r="I127" s="197">
        <v>5000</v>
      </c>
      <c r="J127" s="268">
        <f t="shared" si="7"/>
        <v>10000</v>
      </c>
      <c r="K127" s="185"/>
      <c r="V127" s="183">
        <f t="shared" si="8"/>
        <v>1</v>
      </c>
      <c r="W127" s="183">
        <f t="shared" si="9"/>
        <v>0</v>
      </c>
    </row>
    <row r="128" spans="1:23" x14ac:dyDescent="0.3">
      <c r="A128" s="184"/>
      <c r="B128" s="194">
        <v>17</v>
      </c>
      <c r="C128" s="195">
        <v>45650</v>
      </c>
      <c r="D128" s="196" t="s">
        <v>23</v>
      </c>
      <c r="E128" s="196" t="s">
        <v>28</v>
      </c>
      <c r="F128" s="222">
        <v>282.10000000000002</v>
      </c>
      <c r="G128" s="274">
        <v>280.10000000000002</v>
      </c>
      <c r="H128" s="274">
        <v>2</v>
      </c>
      <c r="I128" s="197">
        <v>5000</v>
      </c>
      <c r="J128" s="268">
        <f t="shared" si="7"/>
        <v>10000</v>
      </c>
      <c r="K128" s="185"/>
      <c r="V128" s="183">
        <f t="shared" si="8"/>
        <v>1</v>
      </c>
      <c r="W128" s="183">
        <f t="shared" si="9"/>
        <v>0</v>
      </c>
    </row>
    <row r="129" spans="1:23" x14ac:dyDescent="0.3">
      <c r="A129" s="184"/>
      <c r="B129" s="194">
        <v>18</v>
      </c>
      <c r="C129" s="195">
        <v>45652</v>
      </c>
      <c r="D129" s="196" t="s">
        <v>23</v>
      </c>
      <c r="E129" s="196" t="s">
        <v>28</v>
      </c>
      <c r="F129" s="222">
        <v>283</v>
      </c>
      <c r="G129" s="222">
        <v>282.5</v>
      </c>
      <c r="H129" s="274">
        <v>0.5</v>
      </c>
      <c r="I129" s="197">
        <v>5000</v>
      </c>
      <c r="J129" s="268">
        <f t="shared" si="7"/>
        <v>2500</v>
      </c>
      <c r="K129" s="185"/>
      <c r="V129" s="183">
        <f t="shared" si="8"/>
        <v>1</v>
      </c>
      <c r="W129" s="183">
        <f t="shared" si="9"/>
        <v>0</v>
      </c>
    </row>
    <row r="130" spans="1:23" x14ac:dyDescent="0.3">
      <c r="A130" s="184"/>
      <c r="B130" s="194">
        <v>19</v>
      </c>
      <c r="C130" s="195">
        <v>45653</v>
      </c>
      <c r="D130" s="196" t="s">
        <v>23</v>
      </c>
      <c r="E130" s="196" t="s">
        <v>28</v>
      </c>
      <c r="F130" s="222">
        <v>283.5</v>
      </c>
      <c r="G130" s="222">
        <v>281.5</v>
      </c>
      <c r="H130" s="274">
        <v>2</v>
      </c>
      <c r="I130" s="197">
        <v>5000</v>
      </c>
      <c r="J130" s="268">
        <f t="shared" si="7"/>
        <v>10000</v>
      </c>
      <c r="K130" s="185"/>
      <c r="V130" s="183">
        <f t="shared" si="8"/>
        <v>1</v>
      </c>
      <c r="W130" s="183">
        <f t="shared" si="9"/>
        <v>0</v>
      </c>
    </row>
    <row r="131" spans="1:23" x14ac:dyDescent="0.3">
      <c r="A131" s="184"/>
      <c r="B131" s="194">
        <v>20</v>
      </c>
      <c r="C131" s="195">
        <v>45656</v>
      </c>
      <c r="D131" s="196" t="s">
        <v>23</v>
      </c>
      <c r="E131" s="196" t="s">
        <v>28</v>
      </c>
      <c r="F131" s="222">
        <v>285.2</v>
      </c>
      <c r="G131" s="222">
        <v>284.5</v>
      </c>
      <c r="H131" s="274">
        <f>285.2-284.5</f>
        <v>0.69999999999998863</v>
      </c>
      <c r="I131" s="197">
        <v>5000</v>
      </c>
      <c r="J131" s="268">
        <f t="shared" si="7"/>
        <v>3499.9999999999432</v>
      </c>
      <c r="K131" s="185"/>
    </row>
    <row r="132" spans="1:23" x14ac:dyDescent="0.3">
      <c r="A132" s="184"/>
      <c r="B132" s="194">
        <v>21</v>
      </c>
      <c r="C132" s="195">
        <v>45657</v>
      </c>
      <c r="D132" s="196" t="s">
        <v>23</v>
      </c>
      <c r="E132" s="196" t="s">
        <v>28</v>
      </c>
      <c r="F132" s="222">
        <v>281.60000000000002</v>
      </c>
      <c r="G132" s="222">
        <v>281.2</v>
      </c>
      <c r="H132" s="274">
        <f>281.6-281.2</f>
        <v>0.40000000000003411</v>
      </c>
      <c r="I132" s="197">
        <v>5000</v>
      </c>
      <c r="J132" s="268">
        <f t="shared" si="7"/>
        <v>2000.0000000001705</v>
      </c>
      <c r="K132" s="185"/>
    </row>
    <row r="133" spans="1:23" hidden="1" x14ac:dyDescent="0.3">
      <c r="A133" s="184"/>
      <c r="B133" s="194">
        <v>22</v>
      </c>
      <c r="C133" s="195"/>
      <c r="D133" s="196"/>
      <c r="E133" s="196"/>
      <c r="F133" s="222"/>
      <c r="G133" s="222"/>
      <c r="H133" s="274"/>
      <c r="I133" s="197"/>
      <c r="J133" s="268">
        <f t="shared" si="7"/>
        <v>0</v>
      </c>
      <c r="K133" s="185"/>
    </row>
    <row r="134" spans="1:23" hidden="1" x14ac:dyDescent="0.3">
      <c r="A134" s="184"/>
      <c r="B134" s="194">
        <v>23</v>
      </c>
      <c r="C134" s="195"/>
      <c r="D134" s="196"/>
      <c r="E134" s="196"/>
      <c r="F134" s="222"/>
      <c r="G134" s="222"/>
      <c r="H134" s="274"/>
      <c r="I134" s="197"/>
      <c r="J134" s="268">
        <f t="shared" si="7"/>
        <v>0</v>
      </c>
      <c r="K134" s="185"/>
    </row>
    <row r="135" spans="1:23" hidden="1" x14ac:dyDescent="0.3">
      <c r="A135" s="184"/>
      <c r="B135" s="194">
        <v>24</v>
      </c>
      <c r="C135" s="195"/>
      <c r="D135" s="196"/>
      <c r="E135" s="196"/>
      <c r="F135" s="222"/>
      <c r="G135" s="222"/>
      <c r="H135" s="274"/>
      <c r="I135" s="197"/>
      <c r="J135" s="268">
        <f t="shared" si="7"/>
        <v>0</v>
      </c>
      <c r="K135" s="185"/>
    </row>
    <row r="136" spans="1:23" hidden="1" x14ac:dyDescent="0.3">
      <c r="A136" s="184"/>
      <c r="B136" s="194">
        <v>25</v>
      </c>
      <c r="C136" s="195"/>
      <c r="D136" s="196"/>
      <c r="E136" s="196"/>
      <c r="F136" s="222"/>
      <c r="G136" s="222"/>
      <c r="H136" s="274"/>
      <c r="I136" s="197"/>
      <c r="J136" s="268">
        <f t="shared" si="7"/>
        <v>0</v>
      </c>
      <c r="K136" s="185"/>
      <c r="V136" s="183">
        <f t="shared" si="8"/>
        <v>0</v>
      </c>
      <c r="W136" s="183">
        <f t="shared" si="9"/>
        <v>0</v>
      </c>
    </row>
    <row r="137" spans="1:23" hidden="1" x14ac:dyDescent="0.3">
      <c r="A137" s="184"/>
      <c r="B137" s="194">
        <v>21</v>
      </c>
      <c r="C137" s="195"/>
      <c r="D137" s="196"/>
      <c r="E137" s="222"/>
      <c r="F137" s="222"/>
      <c r="G137" s="222"/>
      <c r="H137" s="274"/>
      <c r="I137" s="197"/>
      <c r="J137" s="268">
        <f t="shared" si="7"/>
        <v>0</v>
      </c>
      <c r="K137" s="185"/>
      <c r="V137" s="183">
        <f t="shared" si="8"/>
        <v>0</v>
      </c>
      <c r="W137" s="183">
        <f t="shared" si="9"/>
        <v>0</v>
      </c>
    </row>
    <row r="138" spans="1:23" hidden="1" x14ac:dyDescent="0.3">
      <c r="A138" s="184"/>
      <c r="B138" s="194">
        <v>22</v>
      </c>
      <c r="C138" s="195"/>
      <c r="D138" s="196"/>
      <c r="E138" s="222"/>
      <c r="F138" s="222"/>
      <c r="G138" s="222"/>
      <c r="H138" s="274"/>
      <c r="I138" s="197"/>
      <c r="J138" s="268">
        <f t="shared" si="7"/>
        <v>0</v>
      </c>
      <c r="K138" s="185"/>
      <c r="V138" s="183">
        <f>IF($J138&gt;0,1,0)</f>
        <v>0</v>
      </c>
      <c r="W138" s="183">
        <f>IF($J138&lt;0,1,0)</f>
        <v>0</v>
      </c>
    </row>
    <row r="139" spans="1:23" hidden="1" x14ac:dyDescent="0.3">
      <c r="A139" s="184"/>
      <c r="B139" s="194">
        <v>23</v>
      </c>
      <c r="C139" s="195"/>
      <c r="D139" s="196"/>
      <c r="E139" s="222"/>
      <c r="F139" s="222"/>
      <c r="G139" s="222"/>
      <c r="H139" s="222"/>
      <c r="I139" s="197"/>
      <c r="J139" s="268">
        <f>I139*H139</f>
        <v>0</v>
      </c>
      <c r="K139" s="185"/>
      <c r="V139" s="183">
        <f>IF($J139&gt;0,1,0)</f>
        <v>0</v>
      </c>
      <c r="W139" s="183">
        <f>IF($J139&lt;0,1,0)</f>
        <v>0</v>
      </c>
    </row>
    <row r="140" spans="1:23" ht="15" hidden="1" thickBot="1" x14ac:dyDescent="0.35">
      <c r="A140" s="184"/>
      <c r="B140" s="194">
        <v>26</v>
      </c>
      <c r="C140" s="220"/>
      <c r="D140" s="221"/>
      <c r="E140" s="221"/>
      <c r="F140" s="222"/>
      <c r="G140" s="222"/>
      <c r="H140" s="222"/>
      <c r="I140" s="211"/>
      <c r="J140" s="272">
        <f>I140*H140</f>
        <v>0</v>
      </c>
      <c r="K140" s="185"/>
      <c r="V140" s="183">
        <f>IF($J140&gt;0,1,0)</f>
        <v>0</v>
      </c>
      <c r="W140" s="183">
        <f>IF($J140&lt;0,1,0)</f>
        <v>0</v>
      </c>
    </row>
    <row r="141" spans="1:23" ht="24" thickBot="1" x14ac:dyDescent="0.5">
      <c r="A141" s="184"/>
      <c r="B141" s="373" t="s">
        <v>879</v>
      </c>
      <c r="C141" s="317"/>
      <c r="D141" s="317"/>
      <c r="E141" s="317"/>
      <c r="F141" s="317"/>
      <c r="G141" s="317"/>
      <c r="H141" s="318"/>
      <c r="I141" s="212" t="s">
        <v>880</v>
      </c>
      <c r="J141" s="213">
        <f>SUM(J112:J140)</f>
        <v>115650.00000000026</v>
      </c>
      <c r="K141" s="185"/>
      <c r="V141" s="183">
        <f>SUM(V112:V140)</f>
        <v>19</v>
      </c>
      <c r="W141" s="183">
        <f>SUM(W112:W140)</f>
        <v>0</v>
      </c>
    </row>
    <row r="142" spans="1:23" ht="30" customHeight="1" thickBot="1" x14ac:dyDescent="0.35">
      <c r="A142" s="205"/>
      <c r="B142" s="206"/>
      <c r="C142" s="206"/>
      <c r="D142" s="206"/>
      <c r="E142" s="206"/>
      <c r="F142" s="206"/>
      <c r="G142" s="206"/>
      <c r="H142" s="261"/>
      <c r="I142" s="206"/>
      <c r="J142" s="261"/>
      <c r="K142" s="207"/>
      <c r="L142" s="183" t="s">
        <v>926</v>
      </c>
    </row>
    <row r="143" spans="1:23" ht="15" thickBot="1" x14ac:dyDescent="0.35"/>
    <row r="144" spans="1:23" ht="30" customHeight="1" thickBot="1" x14ac:dyDescent="0.35">
      <c r="A144" s="180"/>
      <c r="B144" s="181"/>
      <c r="C144" s="181"/>
      <c r="D144" s="181"/>
      <c r="E144" s="181"/>
      <c r="F144" s="181"/>
      <c r="G144" s="181"/>
      <c r="H144" s="259"/>
      <c r="I144" s="181"/>
      <c r="J144" s="259"/>
      <c r="K144" s="182"/>
    </row>
    <row r="145" spans="1:23" ht="25.2" thickBot="1" x14ac:dyDescent="0.35">
      <c r="A145" s="184" t="s">
        <v>0</v>
      </c>
      <c r="B145" s="307" t="s">
        <v>873</v>
      </c>
      <c r="C145" s="308"/>
      <c r="D145" s="308"/>
      <c r="E145" s="308"/>
      <c r="F145" s="308"/>
      <c r="G145" s="308"/>
      <c r="H145" s="308"/>
      <c r="I145" s="308"/>
      <c r="J145" s="309"/>
      <c r="K145" s="185"/>
    </row>
    <row r="146" spans="1:23" ht="16.2" thickBot="1" x14ac:dyDescent="0.35">
      <c r="A146" s="184"/>
      <c r="B146" s="310">
        <v>45627</v>
      </c>
      <c r="C146" s="311"/>
      <c r="D146" s="311"/>
      <c r="E146" s="311"/>
      <c r="F146" s="311"/>
      <c r="G146" s="311"/>
      <c r="H146" s="311"/>
      <c r="I146" s="311"/>
      <c r="J146" s="312"/>
      <c r="K146" s="185"/>
    </row>
    <row r="147" spans="1:23" ht="16.2" thickBot="1" x14ac:dyDescent="0.35">
      <c r="A147" s="184"/>
      <c r="B147" s="313" t="s">
        <v>905</v>
      </c>
      <c r="C147" s="314"/>
      <c r="D147" s="314"/>
      <c r="E147" s="314"/>
      <c r="F147" s="314"/>
      <c r="G147" s="314"/>
      <c r="H147" s="314"/>
      <c r="I147" s="314"/>
      <c r="J147" s="315"/>
      <c r="K147" s="185"/>
    </row>
    <row r="148" spans="1:23" ht="15" thickBot="1" x14ac:dyDescent="0.35">
      <c r="A148" s="208"/>
      <c r="B148" s="186" t="s">
        <v>876</v>
      </c>
      <c r="C148" s="187" t="s">
        <v>1</v>
      </c>
      <c r="D148" s="188" t="s">
        <v>2</v>
      </c>
      <c r="E148" s="188" t="s">
        <v>3</v>
      </c>
      <c r="F148" s="189" t="s">
        <v>4</v>
      </c>
      <c r="G148" s="189" t="s">
        <v>5</v>
      </c>
      <c r="H148" s="260" t="s">
        <v>720</v>
      </c>
      <c r="I148" s="189" t="s">
        <v>6</v>
      </c>
      <c r="J148" s="266" t="s">
        <v>7</v>
      </c>
      <c r="K148" s="209"/>
      <c r="L148" s="198"/>
      <c r="V148" s="183" t="s">
        <v>254</v>
      </c>
      <c r="W148" s="183" t="s">
        <v>255</v>
      </c>
    </row>
    <row r="149" spans="1:23" x14ac:dyDescent="0.3">
      <c r="A149" s="184"/>
      <c r="B149" s="214">
        <v>1</v>
      </c>
      <c r="C149" s="215">
        <v>45628</v>
      </c>
      <c r="D149" s="216" t="s">
        <v>16</v>
      </c>
      <c r="E149" s="256" t="s">
        <v>924</v>
      </c>
      <c r="F149" s="256">
        <v>185</v>
      </c>
      <c r="G149" s="256">
        <v>225</v>
      </c>
      <c r="H149" s="256">
        <f>225-185</f>
        <v>40</v>
      </c>
      <c r="I149" s="218">
        <v>100</v>
      </c>
      <c r="J149" s="273">
        <f>I149*H149</f>
        <v>4000</v>
      </c>
      <c r="K149" s="185"/>
      <c r="V149" s="183">
        <f>IF($J149&gt;0,1,0)</f>
        <v>1</v>
      </c>
      <c r="W149" s="183">
        <f>IF($J149&lt;0,1,0)</f>
        <v>0</v>
      </c>
    </row>
    <row r="150" spans="1:23" x14ac:dyDescent="0.3">
      <c r="A150" s="184"/>
      <c r="B150" s="194">
        <v>2</v>
      </c>
      <c r="C150" s="195">
        <v>45629</v>
      </c>
      <c r="D150" s="196" t="s">
        <v>16</v>
      </c>
      <c r="E150" s="222" t="s">
        <v>924</v>
      </c>
      <c r="F150" s="222">
        <v>175</v>
      </c>
      <c r="G150" s="222">
        <v>155</v>
      </c>
      <c r="H150" s="222">
        <v>-20</v>
      </c>
      <c r="I150" s="218">
        <v>100</v>
      </c>
      <c r="J150" s="268">
        <f t="shared" ref="J150:J169" si="10">I150*H150</f>
        <v>-2000</v>
      </c>
      <c r="K150" s="185"/>
      <c r="V150" s="183">
        <f t="shared" ref="V150:V171" si="11">IF($J150&gt;0,1,0)</f>
        <v>0</v>
      </c>
      <c r="W150" s="183">
        <f t="shared" ref="W150:W171" si="12">IF($J150&lt;0,1,0)</f>
        <v>1</v>
      </c>
    </row>
    <row r="151" spans="1:23" x14ac:dyDescent="0.3">
      <c r="A151" s="184"/>
      <c r="B151" s="194">
        <v>3</v>
      </c>
      <c r="C151" s="195">
        <v>45630</v>
      </c>
      <c r="D151" s="196" t="s">
        <v>16</v>
      </c>
      <c r="E151" s="222" t="s">
        <v>915</v>
      </c>
      <c r="F151" s="222">
        <v>210</v>
      </c>
      <c r="G151" s="222">
        <v>242</v>
      </c>
      <c r="H151" s="222">
        <f>242-210</f>
        <v>32</v>
      </c>
      <c r="I151" s="218">
        <v>100</v>
      </c>
      <c r="J151" s="268">
        <f t="shared" si="10"/>
        <v>3200</v>
      </c>
      <c r="K151" s="185"/>
      <c r="M151" s="183" t="s">
        <v>870</v>
      </c>
      <c r="V151" s="183">
        <f t="shared" si="11"/>
        <v>1</v>
      </c>
      <c r="W151" s="183">
        <f t="shared" si="12"/>
        <v>0</v>
      </c>
    </row>
    <row r="152" spans="1:23" x14ac:dyDescent="0.3">
      <c r="A152" s="184"/>
      <c r="B152" s="194">
        <v>4</v>
      </c>
      <c r="C152" s="195">
        <v>45631</v>
      </c>
      <c r="D152" s="196" t="s">
        <v>16</v>
      </c>
      <c r="E152" s="222" t="s">
        <v>947</v>
      </c>
      <c r="F152" s="222">
        <v>205</v>
      </c>
      <c r="G152" s="222">
        <v>224</v>
      </c>
      <c r="H152" s="222">
        <f>224-205</f>
        <v>19</v>
      </c>
      <c r="I152" s="218">
        <v>100</v>
      </c>
      <c r="J152" s="268">
        <f t="shared" si="10"/>
        <v>1900</v>
      </c>
      <c r="K152" s="185"/>
      <c r="V152" s="183">
        <f t="shared" si="11"/>
        <v>1</v>
      </c>
      <c r="W152" s="183">
        <f t="shared" si="12"/>
        <v>0</v>
      </c>
    </row>
    <row r="153" spans="1:23" x14ac:dyDescent="0.3">
      <c r="A153" s="184"/>
      <c r="B153" s="194">
        <v>5</v>
      </c>
      <c r="C153" s="195">
        <v>45632</v>
      </c>
      <c r="D153" s="196" t="s">
        <v>16</v>
      </c>
      <c r="E153" s="222" t="s">
        <v>963</v>
      </c>
      <c r="F153" s="222">
        <v>205</v>
      </c>
      <c r="G153" s="222">
        <v>245</v>
      </c>
      <c r="H153" s="222">
        <v>40</v>
      </c>
      <c r="I153" s="218">
        <v>100</v>
      </c>
      <c r="J153" s="268">
        <f t="shared" si="10"/>
        <v>4000</v>
      </c>
      <c r="K153" s="185"/>
      <c r="V153" s="183">
        <f t="shared" si="11"/>
        <v>1</v>
      </c>
      <c r="W153" s="183">
        <f t="shared" si="12"/>
        <v>0</v>
      </c>
    </row>
    <row r="154" spans="1:23" x14ac:dyDescent="0.3">
      <c r="A154" s="184"/>
      <c r="B154" s="194">
        <v>6</v>
      </c>
      <c r="C154" s="195">
        <v>45635</v>
      </c>
      <c r="D154" s="196" t="s">
        <v>16</v>
      </c>
      <c r="E154" s="222" t="s">
        <v>924</v>
      </c>
      <c r="F154" s="222">
        <v>170</v>
      </c>
      <c r="G154" s="222">
        <v>182</v>
      </c>
      <c r="H154" s="222">
        <v>12</v>
      </c>
      <c r="I154" s="218">
        <v>100</v>
      </c>
      <c r="J154" s="268">
        <f t="shared" si="10"/>
        <v>1200</v>
      </c>
      <c r="K154" s="185"/>
      <c r="V154" s="183">
        <f t="shared" si="11"/>
        <v>1</v>
      </c>
      <c r="W154" s="183">
        <f t="shared" si="12"/>
        <v>0</v>
      </c>
    </row>
    <row r="155" spans="1:23" x14ac:dyDescent="0.3">
      <c r="A155" s="184"/>
      <c r="B155" s="194">
        <v>7</v>
      </c>
      <c r="C155" s="195">
        <v>45636</v>
      </c>
      <c r="D155" s="196" t="s">
        <v>16</v>
      </c>
      <c r="E155" s="222" t="s">
        <v>916</v>
      </c>
      <c r="F155" s="222">
        <v>220</v>
      </c>
      <c r="G155" s="222">
        <v>257</v>
      </c>
      <c r="H155" s="274">
        <f>257-220</f>
        <v>37</v>
      </c>
      <c r="I155" s="218">
        <v>100</v>
      </c>
      <c r="J155" s="268">
        <f t="shared" si="10"/>
        <v>3700</v>
      </c>
      <c r="K155" s="185"/>
      <c r="M155" s="183" t="s">
        <v>942</v>
      </c>
      <c r="V155" s="183">
        <f t="shared" si="11"/>
        <v>1</v>
      </c>
      <c r="W155" s="183">
        <f t="shared" si="12"/>
        <v>0</v>
      </c>
    </row>
    <row r="156" spans="1:23" x14ac:dyDescent="0.3">
      <c r="A156" s="184"/>
      <c r="B156" s="194">
        <v>8</v>
      </c>
      <c r="C156" s="195">
        <v>45637</v>
      </c>
      <c r="D156" s="196" t="s">
        <v>16</v>
      </c>
      <c r="E156" s="222" t="s">
        <v>916</v>
      </c>
      <c r="F156" s="222">
        <v>155</v>
      </c>
      <c r="G156" s="222">
        <v>135</v>
      </c>
      <c r="H156" s="222">
        <v>-20</v>
      </c>
      <c r="I156" s="218">
        <v>100</v>
      </c>
      <c r="J156" s="268">
        <f t="shared" si="10"/>
        <v>-2000</v>
      </c>
      <c r="K156" s="185"/>
      <c r="V156" s="183">
        <f t="shared" si="11"/>
        <v>0</v>
      </c>
      <c r="W156" s="183">
        <f t="shared" si="12"/>
        <v>1</v>
      </c>
    </row>
    <row r="157" spans="1:23" x14ac:dyDescent="0.3">
      <c r="A157" s="184"/>
      <c r="B157" s="194">
        <v>9</v>
      </c>
      <c r="C157" s="195">
        <v>45638</v>
      </c>
      <c r="D157" s="196" t="s">
        <v>16</v>
      </c>
      <c r="E157" s="222" t="s">
        <v>908</v>
      </c>
      <c r="F157" s="222">
        <v>220</v>
      </c>
      <c r="G157" s="222">
        <v>250</v>
      </c>
      <c r="H157" s="222">
        <v>30</v>
      </c>
      <c r="I157" s="218">
        <v>100</v>
      </c>
      <c r="J157" s="268">
        <f t="shared" si="10"/>
        <v>3000</v>
      </c>
      <c r="K157" s="185"/>
      <c r="V157" s="183">
        <f t="shared" si="11"/>
        <v>1</v>
      </c>
      <c r="W157" s="183">
        <f t="shared" si="12"/>
        <v>0</v>
      </c>
    </row>
    <row r="158" spans="1:23" x14ac:dyDescent="0.3">
      <c r="A158" s="184"/>
      <c r="B158" s="194">
        <v>10</v>
      </c>
      <c r="C158" s="195">
        <v>45639</v>
      </c>
      <c r="D158" s="196" t="s">
        <v>16</v>
      </c>
      <c r="E158" s="222" t="s">
        <v>915</v>
      </c>
      <c r="F158" s="222">
        <v>165</v>
      </c>
      <c r="G158" s="222">
        <v>145</v>
      </c>
      <c r="H158" s="222">
        <v>-20</v>
      </c>
      <c r="I158" s="218">
        <v>100</v>
      </c>
      <c r="J158" s="268">
        <f t="shared" si="10"/>
        <v>-2000</v>
      </c>
      <c r="K158" s="185"/>
      <c r="V158" s="183">
        <f t="shared" si="11"/>
        <v>0</v>
      </c>
      <c r="W158" s="183">
        <f t="shared" si="12"/>
        <v>1</v>
      </c>
    </row>
    <row r="159" spans="1:23" x14ac:dyDescent="0.3">
      <c r="A159" s="184"/>
      <c r="B159" s="194">
        <v>11</v>
      </c>
      <c r="C159" s="195">
        <v>45642</v>
      </c>
      <c r="D159" s="196" t="s">
        <v>16</v>
      </c>
      <c r="E159" s="222" t="s">
        <v>916</v>
      </c>
      <c r="F159" s="222">
        <v>215</v>
      </c>
      <c r="G159" s="222">
        <v>230</v>
      </c>
      <c r="H159" s="274">
        <v>15</v>
      </c>
      <c r="I159" s="218">
        <v>100</v>
      </c>
      <c r="J159" s="268">
        <f t="shared" si="10"/>
        <v>1500</v>
      </c>
      <c r="K159" s="185"/>
      <c r="V159" s="183">
        <f t="shared" si="11"/>
        <v>1</v>
      </c>
      <c r="W159" s="183">
        <f t="shared" si="12"/>
        <v>0</v>
      </c>
    </row>
    <row r="160" spans="1:23" x14ac:dyDescent="0.3">
      <c r="A160" s="184"/>
      <c r="B160" s="194">
        <v>12</v>
      </c>
      <c r="C160" s="195">
        <v>45643</v>
      </c>
      <c r="D160" s="196" t="s">
        <v>16</v>
      </c>
      <c r="E160" s="222" t="s">
        <v>916</v>
      </c>
      <c r="F160" s="222">
        <v>212</v>
      </c>
      <c r="G160" s="222">
        <v>225</v>
      </c>
      <c r="H160" s="274">
        <f>225-212</f>
        <v>13</v>
      </c>
      <c r="I160" s="218">
        <v>100</v>
      </c>
      <c r="J160" s="268">
        <f t="shared" si="10"/>
        <v>1300</v>
      </c>
      <c r="K160" s="185"/>
      <c r="V160" s="183">
        <f t="shared" si="11"/>
        <v>1</v>
      </c>
      <c r="W160" s="183">
        <f t="shared" si="12"/>
        <v>0</v>
      </c>
    </row>
    <row r="161" spans="1:23" x14ac:dyDescent="0.3">
      <c r="A161" s="184"/>
      <c r="B161" s="194">
        <v>13</v>
      </c>
      <c r="C161" s="195">
        <v>45644</v>
      </c>
      <c r="D161" s="196" t="s">
        <v>16</v>
      </c>
      <c r="E161" s="222" t="s">
        <v>916</v>
      </c>
      <c r="F161" s="222">
        <v>195</v>
      </c>
      <c r="G161" s="222">
        <v>202</v>
      </c>
      <c r="H161" s="274">
        <f>202-195</f>
        <v>7</v>
      </c>
      <c r="I161" s="218">
        <v>100</v>
      </c>
      <c r="J161" s="268">
        <f t="shared" si="10"/>
        <v>700</v>
      </c>
      <c r="K161" s="185"/>
      <c r="V161" s="183">
        <f t="shared" si="11"/>
        <v>1</v>
      </c>
      <c r="W161" s="183">
        <f t="shared" si="12"/>
        <v>0</v>
      </c>
    </row>
    <row r="162" spans="1:23" x14ac:dyDescent="0.3">
      <c r="A162" s="184"/>
      <c r="B162" s="194">
        <v>14</v>
      </c>
      <c r="C162" s="195">
        <v>45645</v>
      </c>
      <c r="D162" s="196" t="s">
        <v>16</v>
      </c>
      <c r="E162" s="222" t="s">
        <v>916</v>
      </c>
      <c r="F162" s="222">
        <v>195</v>
      </c>
      <c r="G162" s="222">
        <v>175</v>
      </c>
      <c r="H162" s="274">
        <v>-20</v>
      </c>
      <c r="I162" s="218">
        <v>100</v>
      </c>
      <c r="J162" s="268">
        <f t="shared" si="10"/>
        <v>-2000</v>
      </c>
      <c r="K162" s="185"/>
      <c r="V162" s="183">
        <f t="shared" si="11"/>
        <v>0</v>
      </c>
      <c r="W162" s="183">
        <f t="shared" si="12"/>
        <v>1</v>
      </c>
    </row>
    <row r="163" spans="1:23" x14ac:dyDescent="0.3">
      <c r="A163" s="184"/>
      <c r="B163" s="194">
        <v>15</v>
      </c>
      <c r="C163" s="195">
        <v>45646</v>
      </c>
      <c r="D163" s="196" t="s">
        <v>16</v>
      </c>
      <c r="E163" s="196" t="s">
        <v>924</v>
      </c>
      <c r="F163" s="222">
        <v>190</v>
      </c>
      <c r="G163" s="222">
        <v>205</v>
      </c>
      <c r="H163" s="222">
        <f>205-190</f>
        <v>15</v>
      </c>
      <c r="I163" s="218">
        <v>100</v>
      </c>
      <c r="J163" s="268">
        <f t="shared" si="10"/>
        <v>1500</v>
      </c>
      <c r="K163" s="185"/>
      <c r="V163" s="183">
        <f t="shared" si="11"/>
        <v>1</v>
      </c>
      <c r="W163" s="183">
        <f t="shared" si="12"/>
        <v>0</v>
      </c>
    </row>
    <row r="164" spans="1:23" x14ac:dyDescent="0.3">
      <c r="A164" s="184"/>
      <c r="B164" s="194">
        <v>16</v>
      </c>
      <c r="C164" s="195">
        <v>45649</v>
      </c>
      <c r="D164" s="196" t="s">
        <v>16</v>
      </c>
      <c r="E164" s="196" t="s">
        <v>916</v>
      </c>
      <c r="F164" s="222">
        <v>195</v>
      </c>
      <c r="G164" s="274">
        <v>235</v>
      </c>
      <c r="H164" s="274">
        <f>235-195</f>
        <v>40</v>
      </c>
      <c r="I164" s="218">
        <v>100</v>
      </c>
      <c r="J164" s="268">
        <f t="shared" si="10"/>
        <v>4000</v>
      </c>
      <c r="K164" s="185"/>
      <c r="V164" s="183">
        <f t="shared" si="11"/>
        <v>1</v>
      </c>
      <c r="W164" s="183">
        <f t="shared" si="12"/>
        <v>0</v>
      </c>
    </row>
    <row r="165" spans="1:23" x14ac:dyDescent="0.3">
      <c r="A165" s="184"/>
      <c r="B165" s="194">
        <v>17</v>
      </c>
      <c r="C165" s="195">
        <v>45650</v>
      </c>
      <c r="D165" s="196" t="s">
        <v>16</v>
      </c>
      <c r="E165" s="196" t="s">
        <v>916</v>
      </c>
      <c r="F165" s="222">
        <v>185</v>
      </c>
      <c r="G165" s="222">
        <v>195</v>
      </c>
      <c r="H165" s="263">
        <v>10</v>
      </c>
      <c r="I165" s="218">
        <v>100</v>
      </c>
      <c r="J165" s="268">
        <f t="shared" si="10"/>
        <v>1000</v>
      </c>
      <c r="K165" s="185"/>
      <c r="V165" s="183">
        <f t="shared" si="11"/>
        <v>1</v>
      </c>
      <c r="W165" s="183">
        <f t="shared" si="12"/>
        <v>0</v>
      </c>
    </row>
    <row r="166" spans="1:23" x14ac:dyDescent="0.3">
      <c r="A166" s="184"/>
      <c r="B166" s="194">
        <v>18</v>
      </c>
      <c r="C166" s="195">
        <v>45652</v>
      </c>
      <c r="D166" s="196" t="s">
        <v>16</v>
      </c>
      <c r="E166" s="196" t="s">
        <v>916</v>
      </c>
      <c r="F166" s="222">
        <v>205</v>
      </c>
      <c r="G166" s="222">
        <v>245</v>
      </c>
      <c r="H166" s="274">
        <v>40</v>
      </c>
      <c r="I166" s="218">
        <v>100</v>
      </c>
      <c r="J166" s="268">
        <f t="shared" si="10"/>
        <v>4000</v>
      </c>
      <c r="K166" s="185"/>
      <c r="V166" s="183">
        <f t="shared" si="11"/>
        <v>1</v>
      </c>
      <c r="W166" s="183">
        <f t="shared" si="12"/>
        <v>0</v>
      </c>
    </row>
    <row r="167" spans="1:23" x14ac:dyDescent="0.3">
      <c r="A167" s="184"/>
      <c r="B167" s="194">
        <v>19</v>
      </c>
      <c r="C167" s="195">
        <v>45653</v>
      </c>
      <c r="D167" s="196" t="s">
        <v>16</v>
      </c>
      <c r="E167" s="196" t="s">
        <v>915</v>
      </c>
      <c r="F167" s="222">
        <v>210</v>
      </c>
      <c r="G167" s="222">
        <v>222</v>
      </c>
      <c r="H167" s="274">
        <f>222-210</f>
        <v>12</v>
      </c>
      <c r="I167" s="218">
        <v>100</v>
      </c>
      <c r="J167" s="268">
        <f t="shared" si="10"/>
        <v>1200</v>
      </c>
      <c r="K167" s="185"/>
      <c r="V167" s="183">
        <f t="shared" si="11"/>
        <v>1</v>
      </c>
      <c r="W167" s="183">
        <f t="shared" si="12"/>
        <v>0</v>
      </c>
    </row>
    <row r="168" spans="1:23" x14ac:dyDescent="0.3">
      <c r="A168" s="184"/>
      <c r="B168" s="194">
        <v>20</v>
      </c>
      <c r="C168" s="195">
        <v>45656</v>
      </c>
      <c r="D168" s="196" t="s">
        <v>16</v>
      </c>
      <c r="E168" s="222" t="s">
        <v>915</v>
      </c>
      <c r="F168" s="222">
        <v>175</v>
      </c>
      <c r="G168" s="222">
        <v>185</v>
      </c>
      <c r="H168" s="274">
        <v>10</v>
      </c>
      <c r="I168" s="218">
        <v>100</v>
      </c>
      <c r="J168" s="268">
        <f t="shared" si="10"/>
        <v>1000</v>
      </c>
      <c r="K168" s="185"/>
      <c r="V168" s="183">
        <f t="shared" si="11"/>
        <v>1</v>
      </c>
      <c r="W168" s="183">
        <f t="shared" si="12"/>
        <v>0</v>
      </c>
    </row>
    <row r="169" spans="1:23" x14ac:dyDescent="0.3">
      <c r="A169" s="184"/>
      <c r="B169" s="194">
        <v>21</v>
      </c>
      <c r="C169" s="195">
        <v>45657</v>
      </c>
      <c r="D169" s="196" t="s">
        <v>16</v>
      </c>
      <c r="E169" s="222" t="s">
        <v>908</v>
      </c>
      <c r="F169" s="222">
        <v>170</v>
      </c>
      <c r="G169" s="222">
        <v>190</v>
      </c>
      <c r="H169" s="274">
        <v>20</v>
      </c>
      <c r="I169" s="218">
        <v>100</v>
      </c>
      <c r="J169" s="268">
        <f t="shared" si="10"/>
        <v>2000</v>
      </c>
      <c r="K169" s="185"/>
      <c r="V169" s="183">
        <f t="shared" si="11"/>
        <v>1</v>
      </c>
      <c r="W169" s="183">
        <f t="shared" si="12"/>
        <v>0</v>
      </c>
    </row>
    <row r="170" spans="1:23" x14ac:dyDescent="0.3">
      <c r="A170" s="184"/>
      <c r="B170" s="194">
        <v>22</v>
      </c>
      <c r="C170" s="195"/>
      <c r="D170" s="196"/>
      <c r="E170" s="222"/>
      <c r="F170" s="222"/>
      <c r="G170" s="222"/>
      <c r="H170" s="222"/>
      <c r="I170" s="218"/>
      <c r="J170" s="268">
        <f>I170*H170</f>
        <v>0</v>
      </c>
      <c r="K170" s="185"/>
      <c r="V170" s="183">
        <f t="shared" si="11"/>
        <v>0</v>
      </c>
      <c r="W170" s="183">
        <f t="shared" si="12"/>
        <v>0</v>
      </c>
    </row>
    <row r="171" spans="1:23" ht="15" thickBot="1" x14ac:dyDescent="0.35">
      <c r="A171" s="184"/>
      <c r="B171" s="199">
        <v>23</v>
      </c>
      <c r="C171" s="200"/>
      <c r="D171" s="201"/>
      <c r="E171" s="201"/>
      <c r="F171" s="284"/>
      <c r="G171" s="284"/>
      <c r="H171" s="284"/>
      <c r="I171" s="285"/>
      <c r="J171" s="269">
        <f>I171*H171</f>
        <v>0</v>
      </c>
      <c r="K171" s="185"/>
      <c r="V171" s="183">
        <f t="shared" si="11"/>
        <v>0</v>
      </c>
      <c r="W171" s="183">
        <f t="shared" si="12"/>
        <v>0</v>
      </c>
    </row>
    <row r="172" spans="1:23" ht="24" thickBot="1" x14ac:dyDescent="0.5">
      <c r="A172" s="184"/>
      <c r="B172" s="304" t="s">
        <v>879</v>
      </c>
      <c r="C172" s="305"/>
      <c r="D172" s="305"/>
      <c r="E172" s="305"/>
      <c r="F172" s="305"/>
      <c r="G172" s="305"/>
      <c r="H172" s="306"/>
      <c r="I172" s="203" t="s">
        <v>880</v>
      </c>
      <c r="J172" s="204">
        <f>SUM(J149:J171)</f>
        <v>31200</v>
      </c>
      <c r="K172" s="185"/>
      <c r="V172" s="183">
        <f>SUM(V149:V171)</f>
        <v>17</v>
      </c>
      <c r="W172" s="183">
        <f>SUM(W149:W171)</f>
        <v>4</v>
      </c>
    </row>
    <row r="173" spans="1:23" ht="30" customHeight="1" thickBot="1" x14ac:dyDescent="0.35">
      <c r="A173" s="205"/>
      <c r="B173" s="286"/>
      <c r="C173" s="286"/>
      <c r="D173" s="286"/>
      <c r="E173" s="286"/>
      <c r="F173" s="286"/>
      <c r="G173" s="286"/>
      <c r="H173" s="287"/>
      <c r="I173" s="286"/>
      <c r="J173" s="287"/>
      <c r="K173" s="207"/>
    </row>
    <row r="174" spans="1:23" ht="15" thickBot="1" x14ac:dyDescent="0.35"/>
    <row r="175" spans="1:23" ht="15" thickBot="1" x14ac:dyDescent="0.35">
      <c r="A175" s="180"/>
      <c r="B175" s="181"/>
      <c r="C175" s="181"/>
      <c r="D175" s="181"/>
      <c r="E175" s="181"/>
      <c r="F175" s="181"/>
      <c r="G175" s="181"/>
      <c r="H175" s="259"/>
      <c r="I175" s="181"/>
      <c r="J175" s="259"/>
      <c r="K175" s="182"/>
    </row>
    <row r="176" spans="1:23" ht="25.2" thickBot="1" x14ac:dyDescent="0.35">
      <c r="A176" s="184" t="s">
        <v>0</v>
      </c>
      <c r="B176" s="307" t="s">
        <v>873</v>
      </c>
      <c r="C176" s="308"/>
      <c r="D176" s="308"/>
      <c r="E176" s="308"/>
      <c r="F176" s="308"/>
      <c r="G176" s="308"/>
      <c r="H176" s="308"/>
      <c r="I176" s="308"/>
      <c r="J176" s="309"/>
      <c r="K176" s="185"/>
    </row>
    <row r="177" spans="1:23" ht="16.2" thickBot="1" x14ac:dyDescent="0.35">
      <c r="A177" s="184"/>
      <c r="B177" s="310">
        <v>45627</v>
      </c>
      <c r="C177" s="311"/>
      <c r="D177" s="311"/>
      <c r="E177" s="311"/>
      <c r="F177" s="311"/>
      <c r="G177" s="311"/>
      <c r="H177" s="311"/>
      <c r="I177" s="311"/>
      <c r="J177" s="312"/>
      <c r="K177" s="185"/>
    </row>
    <row r="178" spans="1:23" ht="16.2" thickBot="1" x14ac:dyDescent="0.35">
      <c r="A178" s="184"/>
      <c r="B178" s="313" t="s">
        <v>950</v>
      </c>
      <c r="C178" s="314"/>
      <c r="D178" s="314"/>
      <c r="E178" s="314"/>
      <c r="F178" s="314"/>
      <c r="G178" s="314"/>
      <c r="H178" s="314"/>
      <c r="I178" s="314"/>
      <c r="J178" s="315"/>
      <c r="K178" s="185"/>
    </row>
    <row r="179" spans="1:23" ht="15" thickBot="1" x14ac:dyDescent="0.35">
      <c r="A179" s="208"/>
      <c r="B179" s="186" t="s">
        <v>876</v>
      </c>
      <c r="C179" s="187" t="s">
        <v>1</v>
      </c>
      <c r="D179" s="188" t="s">
        <v>2</v>
      </c>
      <c r="E179" s="188" t="s">
        <v>3</v>
      </c>
      <c r="F179" s="189" t="s">
        <v>4</v>
      </c>
      <c r="G179" s="189" t="s">
        <v>5</v>
      </c>
      <c r="H179" s="260" t="s">
        <v>720</v>
      </c>
      <c r="I179" s="189" t="s">
        <v>6</v>
      </c>
      <c r="J179" s="266" t="s">
        <v>7</v>
      </c>
      <c r="K179" s="209"/>
    </row>
    <row r="180" spans="1:23" x14ac:dyDescent="0.3">
      <c r="A180" s="184"/>
      <c r="B180" s="214">
        <v>1</v>
      </c>
      <c r="C180" s="215">
        <v>45642</v>
      </c>
      <c r="D180" s="216" t="s">
        <v>16</v>
      </c>
      <c r="E180" s="256" t="s">
        <v>964</v>
      </c>
      <c r="F180" s="256">
        <v>1130</v>
      </c>
      <c r="G180" s="256">
        <v>1215</v>
      </c>
      <c r="H180" s="256">
        <f>1215-1130</f>
        <v>85</v>
      </c>
      <c r="I180" s="218">
        <v>10</v>
      </c>
      <c r="J180" s="273">
        <f>I180*H180</f>
        <v>850</v>
      </c>
      <c r="K180" s="185"/>
      <c r="V180" s="183">
        <f t="shared" ref="V180:V202" si="13">IF($J180&gt;0,1,0)</f>
        <v>1</v>
      </c>
      <c r="W180" s="183">
        <f t="shared" ref="W180:W202" si="14">IF($J180&lt;0,1,0)</f>
        <v>0</v>
      </c>
    </row>
    <row r="181" spans="1:23" x14ac:dyDescent="0.3">
      <c r="A181" s="184"/>
      <c r="B181" s="194">
        <v>2</v>
      </c>
      <c r="C181" s="195">
        <v>45644</v>
      </c>
      <c r="D181" s="196" t="s">
        <v>16</v>
      </c>
      <c r="E181" s="222" t="s">
        <v>965</v>
      </c>
      <c r="F181" s="222">
        <v>950</v>
      </c>
      <c r="G181" s="222">
        <v>1100</v>
      </c>
      <c r="H181" s="222">
        <f>1100-950</f>
        <v>150</v>
      </c>
      <c r="I181" s="218">
        <v>10</v>
      </c>
      <c r="J181" s="268">
        <f t="shared" ref="J181:J200" si="15">I181*H181</f>
        <v>1500</v>
      </c>
      <c r="K181" s="185"/>
      <c r="V181" s="183">
        <f t="shared" si="13"/>
        <v>1</v>
      </c>
      <c r="W181" s="183">
        <f t="shared" si="14"/>
        <v>0</v>
      </c>
    </row>
    <row r="182" spans="1:23" x14ac:dyDescent="0.3">
      <c r="A182" s="184"/>
      <c r="B182" s="194">
        <v>3</v>
      </c>
      <c r="C182" s="195">
        <v>45650</v>
      </c>
      <c r="D182" s="196" t="s">
        <v>16</v>
      </c>
      <c r="E182" s="222" t="s">
        <v>966</v>
      </c>
      <c r="F182" s="222">
        <v>500</v>
      </c>
      <c r="G182" s="222">
        <v>545</v>
      </c>
      <c r="H182" s="222">
        <v>45</v>
      </c>
      <c r="I182" s="218">
        <v>10</v>
      </c>
      <c r="J182" s="268">
        <f t="shared" si="15"/>
        <v>450</v>
      </c>
      <c r="K182" s="185"/>
      <c r="V182" s="183">
        <f t="shared" si="13"/>
        <v>1</v>
      </c>
      <c r="W182" s="183">
        <f t="shared" si="14"/>
        <v>0</v>
      </c>
    </row>
    <row r="183" spans="1:23" x14ac:dyDescent="0.3">
      <c r="A183" s="184"/>
      <c r="B183" s="194">
        <v>4</v>
      </c>
      <c r="C183" s="195">
        <v>45656</v>
      </c>
      <c r="D183" s="196" t="s">
        <v>16</v>
      </c>
      <c r="E183" s="222" t="s">
        <v>966</v>
      </c>
      <c r="F183" s="222">
        <v>750</v>
      </c>
      <c r="G183" s="222">
        <v>850</v>
      </c>
      <c r="H183" s="222">
        <v>100</v>
      </c>
      <c r="I183" s="218">
        <v>10</v>
      </c>
      <c r="J183" s="268">
        <f t="shared" si="15"/>
        <v>1000</v>
      </c>
      <c r="K183" s="185"/>
      <c r="V183" s="183">
        <f t="shared" si="13"/>
        <v>1</v>
      </c>
      <c r="W183" s="183">
        <f t="shared" si="14"/>
        <v>0</v>
      </c>
    </row>
    <row r="184" spans="1:23" hidden="1" x14ac:dyDescent="0.3">
      <c r="A184" s="184"/>
      <c r="B184" s="194">
        <v>5</v>
      </c>
      <c r="C184" s="195"/>
      <c r="D184" s="196"/>
      <c r="E184" s="222"/>
      <c r="F184" s="222"/>
      <c r="G184" s="222"/>
      <c r="H184" s="222"/>
      <c r="I184" s="218"/>
      <c r="J184" s="268">
        <f t="shared" si="15"/>
        <v>0</v>
      </c>
      <c r="K184" s="185"/>
      <c r="V184" s="183">
        <f t="shared" si="13"/>
        <v>0</v>
      </c>
      <c r="W184" s="183">
        <f t="shared" si="14"/>
        <v>0</v>
      </c>
    </row>
    <row r="185" spans="1:23" hidden="1" x14ac:dyDescent="0.3">
      <c r="A185" s="184"/>
      <c r="B185" s="194">
        <v>6</v>
      </c>
      <c r="C185" s="195"/>
      <c r="D185" s="196"/>
      <c r="E185" s="222"/>
      <c r="F185" s="222"/>
      <c r="G185" s="222"/>
      <c r="H185" s="222"/>
      <c r="I185" s="218"/>
      <c r="J185" s="268">
        <f t="shared" si="15"/>
        <v>0</v>
      </c>
      <c r="K185" s="185"/>
      <c r="V185" s="183">
        <f t="shared" si="13"/>
        <v>0</v>
      </c>
      <c r="W185" s="183">
        <f t="shared" si="14"/>
        <v>0</v>
      </c>
    </row>
    <row r="186" spans="1:23" hidden="1" x14ac:dyDescent="0.3">
      <c r="A186" s="184"/>
      <c r="B186" s="194">
        <v>7</v>
      </c>
      <c r="C186" s="195"/>
      <c r="D186" s="196"/>
      <c r="E186" s="222"/>
      <c r="F186" s="222"/>
      <c r="G186" s="222"/>
      <c r="H186" s="274"/>
      <c r="I186" s="218"/>
      <c r="J186" s="268">
        <f t="shared" si="15"/>
        <v>0</v>
      </c>
      <c r="K186" s="185"/>
      <c r="V186" s="183">
        <f t="shared" si="13"/>
        <v>0</v>
      </c>
      <c r="W186" s="183">
        <f t="shared" si="14"/>
        <v>0</v>
      </c>
    </row>
    <row r="187" spans="1:23" hidden="1" x14ac:dyDescent="0.3">
      <c r="A187" s="184"/>
      <c r="B187" s="194">
        <v>8</v>
      </c>
      <c r="C187" s="195"/>
      <c r="D187" s="196"/>
      <c r="E187" s="222"/>
      <c r="F187" s="222"/>
      <c r="G187" s="222"/>
      <c r="H187" s="222"/>
      <c r="I187" s="218"/>
      <c r="J187" s="268">
        <f t="shared" si="15"/>
        <v>0</v>
      </c>
      <c r="K187" s="185"/>
      <c r="V187" s="183">
        <f t="shared" si="13"/>
        <v>0</v>
      </c>
      <c r="W187" s="183">
        <f t="shared" si="14"/>
        <v>0</v>
      </c>
    </row>
    <row r="188" spans="1:23" hidden="1" x14ac:dyDescent="0.3">
      <c r="A188" s="184"/>
      <c r="B188" s="194">
        <v>9</v>
      </c>
      <c r="C188" s="195"/>
      <c r="D188" s="196"/>
      <c r="E188" s="222"/>
      <c r="F188" s="222"/>
      <c r="G188" s="222"/>
      <c r="H188" s="222"/>
      <c r="I188" s="218"/>
      <c r="J188" s="268">
        <f t="shared" si="15"/>
        <v>0</v>
      </c>
      <c r="K188" s="185"/>
      <c r="V188" s="183">
        <f t="shared" si="13"/>
        <v>0</v>
      </c>
      <c r="W188" s="183">
        <f t="shared" si="14"/>
        <v>0</v>
      </c>
    </row>
    <row r="189" spans="1:23" hidden="1" x14ac:dyDescent="0.3">
      <c r="A189" s="184"/>
      <c r="B189" s="194">
        <v>10</v>
      </c>
      <c r="C189" s="195"/>
      <c r="D189" s="196"/>
      <c r="E189" s="222"/>
      <c r="F189" s="222"/>
      <c r="G189" s="222"/>
      <c r="H189" s="222"/>
      <c r="I189" s="218"/>
      <c r="J189" s="268">
        <f t="shared" si="15"/>
        <v>0</v>
      </c>
      <c r="K189" s="185"/>
      <c r="V189" s="183">
        <f t="shared" si="13"/>
        <v>0</v>
      </c>
      <c r="W189" s="183">
        <f t="shared" si="14"/>
        <v>0</v>
      </c>
    </row>
    <row r="190" spans="1:23" ht="15" thickBot="1" x14ac:dyDescent="0.35">
      <c r="A190" s="184"/>
      <c r="B190" s="194">
        <v>11</v>
      </c>
      <c r="C190" s="195"/>
      <c r="D190" s="196"/>
      <c r="E190" s="222"/>
      <c r="F190" s="222"/>
      <c r="G190" s="222"/>
      <c r="H190" s="274"/>
      <c r="I190" s="218"/>
      <c r="J190" s="268">
        <f t="shared" si="15"/>
        <v>0</v>
      </c>
      <c r="K190" s="185"/>
      <c r="V190" s="183">
        <f t="shared" si="13"/>
        <v>0</v>
      </c>
      <c r="W190" s="183">
        <f t="shared" si="14"/>
        <v>0</v>
      </c>
    </row>
    <row r="191" spans="1:23" ht="15" hidden="1" thickBot="1" x14ac:dyDescent="0.35">
      <c r="A191" s="184"/>
      <c r="B191" s="194">
        <v>12</v>
      </c>
      <c r="C191" s="195"/>
      <c r="D191" s="196"/>
      <c r="E191" s="222"/>
      <c r="F191" s="222"/>
      <c r="G191" s="222"/>
      <c r="H191" s="274"/>
      <c r="I191" s="218"/>
      <c r="J191" s="268">
        <f t="shared" si="15"/>
        <v>0</v>
      </c>
      <c r="K191" s="185"/>
      <c r="V191" s="183">
        <f t="shared" si="13"/>
        <v>0</v>
      </c>
      <c r="W191" s="183">
        <f t="shared" si="14"/>
        <v>0</v>
      </c>
    </row>
    <row r="192" spans="1:23" ht="15" hidden="1" thickBot="1" x14ac:dyDescent="0.35">
      <c r="A192" s="184"/>
      <c r="B192" s="194">
        <v>13</v>
      </c>
      <c r="C192" s="195"/>
      <c r="D192" s="196"/>
      <c r="E192" s="222"/>
      <c r="F192" s="222"/>
      <c r="G192" s="222"/>
      <c r="H192" s="274"/>
      <c r="I192" s="218"/>
      <c r="J192" s="268">
        <f t="shared" si="15"/>
        <v>0</v>
      </c>
      <c r="K192" s="185"/>
      <c r="V192" s="183">
        <f t="shared" si="13"/>
        <v>0</v>
      </c>
      <c r="W192" s="183">
        <f t="shared" si="14"/>
        <v>0</v>
      </c>
    </row>
    <row r="193" spans="1:23" ht="15" hidden="1" thickBot="1" x14ac:dyDescent="0.35">
      <c r="A193" s="184"/>
      <c r="B193" s="194">
        <v>14</v>
      </c>
      <c r="C193" s="195"/>
      <c r="D193" s="196"/>
      <c r="E193" s="222"/>
      <c r="F193" s="222"/>
      <c r="G193" s="222"/>
      <c r="H193" s="274"/>
      <c r="I193" s="218"/>
      <c r="J193" s="268">
        <f t="shared" si="15"/>
        <v>0</v>
      </c>
      <c r="K193" s="185"/>
      <c r="V193" s="183">
        <f t="shared" si="13"/>
        <v>0</v>
      </c>
      <c r="W193" s="183">
        <f t="shared" si="14"/>
        <v>0</v>
      </c>
    </row>
    <row r="194" spans="1:23" ht="15" hidden="1" thickBot="1" x14ac:dyDescent="0.35">
      <c r="A194" s="184"/>
      <c r="B194" s="194">
        <v>15</v>
      </c>
      <c r="C194" s="195"/>
      <c r="D194" s="196"/>
      <c r="E194" s="196"/>
      <c r="F194" s="222"/>
      <c r="G194" s="222"/>
      <c r="H194" s="222"/>
      <c r="I194" s="218"/>
      <c r="J194" s="268">
        <f t="shared" si="15"/>
        <v>0</v>
      </c>
      <c r="K194" s="185"/>
      <c r="V194" s="183">
        <f t="shared" si="13"/>
        <v>0</v>
      </c>
      <c r="W194" s="183">
        <f t="shared" si="14"/>
        <v>0</v>
      </c>
    </row>
    <row r="195" spans="1:23" ht="15" hidden="1" thickBot="1" x14ac:dyDescent="0.35">
      <c r="A195" s="184"/>
      <c r="B195" s="194">
        <v>16</v>
      </c>
      <c r="C195" s="195"/>
      <c r="D195" s="196"/>
      <c r="E195" s="196"/>
      <c r="F195" s="222"/>
      <c r="G195" s="274"/>
      <c r="H195" s="274"/>
      <c r="I195" s="218"/>
      <c r="J195" s="268">
        <f t="shared" si="15"/>
        <v>0</v>
      </c>
      <c r="K195" s="185"/>
      <c r="V195" s="183">
        <f t="shared" si="13"/>
        <v>0</v>
      </c>
      <c r="W195" s="183">
        <f t="shared" si="14"/>
        <v>0</v>
      </c>
    </row>
    <row r="196" spans="1:23" ht="15" hidden="1" thickBot="1" x14ac:dyDescent="0.35">
      <c r="A196" s="184"/>
      <c r="B196" s="194">
        <v>17</v>
      </c>
      <c r="C196" s="195"/>
      <c r="D196" s="196"/>
      <c r="E196" s="196"/>
      <c r="F196" s="222"/>
      <c r="G196" s="222"/>
      <c r="H196" s="263"/>
      <c r="I196" s="218"/>
      <c r="J196" s="268">
        <f t="shared" si="15"/>
        <v>0</v>
      </c>
      <c r="K196" s="185"/>
      <c r="V196" s="183">
        <f t="shared" si="13"/>
        <v>0</v>
      </c>
      <c r="W196" s="183">
        <f t="shared" si="14"/>
        <v>0</v>
      </c>
    </row>
    <row r="197" spans="1:23" ht="15" hidden="1" thickBot="1" x14ac:dyDescent="0.35">
      <c r="A197" s="184"/>
      <c r="B197" s="194">
        <v>18</v>
      </c>
      <c r="C197" s="195"/>
      <c r="D197" s="196"/>
      <c r="E197" s="196"/>
      <c r="F197" s="222"/>
      <c r="G197" s="222"/>
      <c r="H197" s="274"/>
      <c r="I197" s="218"/>
      <c r="J197" s="268">
        <f t="shared" si="15"/>
        <v>0</v>
      </c>
      <c r="K197" s="185"/>
      <c r="V197" s="183">
        <f t="shared" si="13"/>
        <v>0</v>
      </c>
      <c r="W197" s="183">
        <f t="shared" si="14"/>
        <v>0</v>
      </c>
    </row>
    <row r="198" spans="1:23" ht="15" hidden="1" thickBot="1" x14ac:dyDescent="0.35">
      <c r="A198" s="184"/>
      <c r="B198" s="194">
        <v>19</v>
      </c>
      <c r="C198" s="195"/>
      <c r="D198" s="196"/>
      <c r="E198" s="196"/>
      <c r="F198" s="222"/>
      <c r="G198" s="222"/>
      <c r="H198" s="274"/>
      <c r="I198" s="218"/>
      <c r="J198" s="268">
        <f t="shared" si="15"/>
        <v>0</v>
      </c>
      <c r="K198" s="185"/>
      <c r="V198" s="183">
        <f t="shared" si="13"/>
        <v>0</v>
      </c>
      <c r="W198" s="183">
        <f t="shared" si="14"/>
        <v>0</v>
      </c>
    </row>
    <row r="199" spans="1:23" ht="15" hidden="1" thickBot="1" x14ac:dyDescent="0.35">
      <c r="A199" s="184"/>
      <c r="B199" s="194">
        <v>20</v>
      </c>
      <c r="C199" s="195"/>
      <c r="D199" s="196"/>
      <c r="E199" s="222"/>
      <c r="F199" s="222"/>
      <c r="G199" s="222"/>
      <c r="H199" s="274"/>
      <c r="I199" s="218"/>
      <c r="J199" s="268">
        <f t="shared" si="15"/>
        <v>0</v>
      </c>
      <c r="K199" s="185"/>
      <c r="V199" s="183">
        <f t="shared" si="13"/>
        <v>0</v>
      </c>
      <c r="W199" s="183">
        <f t="shared" si="14"/>
        <v>0</v>
      </c>
    </row>
    <row r="200" spans="1:23" ht="15" hidden="1" thickBot="1" x14ac:dyDescent="0.35">
      <c r="A200" s="184"/>
      <c r="B200" s="194">
        <v>21</v>
      </c>
      <c r="C200" s="195"/>
      <c r="D200" s="196"/>
      <c r="E200" s="222"/>
      <c r="F200" s="222"/>
      <c r="G200" s="222"/>
      <c r="H200" s="274"/>
      <c r="I200" s="218"/>
      <c r="J200" s="268">
        <f t="shared" si="15"/>
        <v>0</v>
      </c>
      <c r="K200" s="185"/>
      <c r="V200" s="183">
        <f t="shared" si="13"/>
        <v>0</v>
      </c>
      <c r="W200" s="183">
        <f t="shared" si="14"/>
        <v>0</v>
      </c>
    </row>
    <row r="201" spans="1:23" ht="15" hidden="1" thickBot="1" x14ac:dyDescent="0.35">
      <c r="A201" s="184"/>
      <c r="B201" s="194">
        <v>22</v>
      </c>
      <c r="C201" s="195"/>
      <c r="D201" s="196"/>
      <c r="E201" s="222"/>
      <c r="F201" s="222"/>
      <c r="G201" s="222"/>
      <c r="H201" s="222"/>
      <c r="I201" s="218"/>
      <c r="J201" s="268">
        <f>I201*H201</f>
        <v>0</v>
      </c>
      <c r="K201" s="185"/>
      <c r="V201" s="183">
        <f t="shared" si="13"/>
        <v>0</v>
      </c>
      <c r="W201" s="183">
        <f t="shared" si="14"/>
        <v>0</v>
      </c>
    </row>
    <row r="202" spans="1:23" ht="15" hidden="1" thickBot="1" x14ac:dyDescent="0.35">
      <c r="A202" s="184"/>
      <c r="B202" s="199">
        <v>23</v>
      </c>
      <c r="C202" s="200"/>
      <c r="D202" s="201"/>
      <c r="E202" s="201"/>
      <c r="F202" s="284"/>
      <c r="G202" s="284"/>
      <c r="H202" s="284"/>
      <c r="I202" s="285"/>
      <c r="J202" s="269">
        <f>I202*H202</f>
        <v>0</v>
      </c>
      <c r="K202" s="185"/>
      <c r="V202" s="183">
        <f t="shared" si="13"/>
        <v>0</v>
      </c>
      <c r="W202" s="183">
        <f t="shared" si="14"/>
        <v>0</v>
      </c>
    </row>
    <row r="203" spans="1:23" ht="24" thickBot="1" x14ac:dyDescent="0.5">
      <c r="A203" s="184"/>
      <c r="B203" s="304" t="s">
        <v>879</v>
      </c>
      <c r="C203" s="305"/>
      <c r="D203" s="305"/>
      <c r="E203" s="305"/>
      <c r="F203" s="305"/>
      <c r="G203" s="305"/>
      <c r="H203" s="306"/>
      <c r="I203" s="203" t="s">
        <v>880</v>
      </c>
      <c r="J203" s="204">
        <f>SUM(J180:J202)</f>
        <v>3800</v>
      </c>
      <c r="K203" s="185"/>
      <c r="V203" s="183">
        <f>SUM(V180:V202)</f>
        <v>4</v>
      </c>
      <c r="W203" s="183">
        <f>SUM(W180:W202)</f>
        <v>0</v>
      </c>
    </row>
    <row r="204" spans="1:23" ht="15" thickBot="1" x14ac:dyDescent="0.35">
      <c r="A204" s="205"/>
      <c r="B204" s="286"/>
      <c r="C204" s="286"/>
      <c r="D204" s="286"/>
      <c r="E204" s="286"/>
      <c r="F204" s="286"/>
      <c r="G204" s="286"/>
      <c r="H204" s="287"/>
      <c r="I204" s="286"/>
      <c r="J204" s="287"/>
      <c r="K204" s="207"/>
    </row>
    <row r="205" spans="1:23" ht="15" thickBot="1" x14ac:dyDescent="0.35"/>
    <row r="206" spans="1:23" ht="15" thickBot="1" x14ac:dyDescent="0.35">
      <c r="A206" s="180"/>
      <c r="B206" s="181"/>
      <c r="C206" s="181"/>
      <c r="D206" s="181"/>
      <c r="E206" s="181"/>
      <c r="F206" s="181"/>
      <c r="G206" s="181"/>
      <c r="H206" s="259"/>
      <c r="I206" s="181"/>
      <c r="J206" s="259"/>
      <c r="K206" s="182"/>
    </row>
    <row r="207" spans="1:23" ht="25.2" thickBot="1" x14ac:dyDescent="0.35">
      <c r="A207" s="184" t="s">
        <v>0</v>
      </c>
      <c r="B207" s="307" t="s">
        <v>873</v>
      </c>
      <c r="C207" s="308"/>
      <c r="D207" s="308"/>
      <c r="E207" s="308"/>
      <c r="F207" s="308"/>
      <c r="G207" s="308"/>
      <c r="H207" s="308"/>
      <c r="I207" s="308"/>
      <c r="J207" s="309"/>
      <c r="K207" s="185"/>
    </row>
    <row r="208" spans="1:23" ht="16.2" thickBot="1" x14ac:dyDescent="0.35">
      <c r="A208" s="184"/>
      <c r="B208" s="310">
        <v>45627</v>
      </c>
      <c r="C208" s="311"/>
      <c r="D208" s="311"/>
      <c r="E208" s="311"/>
      <c r="F208" s="311"/>
      <c r="G208" s="311"/>
      <c r="H208" s="311"/>
      <c r="I208" s="311"/>
      <c r="J208" s="312"/>
      <c r="K208" s="185"/>
    </row>
    <row r="209" spans="1:23" ht="16.2" thickBot="1" x14ac:dyDescent="0.35">
      <c r="A209" s="184"/>
      <c r="B209" s="313" t="s">
        <v>949</v>
      </c>
      <c r="C209" s="314"/>
      <c r="D209" s="314"/>
      <c r="E209" s="314"/>
      <c r="F209" s="314"/>
      <c r="G209" s="314"/>
      <c r="H209" s="314"/>
      <c r="I209" s="314"/>
      <c r="J209" s="315"/>
      <c r="K209" s="185"/>
    </row>
    <row r="210" spans="1:23" ht="15" thickBot="1" x14ac:dyDescent="0.35">
      <c r="A210" s="208"/>
      <c r="B210" s="186" t="s">
        <v>876</v>
      </c>
      <c r="C210" s="187" t="s">
        <v>1</v>
      </c>
      <c r="D210" s="188" t="s">
        <v>2</v>
      </c>
      <c r="E210" s="188" t="s">
        <v>3</v>
      </c>
      <c r="F210" s="189" t="s">
        <v>4</v>
      </c>
      <c r="G210" s="189" t="s">
        <v>5</v>
      </c>
      <c r="H210" s="260" t="s">
        <v>720</v>
      </c>
      <c r="I210" s="189" t="s">
        <v>6</v>
      </c>
      <c r="J210" s="266" t="s">
        <v>7</v>
      </c>
      <c r="K210" s="209"/>
    </row>
    <row r="211" spans="1:23" x14ac:dyDescent="0.3">
      <c r="A211" s="184"/>
      <c r="B211" s="214">
        <v>1</v>
      </c>
      <c r="C211" s="215">
        <v>45650</v>
      </c>
      <c r="D211" s="216" t="s">
        <v>16</v>
      </c>
      <c r="E211" s="256" t="s">
        <v>967</v>
      </c>
      <c r="F211" s="256">
        <v>3200</v>
      </c>
      <c r="G211" s="256">
        <v>3266</v>
      </c>
      <c r="H211" s="256">
        <v>66</v>
      </c>
      <c r="I211" s="218">
        <v>5</v>
      </c>
      <c r="J211" s="273">
        <f>I211*H211</f>
        <v>330</v>
      </c>
      <c r="K211" s="185"/>
      <c r="V211" s="183">
        <f t="shared" ref="V211:V233" si="16">IF($J211&gt;0,1,0)</f>
        <v>1</v>
      </c>
      <c r="W211" s="183">
        <f t="shared" ref="W211:W233" si="17">IF($J211&lt;0,1,0)</f>
        <v>0</v>
      </c>
    </row>
    <row r="212" spans="1:23" ht="15" thickBot="1" x14ac:dyDescent="0.35">
      <c r="A212" s="184"/>
      <c r="B212" s="194">
        <v>2</v>
      </c>
      <c r="C212" s="195"/>
      <c r="D212" s="196"/>
      <c r="E212" s="222"/>
      <c r="F212" s="222"/>
      <c r="G212" s="222"/>
      <c r="H212" s="222"/>
      <c r="I212" s="218"/>
      <c r="J212" s="268">
        <f t="shared" ref="J212:J231" si="18">I212*H212</f>
        <v>0</v>
      </c>
      <c r="K212" s="185"/>
      <c r="V212" s="183">
        <f t="shared" si="16"/>
        <v>0</v>
      </c>
      <c r="W212" s="183">
        <f t="shared" si="17"/>
        <v>0</v>
      </c>
    </row>
    <row r="213" spans="1:23" hidden="1" x14ac:dyDescent="0.3">
      <c r="A213" s="184"/>
      <c r="B213" s="194">
        <v>3</v>
      </c>
      <c r="C213" s="195"/>
      <c r="D213" s="196"/>
      <c r="E213" s="222"/>
      <c r="F213" s="222"/>
      <c r="G213" s="222"/>
      <c r="H213" s="222"/>
      <c r="I213" s="218"/>
      <c r="J213" s="268">
        <f t="shared" si="18"/>
        <v>0</v>
      </c>
      <c r="K213" s="185"/>
      <c r="V213" s="183">
        <f t="shared" si="16"/>
        <v>0</v>
      </c>
      <c r="W213" s="183">
        <f t="shared" si="17"/>
        <v>0</v>
      </c>
    </row>
    <row r="214" spans="1:23" hidden="1" x14ac:dyDescent="0.3">
      <c r="A214" s="184"/>
      <c r="B214" s="194">
        <v>4</v>
      </c>
      <c r="C214" s="195"/>
      <c r="D214" s="196"/>
      <c r="E214" s="222"/>
      <c r="F214" s="222"/>
      <c r="G214" s="222"/>
      <c r="H214" s="222"/>
      <c r="I214" s="218"/>
      <c r="J214" s="268">
        <f t="shared" si="18"/>
        <v>0</v>
      </c>
      <c r="K214" s="185"/>
      <c r="V214" s="183">
        <f t="shared" si="16"/>
        <v>0</v>
      </c>
      <c r="W214" s="183">
        <f t="shared" si="17"/>
        <v>0</v>
      </c>
    </row>
    <row r="215" spans="1:23" hidden="1" x14ac:dyDescent="0.3">
      <c r="A215" s="184"/>
      <c r="B215" s="194">
        <v>5</v>
      </c>
      <c r="C215" s="195"/>
      <c r="D215" s="196"/>
      <c r="E215" s="222"/>
      <c r="F215" s="222"/>
      <c r="G215" s="222"/>
      <c r="H215" s="222"/>
      <c r="I215" s="218"/>
      <c r="J215" s="268">
        <f t="shared" si="18"/>
        <v>0</v>
      </c>
      <c r="K215" s="185"/>
      <c r="V215" s="183">
        <f t="shared" si="16"/>
        <v>0</v>
      </c>
      <c r="W215" s="183">
        <f t="shared" si="17"/>
        <v>0</v>
      </c>
    </row>
    <row r="216" spans="1:23" hidden="1" x14ac:dyDescent="0.3">
      <c r="A216" s="184"/>
      <c r="B216" s="194">
        <v>6</v>
      </c>
      <c r="C216" s="195"/>
      <c r="D216" s="196"/>
      <c r="E216" s="222"/>
      <c r="F216" s="222"/>
      <c r="G216" s="222"/>
      <c r="H216" s="222"/>
      <c r="I216" s="218"/>
      <c r="J216" s="268">
        <f t="shared" si="18"/>
        <v>0</v>
      </c>
      <c r="K216" s="185"/>
      <c r="V216" s="183">
        <f t="shared" si="16"/>
        <v>0</v>
      </c>
      <c r="W216" s="183">
        <f t="shared" si="17"/>
        <v>0</v>
      </c>
    </row>
    <row r="217" spans="1:23" hidden="1" x14ac:dyDescent="0.3">
      <c r="A217" s="184"/>
      <c r="B217" s="194">
        <v>7</v>
      </c>
      <c r="C217" s="195"/>
      <c r="D217" s="196"/>
      <c r="E217" s="222"/>
      <c r="F217" s="222"/>
      <c r="G217" s="222"/>
      <c r="H217" s="274"/>
      <c r="I217" s="218"/>
      <c r="J217" s="268">
        <f t="shared" si="18"/>
        <v>0</v>
      </c>
      <c r="K217" s="185"/>
      <c r="V217" s="183">
        <f t="shared" si="16"/>
        <v>0</v>
      </c>
      <c r="W217" s="183">
        <f t="shared" si="17"/>
        <v>0</v>
      </c>
    </row>
    <row r="218" spans="1:23" ht="15" hidden="1" thickBot="1" x14ac:dyDescent="0.35">
      <c r="A218" s="184"/>
      <c r="B218" s="194">
        <v>8</v>
      </c>
      <c r="C218" s="195"/>
      <c r="D218" s="196"/>
      <c r="E218" s="222"/>
      <c r="F218" s="222"/>
      <c r="G218" s="222"/>
      <c r="H218" s="222"/>
      <c r="I218" s="218"/>
      <c r="J218" s="268">
        <f t="shared" si="18"/>
        <v>0</v>
      </c>
      <c r="K218" s="185"/>
      <c r="V218" s="183">
        <f t="shared" si="16"/>
        <v>0</v>
      </c>
      <c r="W218" s="183">
        <f t="shared" si="17"/>
        <v>0</v>
      </c>
    </row>
    <row r="219" spans="1:23" ht="15" hidden="1" thickBot="1" x14ac:dyDescent="0.35">
      <c r="A219" s="184"/>
      <c r="B219" s="194">
        <v>9</v>
      </c>
      <c r="C219" s="195"/>
      <c r="D219" s="196"/>
      <c r="E219" s="222"/>
      <c r="F219" s="222"/>
      <c r="G219" s="222"/>
      <c r="H219" s="222"/>
      <c r="I219" s="218"/>
      <c r="J219" s="268">
        <f t="shared" si="18"/>
        <v>0</v>
      </c>
      <c r="K219" s="185"/>
      <c r="V219" s="183">
        <f t="shared" si="16"/>
        <v>0</v>
      </c>
      <c r="W219" s="183">
        <f t="shared" si="17"/>
        <v>0</v>
      </c>
    </row>
    <row r="220" spans="1:23" ht="15" hidden="1" thickBot="1" x14ac:dyDescent="0.35">
      <c r="A220" s="184"/>
      <c r="B220" s="194">
        <v>10</v>
      </c>
      <c r="C220" s="195"/>
      <c r="D220" s="196"/>
      <c r="E220" s="222"/>
      <c r="F220" s="222"/>
      <c r="G220" s="222"/>
      <c r="H220" s="222"/>
      <c r="I220" s="218"/>
      <c r="J220" s="268">
        <f t="shared" si="18"/>
        <v>0</v>
      </c>
      <c r="K220" s="185"/>
      <c r="V220" s="183">
        <f t="shared" si="16"/>
        <v>0</v>
      </c>
      <c r="W220" s="183">
        <f t="shared" si="17"/>
        <v>0</v>
      </c>
    </row>
    <row r="221" spans="1:23" ht="15" hidden="1" thickBot="1" x14ac:dyDescent="0.35">
      <c r="A221" s="184"/>
      <c r="B221" s="194">
        <v>11</v>
      </c>
      <c r="C221" s="195"/>
      <c r="D221" s="196"/>
      <c r="E221" s="222"/>
      <c r="F221" s="222"/>
      <c r="G221" s="222"/>
      <c r="H221" s="274"/>
      <c r="I221" s="218"/>
      <c r="J221" s="268">
        <f t="shared" si="18"/>
        <v>0</v>
      </c>
      <c r="K221" s="185"/>
      <c r="V221" s="183">
        <f t="shared" si="16"/>
        <v>0</v>
      </c>
      <c r="W221" s="183">
        <f t="shared" si="17"/>
        <v>0</v>
      </c>
    </row>
    <row r="222" spans="1:23" ht="15" hidden="1" thickBot="1" x14ac:dyDescent="0.35">
      <c r="A222" s="184"/>
      <c r="B222" s="194">
        <v>12</v>
      </c>
      <c r="C222" s="195"/>
      <c r="D222" s="196"/>
      <c r="E222" s="222"/>
      <c r="F222" s="222"/>
      <c r="G222" s="222"/>
      <c r="H222" s="274"/>
      <c r="I222" s="218"/>
      <c r="J222" s="268">
        <f t="shared" si="18"/>
        <v>0</v>
      </c>
      <c r="K222" s="185"/>
      <c r="V222" s="183">
        <f t="shared" si="16"/>
        <v>0</v>
      </c>
      <c r="W222" s="183">
        <f t="shared" si="17"/>
        <v>0</v>
      </c>
    </row>
    <row r="223" spans="1:23" ht="15" hidden="1" thickBot="1" x14ac:dyDescent="0.35">
      <c r="A223" s="184"/>
      <c r="B223" s="194">
        <v>13</v>
      </c>
      <c r="C223" s="195"/>
      <c r="D223" s="196"/>
      <c r="E223" s="222"/>
      <c r="F223" s="222"/>
      <c r="G223" s="222"/>
      <c r="H223" s="274"/>
      <c r="I223" s="218"/>
      <c r="J223" s="268">
        <f t="shared" si="18"/>
        <v>0</v>
      </c>
      <c r="K223" s="185"/>
      <c r="V223" s="183">
        <f t="shared" si="16"/>
        <v>0</v>
      </c>
      <c r="W223" s="183">
        <f t="shared" si="17"/>
        <v>0</v>
      </c>
    </row>
    <row r="224" spans="1:23" ht="15" hidden="1" thickBot="1" x14ac:dyDescent="0.35">
      <c r="A224" s="184"/>
      <c r="B224" s="194">
        <v>14</v>
      </c>
      <c r="C224" s="195"/>
      <c r="D224" s="196"/>
      <c r="E224" s="222"/>
      <c r="F224" s="222"/>
      <c r="G224" s="222"/>
      <c r="H224" s="274"/>
      <c r="I224" s="218"/>
      <c r="J224" s="268">
        <f t="shared" si="18"/>
        <v>0</v>
      </c>
      <c r="K224" s="185"/>
      <c r="V224" s="183">
        <f t="shared" si="16"/>
        <v>0</v>
      </c>
      <c r="W224" s="183">
        <f t="shared" si="17"/>
        <v>0</v>
      </c>
    </row>
    <row r="225" spans="1:23" ht="15" hidden="1" thickBot="1" x14ac:dyDescent="0.35">
      <c r="A225" s="184"/>
      <c r="B225" s="194">
        <v>15</v>
      </c>
      <c r="C225" s="195"/>
      <c r="D225" s="196"/>
      <c r="E225" s="196"/>
      <c r="F225" s="222"/>
      <c r="G225" s="222"/>
      <c r="H225" s="222"/>
      <c r="I225" s="218"/>
      <c r="J225" s="268">
        <f t="shared" si="18"/>
        <v>0</v>
      </c>
      <c r="K225" s="185"/>
      <c r="V225" s="183">
        <f t="shared" si="16"/>
        <v>0</v>
      </c>
      <c r="W225" s="183">
        <f t="shared" si="17"/>
        <v>0</v>
      </c>
    </row>
    <row r="226" spans="1:23" ht="15" hidden="1" thickBot="1" x14ac:dyDescent="0.35">
      <c r="A226" s="184"/>
      <c r="B226" s="194">
        <v>16</v>
      </c>
      <c r="C226" s="195"/>
      <c r="D226" s="196"/>
      <c r="E226" s="196"/>
      <c r="F226" s="222"/>
      <c r="G226" s="274"/>
      <c r="H226" s="274"/>
      <c r="I226" s="218"/>
      <c r="J226" s="268">
        <f t="shared" si="18"/>
        <v>0</v>
      </c>
      <c r="K226" s="185"/>
      <c r="V226" s="183">
        <f t="shared" si="16"/>
        <v>0</v>
      </c>
      <c r="W226" s="183">
        <f t="shared" si="17"/>
        <v>0</v>
      </c>
    </row>
    <row r="227" spans="1:23" ht="15" hidden="1" thickBot="1" x14ac:dyDescent="0.35">
      <c r="A227" s="184"/>
      <c r="B227" s="194">
        <v>17</v>
      </c>
      <c r="C227" s="195"/>
      <c r="D227" s="196"/>
      <c r="E227" s="196"/>
      <c r="F227" s="222"/>
      <c r="G227" s="222"/>
      <c r="H227" s="263"/>
      <c r="I227" s="218"/>
      <c r="J227" s="268">
        <f t="shared" si="18"/>
        <v>0</v>
      </c>
      <c r="K227" s="185"/>
      <c r="V227" s="183">
        <f t="shared" si="16"/>
        <v>0</v>
      </c>
      <c r="W227" s="183">
        <f t="shared" si="17"/>
        <v>0</v>
      </c>
    </row>
    <row r="228" spans="1:23" ht="15" hidden="1" thickBot="1" x14ac:dyDescent="0.35">
      <c r="A228" s="184"/>
      <c r="B228" s="194">
        <v>18</v>
      </c>
      <c r="C228" s="195"/>
      <c r="D228" s="196"/>
      <c r="E228" s="196"/>
      <c r="F228" s="222"/>
      <c r="G228" s="222"/>
      <c r="H228" s="274"/>
      <c r="I228" s="218"/>
      <c r="J228" s="268">
        <f t="shared" si="18"/>
        <v>0</v>
      </c>
      <c r="K228" s="185"/>
      <c r="V228" s="183">
        <f t="shared" si="16"/>
        <v>0</v>
      </c>
      <c r="W228" s="183">
        <f t="shared" si="17"/>
        <v>0</v>
      </c>
    </row>
    <row r="229" spans="1:23" ht="15" hidden="1" thickBot="1" x14ac:dyDescent="0.35">
      <c r="A229" s="184"/>
      <c r="B229" s="194">
        <v>19</v>
      </c>
      <c r="C229" s="195"/>
      <c r="D229" s="196"/>
      <c r="E229" s="196"/>
      <c r="F229" s="222"/>
      <c r="G229" s="222"/>
      <c r="H229" s="274"/>
      <c r="I229" s="218"/>
      <c r="J229" s="268">
        <f t="shared" si="18"/>
        <v>0</v>
      </c>
      <c r="K229" s="185"/>
      <c r="V229" s="183">
        <f t="shared" si="16"/>
        <v>0</v>
      </c>
      <c r="W229" s="183">
        <f t="shared" si="17"/>
        <v>0</v>
      </c>
    </row>
    <row r="230" spans="1:23" ht="15" hidden="1" thickBot="1" x14ac:dyDescent="0.35">
      <c r="A230" s="184"/>
      <c r="B230" s="194">
        <v>20</v>
      </c>
      <c r="C230" s="195"/>
      <c r="D230" s="196"/>
      <c r="E230" s="222"/>
      <c r="F230" s="222"/>
      <c r="G230" s="222"/>
      <c r="H230" s="274"/>
      <c r="I230" s="218"/>
      <c r="J230" s="268">
        <f t="shared" si="18"/>
        <v>0</v>
      </c>
      <c r="K230" s="185"/>
      <c r="V230" s="183">
        <f t="shared" si="16"/>
        <v>0</v>
      </c>
      <c r="W230" s="183">
        <f t="shared" si="17"/>
        <v>0</v>
      </c>
    </row>
    <row r="231" spans="1:23" ht="15" hidden="1" thickBot="1" x14ac:dyDescent="0.35">
      <c r="A231" s="184"/>
      <c r="B231" s="194">
        <v>21</v>
      </c>
      <c r="C231" s="195"/>
      <c r="D231" s="196"/>
      <c r="E231" s="222"/>
      <c r="F231" s="222"/>
      <c r="G231" s="222"/>
      <c r="H231" s="274"/>
      <c r="I231" s="218"/>
      <c r="J231" s="268">
        <f t="shared" si="18"/>
        <v>0</v>
      </c>
      <c r="K231" s="185"/>
      <c r="V231" s="183">
        <f t="shared" si="16"/>
        <v>0</v>
      </c>
      <c r="W231" s="183">
        <f t="shared" si="17"/>
        <v>0</v>
      </c>
    </row>
    <row r="232" spans="1:23" ht="15" hidden="1" thickBot="1" x14ac:dyDescent="0.35">
      <c r="A232" s="184"/>
      <c r="B232" s="194">
        <v>22</v>
      </c>
      <c r="C232" s="195"/>
      <c r="D232" s="196"/>
      <c r="E232" s="222"/>
      <c r="F232" s="222"/>
      <c r="G232" s="222"/>
      <c r="H232" s="222"/>
      <c r="I232" s="218"/>
      <c r="J232" s="268">
        <f>I232*H232</f>
        <v>0</v>
      </c>
      <c r="K232" s="185"/>
      <c r="V232" s="183">
        <f t="shared" si="16"/>
        <v>0</v>
      </c>
      <c r="W232" s="183">
        <f t="shared" si="17"/>
        <v>0</v>
      </c>
    </row>
    <row r="233" spans="1:23" ht="15" hidden="1" thickBot="1" x14ac:dyDescent="0.35">
      <c r="A233" s="184" t="s">
        <v>862</v>
      </c>
      <c r="B233" s="199">
        <v>23</v>
      </c>
      <c r="C233" s="200"/>
      <c r="D233" s="201"/>
      <c r="E233" s="201"/>
      <c r="F233" s="284"/>
      <c r="G233" s="284"/>
      <c r="H233" s="284"/>
      <c r="I233" s="285"/>
      <c r="J233" s="269">
        <f>I233*H233</f>
        <v>0</v>
      </c>
      <c r="K233" s="185"/>
      <c r="V233" s="183">
        <f t="shared" si="16"/>
        <v>0</v>
      </c>
      <c r="W233" s="183">
        <f t="shared" si="17"/>
        <v>0</v>
      </c>
    </row>
    <row r="234" spans="1:23" ht="24" thickBot="1" x14ac:dyDescent="0.5">
      <c r="A234" s="184"/>
      <c r="B234" s="304" t="s">
        <v>879</v>
      </c>
      <c r="C234" s="305"/>
      <c r="D234" s="305"/>
      <c r="E234" s="305"/>
      <c r="F234" s="305"/>
      <c r="G234" s="305"/>
      <c r="H234" s="306"/>
      <c r="I234" s="203" t="s">
        <v>880</v>
      </c>
      <c r="J234" s="204">
        <f>SUM(J211:J233)</f>
        <v>330</v>
      </c>
      <c r="K234" s="185"/>
      <c r="V234" s="183">
        <f>SUM(V211:V233)</f>
        <v>1</v>
      </c>
      <c r="W234" s="183">
        <f>SUM(W211:W233)</f>
        <v>0</v>
      </c>
    </row>
    <row r="235" spans="1:23" ht="15" thickBot="1" x14ac:dyDescent="0.35">
      <c r="A235" s="205"/>
      <c r="B235" s="286"/>
      <c r="C235" s="286"/>
      <c r="D235" s="286"/>
      <c r="E235" s="286"/>
      <c r="F235" s="286"/>
      <c r="G235" s="286"/>
      <c r="H235" s="287"/>
      <c r="I235" s="286"/>
      <c r="J235" s="287"/>
      <c r="K235" s="207"/>
    </row>
  </sheetData>
  <mergeCells count="74">
    <mergeCell ref="B203:H203"/>
    <mergeCell ref="B207:J207"/>
    <mergeCell ref="B208:J208"/>
    <mergeCell ref="B209:J209"/>
    <mergeCell ref="B234:H234"/>
    <mergeCell ref="B178:J178"/>
    <mergeCell ref="B104:H104"/>
    <mergeCell ref="B108:J108"/>
    <mergeCell ref="B109:J109"/>
    <mergeCell ref="B110:J110"/>
    <mergeCell ref="B141:H141"/>
    <mergeCell ref="B145:J145"/>
    <mergeCell ref="B146:J146"/>
    <mergeCell ref="B147:J147"/>
    <mergeCell ref="B172:H172"/>
    <mergeCell ref="B176:J176"/>
    <mergeCell ref="B177:J177"/>
    <mergeCell ref="P14:P15"/>
    <mergeCell ref="Q14:Q15"/>
    <mergeCell ref="B58:J58"/>
    <mergeCell ref="M16:M17"/>
    <mergeCell ref="N16:N17"/>
    <mergeCell ref="O16:O17"/>
    <mergeCell ref="P16:P17"/>
    <mergeCell ref="M18:O20"/>
    <mergeCell ref="P18:R20"/>
    <mergeCell ref="B52:H52"/>
    <mergeCell ref="B56:J56"/>
    <mergeCell ref="B57:J57"/>
    <mergeCell ref="Q16:Q17"/>
    <mergeCell ref="R16:R17"/>
    <mergeCell ref="R14:R15"/>
    <mergeCell ref="M14:M15"/>
    <mergeCell ref="M12:M13"/>
    <mergeCell ref="N12:N13"/>
    <mergeCell ref="O12:O13"/>
    <mergeCell ref="P12:P13"/>
    <mergeCell ref="Q12:Q13"/>
    <mergeCell ref="N10:N11"/>
    <mergeCell ref="O10:O11"/>
    <mergeCell ref="P10:P11"/>
    <mergeCell ref="Q10:Q11"/>
    <mergeCell ref="R10:R11"/>
    <mergeCell ref="N14:N15"/>
    <mergeCell ref="O14:O15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12:R13"/>
    <mergeCell ref="M10:M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6819ECF0-70B2-4191-A0C5-DB900DD42DEB}"/>
    <hyperlink ref="B104" r:id="rId2" xr:uid="{337549AF-70E0-4C54-A0F4-2AA4B4306EEB}"/>
    <hyperlink ref="M4:M5" location="'NOV 2024'!A1" display="BULLION" xr:uid="{E34DCA47-6D12-4C4B-85B0-2FD4FF76383F}"/>
    <hyperlink ref="B141" r:id="rId3" xr:uid="{133F9376-1834-4085-882E-0AC0453E6526}"/>
    <hyperlink ref="M8:M9" location="'DEC 2024'!A86" display="BASE METAL" xr:uid="{E90F50DC-FBFC-4151-8982-51B0A9E70F08}"/>
    <hyperlink ref="M1" location="MASTER!A1" display="Back" xr:uid="{6B92C3D9-7878-4D48-A0ED-5DD70AFB2765}"/>
    <hyperlink ref="M6:M7" location="'DEC 2024'!A55" display="ENERGY" xr:uid="{A4777573-A802-4CBA-BB19-6D94EDED196C}"/>
    <hyperlink ref="B172" r:id="rId4" xr:uid="{64F0D538-E6CC-490D-AFCD-112A5074F22F}"/>
    <hyperlink ref="M10:M11" location="'DEC 2024'!A117" display="CRUDEOIL OPTION" xr:uid="{2B0F53DA-EAE1-4770-9040-B973633EC5FC}"/>
    <hyperlink ref="B203" r:id="rId5" xr:uid="{CB760EC9-5436-4EBA-94E1-6073116F8FBF}"/>
    <hyperlink ref="B234" r:id="rId6" xr:uid="{43C88150-DEDC-4B43-8C5B-738242BD193A}"/>
    <hyperlink ref="M12:M13" location="'DEC 2024'!A202" display="GOLDM OPTION" xr:uid="{968C18A1-C9B8-460B-BFD8-29F934561DDE}"/>
    <hyperlink ref="M14:M15" location="'DEC 2024'!A233" display="SILVERM OPTION" xr:uid="{11106672-CD78-427B-AC59-C0A68C1FC2B5}"/>
  </hyperlinks>
  <pageMargins left="0" right="0" top="0" bottom="0" header="0" footer="0"/>
  <pageSetup paperSize="9" orientation="portrait" r:id="rId7"/>
  <drawing r:id="rId8"/>
  <legacyDrawing r:id="rId9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52AE4-18D5-436E-A59F-48DDFED6FC5E}">
  <dimension ref="A1:W235"/>
  <sheetViews>
    <sheetView topLeftCell="A171" zoomScaleNormal="100" workbookViewId="0">
      <selection activeCell="A33" sqref="A3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8.441406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1" style="183" customWidth="1"/>
    <col min="15" max="17" width="9.109375" style="183"/>
    <col min="18" max="18" width="10.6640625" style="183" bestFit="1" customWidth="1"/>
    <col min="19" max="21" width="9.109375" style="183" customWidth="1"/>
    <col min="22" max="22" width="7.5546875" style="183" hidden="1" customWidth="1"/>
    <col min="23" max="23" width="6.109375" style="183" hidden="1" customWidth="1"/>
    <col min="24" max="25" width="9.109375" style="183" customWidth="1"/>
    <col min="26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45658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COUNT(C6:C51)</f>
        <v>12</v>
      </c>
      <c r="O4" s="369">
        <f>V52</f>
        <v>11</v>
      </c>
      <c r="P4" s="369">
        <f>W52</f>
        <v>1</v>
      </c>
      <c r="Q4" s="349">
        <f>N4-O4-P4</f>
        <v>0</v>
      </c>
      <c r="R4" s="343">
        <f>O4/N4</f>
        <v>0.91666666666666663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45659</v>
      </c>
      <c r="D6" s="192" t="s">
        <v>23</v>
      </c>
      <c r="E6" s="192" t="s">
        <v>24</v>
      </c>
      <c r="F6" s="193">
        <v>77200</v>
      </c>
      <c r="G6" s="193">
        <v>77100</v>
      </c>
      <c r="H6" s="192">
        <v>100</v>
      </c>
      <c r="I6" s="193">
        <v>100</v>
      </c>
      <c r="J6" s="267">
        <f>H6*I6</f>
        <v>10000</v>
      </c>
      <c r="K6" s="185"/>
      <c r="M6" s="364" t="s">
        <v>258</v>
      </c>
      <c r="N6" s="347">
        <f>COUNT(C60:C103)</f>
        <v>44</v>
      </c>
      <c r="O6" s="348">
        <f>V104</f>
        <v>38</v>
      </c>
      <c r="P6" s="348">
        <f>W104</f>
        <v>6</v>
      </c>
      <c r="Q6" s="349">
        <v>0</v>
      </c>
      <c r="R6" s="345">
        <f t="shared" ref="R6" si="0">O6/N6</f>
        <v>0.86363636363636365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45659</v>
      </c>
      <c r="D7" s="196" t="s">
        <v>23</v>
      </c>
      <c r="E7" s="196" t="s">
        <v>22</v>
      </c>
      <c r="F7" s="197">
        <v>88600</v>
      </c>
      <c r="G7" s="197">
        <v>88300</v>
      </c>
      <c r="H7" s="196">
        <v>300</v>
      </c>
      <c r="I7" s="197">
        <v>30</v>
      </c>
      <c r="J7" s="268">
        <f t="shared" ref="J7:J51" si="1">H7*I7</f>
        <v>9000</v>
      </c>
      <c r="K7" s="185"/>
      <c r="M7" s="365"/>
      <c r="N7" s="347"/>
      <c r="O7" s="348"/>
      <c r="P7" s="348"/>
      <c r="Q7" s="350"/>
      <c r="R7" s="345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45660</v>
      </c>
      <c r="D8" s="196" t="s">
        <v>23</v>
      </c>
      <c r="E8" s="196" t="s">
        <v>24</v>
      </c>
      <c r="F8" s="197">
        <v>77650</v>
      </c>
      <c r="G8" s="197">
        <v>77550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COUNT(C112:C140)</f>
        <v>22</v>
      </c>
      <c r="O8" s="348">
        <f>V141</f>
        <v>16</v>
      </c>
      <c r="P8" s="348">
        <f>W141</f>
        <v>3</v>
      </c>
      <c r="Q8" s="349">
        <v>0</v>
      </c>
      <c r="R8" s="345">
        <f>O8/N8</f>
        <v>0.72727272727272729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45660</v>
      </c>
      <c r="D9" s="196" t="s">
        <v>23</v>
      </c>
      <c r="E9" s="196" t="s">
        <v>22</v>
      </c>
      <c r="F9" s="197">
        <v>89650</v>
      </c>
      <c r="G9" s="197">
        <v>89550</v>
      </c>
      <c r="H9" s="196">
        <v>100</v>
      </c>
      <c r="I9" s="197">
        <v>30</v>
      </c>
      <c r="J9" s="268">
        <f t="shared" si="1"/>
        <v>3000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45663</v>
      </c>
      <c r="D10" s="196" t="s">
        <v>23</v>
      </c>
      <c r="E10" s="196" t="s">
        <v>24</v>
      </c>
      <c r="F10" s="197">
        <v>77000</v>
      </c>
      <c r="G10" s="197">
        <v>76950</v>
      </c>
      <c r="H10" s="196">
        <f>77000-76950</f>
        <v>50</v>
      </c>
      <c r="I10" s="197">
        <v>100</v>
      </c>
      <c r="J10" s="268">
        <f t="shared" si="1"/>
        <v>5000</v>
      </c>
      <c r="K10" s="185"/>
      <c r="M10" s="364" t="s">
        <v>906</v>
      </c>
      <c r="N10" s="347">
        <f>COUNT(C149:C171)</f>
        <v>22</v>
      </c>
      <c r="O10" s="348">
        <f>V172</f>
        <v>18</v>
      </c>
      <c r="P10" s="348">
        <f>W172</f>
        <v>4</v>
      </c>
      <c r="Q10" s="349">
        <f>N10-O10-P10</f>
        <v>0</v>
      </c>
      <c r="R10" s="345">
        <f>O10/N10</f>
        <v>0.81818181818181823</v>
      </c>
      <c r="V10" s="183">
        <f t="shared" si="2"/>
        <v>1</v>
      </c>
      <c r="W10" s="183">
        <f t="shared" si="3"/>
        <v>0</v>
      </c>
    </row>
    <row r="11" spans="1:23" x14ac:dyDescent="0.3">
      <c r="A11" s="184"/>
      <c r="B11" s="194">
        <v>6</v>
      </c>
      <c r="C11" s="195">
        <v>45663</v>
      </c>
      <c r="D11" s="196" t="s">
        <v>23</v>
      </c>
      <c r="E11" s="196" t="s">
        <v>22</v>
      </c>
      <c r="F11" s="197">
        <v>89600</v>
      </c>
      <c r="G11" s="197">
        <v>89300</v>
      </c>
      <c r="H11" s="196">
        <v>300</v>
      </c>
      <c r="I11" s="197">
        <v>30</v>
      </c>
      <c r="J11" s="268">
        <f t="shared" si="1"/>
        <v>9000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45664</v>
      </c>
      <c r="D12" s="196" t="s">
        <v>23</v>
      </c>
      <c r="E12" s="196" t="s">
        <v>24</v>
      </c>
      <c r="F12" s="197">
        <v>77250</v>
      </c>
      <c r="G12" s="197">
        <v>77170</v>
      </c>
      <c r="H12" s="196">
        <f>77250-77170</f>
        <v>80</v>
      </c>
      <c r="I12" s="197">
        <v>100</v>
      </c>
      <c r="J12" s="268">
        <f t="shared" si="1"/>
        <v>8000</v>
      </c>
      <c r="K12" s="185"/>
      <c r="M12" s="362" t="s">
        <v>960</v>
      </c>
      <c r="N12" s="347">
        <f>COUNT(C180:C202)</f>
        <v>22</v>
      </c>
      <c r="O12" s="348">
        <f>V203</f>
        <v>16</v>
      </c>
      <c r="P12" s="348">
        <f>W203</f>
        <v>5</v>
      </c>
      <c r="Q12" s="349">
        <v>0</v>
      </c>
      <c r="R12" s="345">
        <f>O12/N12</f>
        <v>0.72727272727272729</v>
      </c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45664</v>
      </c>
      <c r="D13" s="196" t="s">
        <v>23</v>
      </c>
      <c r="E13" s="196" t="s">
        <v>22</v>
      </c>
      <c r="F13" s="197">
        <v>91050</v>
      </c>
      <c r="G13" s="197">
        <v>90900</v>
      </c>
      <c r="H13" s="196">
        <f>91050-90900</f>
        <v>150</v>
      </c>
      <c r="I13" s="197">
        <v>30</v>
      </c>
      <c r="J13" s="268">
        <f t="shared" si="1"/>
        <v>4500</v>
      </c>
      <c r="K13" s="185"/>
      <c r="M13" s="362"/>
      <c r="N13" s="347"/>
      <c r="O13" s="348"/>
      <c r="P13" s="348"/>
      <c r="Q13" s="350"/>
      <c r="R13" s="345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45665</v>
      </c>
      <c r="D14" s="196" t="s">
        <v>23</v>
      </c>
      <c r="E14" s="196" t="s">
        <v>24</v>
      </c>
      <c r="F14" s="197">
        <v>77620</v>
      </c>
      <c r="G14" s="197">
        <v>77570</v>
      </c>
      <c r="H14" s="196">
        <f>77620-77570</f>
        <v>50</v>
      </c>
      <c r="I14" s="197">
        <v>100</v>
      </c>
      <c r="J14" s="268">
        <f t="shared" si="1"/>
        <v>5000</v>
      </c>
      <c r="K14" s="185"/>
      <c r="M14" s="364" t="s">
        <v>959</v>
      </c>
      <c r="N14" s="347">
        <f>COUNT(C211:C233)</f>
        <v>21</v>
      </c>
      <c r="O14" s="348">
        <f>V234</f>
        <v>14</v>
      </c>
      <c r="P14" s="348">
        <f>W234</f>
        <v>6</v>
      </c>
      <c r="Q14" s="349">
        <f>N14-O14-P14</f>
        <v>1</v>
      </c>
      <c r="R14" s="345">
        <f>O14/N14</f>
        <v>0.66666666666666663</v>
      </c>
      <c r="V14" s="183">
        <f t="shared" si="2"/>
        <v>1</v>
      </c>
      <c r="W14" s="183">
        <f t="shared" si="3"/>
        <v>0</v>
      </c>
    </row>
    <row r="15" spans="1:23" ht="15" thickBot="1" x14ac:dyDescent="0.35">
      <c r="A15" s="184"/>
      <c r="B15" s="194">
        <v>10</v>
      </c>
      <c r="C15" s="195">
        <v>45665</v>
      </c>
      <c r="D15" s="196" t="s">
        <v>23</v>
      </c>
      <c r="E15" s="196" t="s">
        <v>22</v>
      </c>
      <c r="F15" s="197">
        <v>90850</v>
      </c>
      <c r="G15" s="197">
        <v>91150</v>
      </c>
      <c r="H15" s="196">
        <v>-300</v>
      </c>
      <c r="I15" s="197">
        <v>30</v>
      </c>
      <c r="J15" s="268">
        <f t="shared" si="1"/>
        <v>-9000</v>
      </c>
      <c r="K15" s="185"/>
      <c r="M15" s="365"/>
      <c r="N15" s="347"/>
      <c r="O15" s="348"/>
      <c r="P15" s="348"/>
      <c r="Q15" s="350"/>
      <c r="R15" s="345"/>
      <c r="V15" s="183">
        <f t="shared" si="2"/>
        <v>0</v>
      </c>
      <c r="W15" s="183">
        <f t="shared" si="3"/>
        <v>1</v>
      </c>
    </row>
    <row r="16" spans="1:23" x14ac:dyDescent="0.3">
      <c r="A16" s="184"/>
      <c r="B16" s="194">
        <v>11</v>
      </c>
      <c r="C16" s="195">
        <v>45670</v>
      </c>
      <c r="D16" s="196" t="s">
        <v>23</v>
      </c>
      <c r="E16" s="196" t="s">
        <v>24</v>
      </c>
      <c r="F16" s="197">
        <v>78700</v>
      </c>
      <c r="G16" s="197">
        <v>78500</v>
      </c>
      <c r="H16" s="196">
        <v>200</v>
      </c>
      <c r="I16" s="197">
        <v>100</v>
      </c>
      <c r="J16" s="268">
        <f t="shared" si="1"/>
        <v>20000</v>
      </c>
      <c r="K16" s="185"/>
      <c r="M16" s="319" t="s">
        <v>300</v>
      </c>
      <c r="N16" s="371">
        <f>SUM(N4:N11)</f>
        <v>100</v>
      </c>
      <c r="O16" s="371">
        <f>SUM(O4:O11)</f>
        <v>83</v>
      </c>
      <c r="P16" s="371">
        <f>SUM(P4:P11)</f>
        <v>14</v>
      </c>
      <c r="Q16" s="371">
        <f>SUM(Q4:Q11)</f>
        <v>0</v>
      </c>
      <c r="R16" s="343">
        <f>O16/N16</f>
        <v>0.83</v>
      </c>
      <c r="V16" s="183">
        <f t="shared" si="2"/>
        <v>1</v>
      </c>
      <c r="W16" s="183">
        <f t="shared" si="3"/>
        <v>0</v>
      </c>
    </row>
    <row r="17" spans="1:23" ht="15" thickBot="1" x14ac:dyDescent="0.35">
      <c r="A17" s="184"/>
      <c r="B17" s="194">
        <v>12</v>
      </c>
      <c r="C17" s="195">
        <v>45670</v>
      </c>
      <c r="D17" s="196" t="s">
        <v>23</v>
      </c>
      <c r="E17" s="196" t="s">
        <v>22</v>
      </c>
      <c r="F17" s="197">
        <v>92450</v>
      </c>
      <c r="G17" s="197">
        <v>91850</v>
      </c>
      <c r="H17" s="196">
        <f>92450-91850</f>
        <v>600</v>
      </c>
      <c r="I17" s="197">
        <v>30</v>
      </c>
      <c r="J17" s="268">
        <f t="shared" si="1"/>
        <v>18000</v>
      </c>
      <c r="K17" s="185"/>
      <c r="M17" s="320"/>
      <c r="N17" s="372"/>
      <c r="O17" s="372"/>
      <c r="P17" s="372"/>
      <c r="Q17" s="372"/>
      <c r="R17" s="344"/>
      <c r="V17" s="183">
        <f t="shared" si="2"/>
        <v>1</v>
      </c>
      <c r="W17" s="183">
        <f t="shared" si="3"/>
        <v>0</v>
      </c>
    </row>
    <row r="18" spans="1:23" hidden="1" x14ac:dyDescent="0.3">
      <c r="A18" s="184"/>
      <c r="B18" s="194">
        <v>13</v>
      </c>
      <c r="C18" s="195"/>
      <c r="D18" s="196"/>
      <c r="E18" s="196"/>
      <c r="F18" s="197"/>
      <c r="G18" s="197"/>
      <c r="H18" s="196"/>
      <c r="I18" s="197"/>
      <c r="J18" s="268">
        <f t="shared" si="1"/>
        <v>0</v>
      </c>
      <c r="K18" s="185"/>
      <c r="M18" s="323" t="s">
        <v>878</v>
      </c>
      <c r="N18" s="324"/>
      <c r="O18" s="325"/>
      <c r="P18" s="332">
        <f>R16</f>
        <v>0.83</v>
      </c>
      <c r="Q18" s="333"/>
      <c r="R18" s="334"/>
      <c r="V18" s="183">
        <f t="shared" si="2"/>
        <v>0</v>
      </c>
      <c r="W18" s="183">
        <f t="shared" si="3"/>
        <v>0</v>
      </c>
    </row>
    <row r="19" spans="1:23" hidden="1" x14ac:dyDescent="0.3">
      <c r="A19" s="184"/>
      <c r="B19" s="194">
        <v>14</v>
      </c>
      <c r="C19" s="195"/>
      <c r="D19" s="196"/>
      <c r="E19" s="196"/>
      <c r="F19" s="197"/>
      <c r="G19" s="197"/>
      <c r="H19" s="196"/>
      <c r="I19" s="197"/>
      <c r="J19" s="268">
        <f t="shared" si="1"/>
        <v>0</v>
      </c>
      <c r="K19" s="185"/>
      <c r="M19" s="326"/>
      <c r="N19" s="327"/>
      <c r="O19" s="328"/>
      <c r="P19" s="335"/>
      <c r="Q19" s="336"/>
      <c r="R19" s="337"/>
      <c r="V19" s="183">
        <f t="shared" si="2"/>
        <v>0</v>
      </c>
      <c r="W19" s="183">
        <f t="shared" si="3"/>
        <v>0</v>
      </c>
    </row>
    <row r="20" spans="1:23" ht="15" hidden="1" thickBot="1" x14ac:dyDescent="0.35">
      <c r="A20" s="184"/>
      <c r="B20" s="194">
        <v>15</v>
      </c>
      <c r="C20" s="195"/>
      <c r="D20" s="196"/>
      <c r="E20" s="196"/>
      <c r="F20" s="197"/>
      <c r="G20" s="197"/>
      <c r="H20" s="196"/>
      <c r="I20" s="197"/>
      <c r="J20" s="268">
        <f t="shared" si="1"/>
        <v>0</v>
      </c>
      <c r="K20" s="185"/>
      <c r="M20" s="329"/>
      <c r="N20" s="330"/>
      <c r="O20" s="331"/>
      <c r="P20" s="338"/>
      <c r="Q20" s="339"/>
      <c r="R20" s="340"/>
      <c r="V20" s="183">
        <f t="shared" si="2"/>
        <v>0</v>
      </c>
      <c r="W20" s="183">
        <f t="shared" si="3"/>
        <v>0</v>
      </c>
    </row>
    <row r="21" spans="1:23" hidden="1" x14ac:dyDescent="0.3">
      <c r="A21" s="184"/>
      <c r="B21" s="194">
        <v>16</v>
      </c>
      <c r="C21" s="195"/>
      <c r="D21" s="196"/>
      <c r="E21" s="196"/>
      <c r="F21" s="197"/>
      <c r="G21" s="197"/>
      <c r="H21" s="196"/>
      <c r="I21" s="197"/>
      <c r="J21" s="268">
        <f t="shared" si="1"/>
        <v>0</v>
      </c>
      <c r="K21" s="185"/>
      <c r="M21" s="183" t="s">
        <v>904</v>
      </c>
      <c r="V21" s="183">
        <f t="shared" si="2"/>
        <v>0</v>
      </c>
      <c r="W21" s="183">
        <f t="shared" si="3"/>
        <v>0</v>
      </c>
    </row>
    <row r="22" spans="1:23" hidden="1" x14ac:dyDescent="0.3">
      <c r="A22" s="184"/>
      <c r="B22" s="194">
        <v>17</v>
      </c>
      <c r="C22" s="195"/>
      <c r="D22" s="196"/>
      <c r="E22" s="196"/>
      <c r="F22" s="197"/>
      <c r="G22" s="197"/>
      <c r="H22" s="196"/>
      <c r="I22" s="197"/>
      <c r="J22" s="268">
        <f t="shared" si="1"/>
        <v>0</v>
      </c>
      <c r="K22" s="185"/>
      <c r="V22" s="183">
        <f t="shared" si="2"/>
        <v>0</v>
      </c>
      <c r="W22" s="183">
        <f t="shared" si="3"/>
        <v>0</v>
      </c>
    </row>
    <row r="23" spans="1:23" hidden="1" x14ac:dyDescent="0.3">
      <c r="A23" s="184"/>
      <c r="B23" s="194">
        <v>18</v>
      </c>
      <c r="C23" s="195"/>
      <c r="D23" s="196"/>
      <c r="E23" s="196"/>
      <c r="F23" s="197"/>
      <c r="G23" s="197"/>
      <c r="H23" s="196"/>
      <c r="I23" s="197"/>
      <c r="J23" s="268">
        <f t="shared" si="1"/>
        <v>0</v>
      </c>
      <c r="K23" s="185"/>
      <c r="V23" s="183">
        <f t="shared" si="2"/>
        <v>0</v>
      </c>
      <c r="W23" s="183">
        <f t="shared" si="3"/>
        <v>0</v>
      </c>
    </row>
    <row r="24" spans="1:23" hidden="1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hidden="1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hidden="1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hidden="1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4.4" hidden="1" customHeight="1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14.4" hidden="1" customHeight="1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ht="15" hidden="1" customHeight="1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hidden="1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hidden="1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hidden="1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hidden="1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hidden="1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hidden="1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hidden="1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idden="1" x14ac:dyDescent="0.3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idden="1" x14ac:dyDescent="0.3">
      <c r="A39" s="184"/>
      <c r="B39" s="194">
        <v>34</v>
      </c>
      <c r="C39" s="195"/>
      <c r="D39" s="196"/>
      <c r="E39" s="196"/>
      <c r="F39" s="197"/>
      <c r="G39" s="197"/>
      <c r="H39" s="196"/>
      <c r="I39" s="197"/>
      <c r="J39" s="268">
        <f t="shared" si="1"/>
        <v>0</v>
      </c>
      <c r="K39" s="185"/>
      <c r="V39" s="183">
        <f t="shared" si="2"/>
        <v>0</v>
      </c>
      <c r="W39" s="183">
        <f t="shared" si="3"/>
        <v>0</v>
      </c>
    </row>
    <row r="40" spans="1:23" hidden="1" x14ac:dyDescent="0.3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N40" s="183" t="s">
        <v>0</v>
      </c>
      <c r="V40" s="183">
        <f t="shared" si="2"/>
        <v>0</v>
      </c>
      <c r="W40" s="183">
        <f t="shared" si="3"/>
        <v>0</v>
      </c>
    </row>
    <row r="41" spans="1:23" hidden="1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hidden="1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hidden="1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hidden="1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hidden="1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hidden="1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hidden="1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hidden="1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idden="1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idden="1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04" t="s">
        <v>879</v>
      </c>
      <c r="C52" s="305"/>
      <c r="D52" s="305"/>
      <c r="E52" s="305"/>
      <c r="F52" s="305"/>
      <c r="G52" s="305"/>
      <c r="H52" s="306"/>
      <c r="I52" s="203" t="s">
        <v>880</v>
      </c>
      <c r="J52" s="204">
        <f>SUM(J6:J51)</f>
        <v>92500</v>
      </c>
      <c r="K52" s="185"/>
      <c r="V52" s="183">
        <f>SUM(V6:V51)</f>
        <v>11</v>
      </c>
      <c r="W52" s="183">
        <f>SUM(W6:W51)</f>
        <v>1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07" t="s">
        <v>128</v>
      </c>
      <c r="C56" s="308"/>
      <c r="D56" s="308"/>
      <c r="E56" s="308"/>
      <c r="F56" s="308"/>
      <c r="G56" s="308"/>
      <c r="H56" s="308"/>
      <c r="I56" s="308"/>
      <c r="J56" s="309"/>
      <c r="K56" s="185"/>
    </row>
    <row r="57" spans="1:23" ht="16.2" thickBot="1" x14ac:dyDescent="0.35">
      <c r="A57" s="184"/>
      <c r="B57" s="310">
        <v>45658</v>
      </c>
      <c r="C57" s="311"/>
      <c r="D57" s="311"/>
      <c r="E57" s="311"/>
      <c r="F57" s="311"/>
      <c r="G57" s="311"/>
      <c r="H57" s="311"/>
      <c r="I57" s="311"/>
      <c r="J57" s="312"/>
      <c r="K57" s="185"/>
    </row>
    <row r="58" spans="1:23" ht="16.2" thickBot="1" x14ac:dyDescent="0.35">
      <c r="A58" s="184"/>
      <c r="B58" s="313" t="s">
        <v>881</v>
      </c>
      <c r="C58" s="314"/>
      <c r="D58" s="314"/>
      <c r="E58" s="314"/>
      <c r="F58" s="314"/>
      <c r="G58" s="314"/>
      <c r="H58" s="314"/>
      <c r="I58" s="314"/>
      <c r="J58" s="315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45659</v>
      </c>
      <c r="D60" s="192" t="s">
        <v>23</v>
      </c>
      <c r="E60" s="192" t="s">
        <v>25</v>
      </c>
      <c r="F60" s="193">
        <v>6180</v>
      </c>
      <c r="G60" s="193">
        <v>6165</v>
      </c>
      <c r="H60" s="192">
        <f>6180-6165</f>
        <v>15</v>
      </c>
      <c r="I60" s="193">
        <v>100</v>
      </c>
      <c r="J60" s="267">
        <f t="shared" ref="J60:J103" si="4">I60*H60</f>
        <v>1500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45659</v>
      </c>
      <c r="D61" s="196" t="s">
        <v>16</v>
      </c>
      <c r="E61" s="196" t="s">
        <v>971</v>
      </c>
      <c r="F61" s="222">
        <v>26</v>
      </c>
      <c r="G61" s="222">
        <v>28.4</v>
      </c>
      <c r="H61" s="222">
        <v>2.4</v>
      </c>
      <c r="I61" s="197">
        <v>2500</v>
      </c>
      <c r="J61" s="268">
        <f t="shared" si="4"/>
        <v>6000</v>
      </c>
      <c r="K61" s="185"/>
      <c r="V61" s="183">
        <f t="shared" ref="V61:V103" si="5">IF($J61&gt;0,1,0)</f>
        <v>1</v>
      </c>
      <c r="W61" s="183">
        <f t="shared" ref="W61:W103" si="6">IF($J61&lt;0,1,0)</f>
        <v>0</v>
      </c>
    </row>
    <row r="62" spans="1:23" x14ac:dyDescent="0.3">
      <c r="A62" s="184"/>
      <c r="B62" s="194">
        <v>3</v>
      </c>
      <c r="C62" s="195">
        <v>45660</v>
      </c>
      <c r="D62" s="196" t="s">
        <v>23</v>
      </c>
      <c r="E62" s="196" t="s">
        <v>25</v>
      </c>
      <c r="F62" s="197">
        <v>6270</v>
      </c>
      <c r="G62" s="197">
        <v>6245</v>
      </c>
      <c r="H62" s="222">
        <f>6270-6245</f>
        <v>25</v>
      </c>
      <c r="I62" s="197">
        <v>100</v>
      </c>
      <c r="J62" s="268">
        <f t="shared" si="4"/>
        <v>2500</v>
      </c>
      <c r="K62" s="185"/>
      <c r="V62" s="183">
        <f t="shared" si="5"/>
        <v>1</v>
      </c>
      <c r="W62" s="183">
        <f t="shared" si="6"/>
        <v>0</v>
      </c>
    </row>
    <row r="63" spans="1:23" x14ac:dyDescent="0.3">
      <c r="A63" s="184"/>
      <c r="B63" s="194">
        <v>4</v>
      </c>
      <c r="C63" s="195">
        <v>45660</v>
      </c>
      <c r="D63" s="196" t="s">
        <v>16</v>
      </c>
      <c r="E63" s="196" t="s">
        <v>972</v>
      </c>
      <c r="F63" s="222">
        <v>20.5</v>
      </c>
      <c r="G63" s="222">
        <v>23.5</v>
      </c>
      <c r="H63" s="222">
        <v>3</v>
      </c>
      <c r="I63" s="197">
        <v>2500</v>
      </c>
      <c r="J63" s="268">
        <f t="shared" si="4"/>
        <v>7500</v>
      </c>
      <c r="K63" s="185"/>
      <c r="V63" s="183">
        <f t="shared" si="5"/>
        <v>1</v>
      </c>
      <c r="W63" s="183">
        <f t="shared" si="6"/>
        <v>0</v>
      </c>
    </row>
    <row r="64" spans="1:23" x14ac:dyDescent="0.3">
      <c r="A64" s="184"/>
      <c r="B64" s="194">
        <v>5</v>
      </c>
      <c r="C64" s="195">
        <v>45663</v>
      </c>
      <c r="D64" s="196" t="s">
        <v>23</v>
      </c>
      <c r="E64" s="196" t="s">
        <v>25</v>
      </c>
      <c r="F64" s="197">
        <v>6330</v>
      </c>
      <c r="G64" s="197">
        <v>6320</v>
      </c>
      <c r="H64" s="196">
        <v>10</v>
      </c>
      <c r="I64" s="197">
        <v>100</v>
      </c>
      <c r="J64" s="268">
        <f t="shared" si="4"/>
        <v>1000</v>
      </c>
      <c r="K64" s="185"/>
      <c r="V64" s="183">
        <f t="shared" si="5"/>
        <v>1</v>
      </c>
      <c r="W64" s="183">
        <f t="shared" si="6"/>
        <v>0</v>
      </c>
    </row>
    <row r="65" spans="1:23" x14ac:dyDescent="0.3">
      <c r="A65" s="184"/>
      <c r="B65" s="194">
        <v>6</v>
      </c>
      <c r="C65" s="195">
        <v>45663</v>
      </c>
      <c r="D65" s="196" t="s">
        <v>16</v>
      </c>
      <c r="E65" s="196" t="s">
        <v>973</v>
      </c>
      <c r="F65" s="222">
        <v>21.5</v>
      </c>
      <c r="G65" s="222">
        <v>18.5</v>
      </c>
      <c r="H65" s="196">
        <v>-3</v>
      </c>
      <c r="I65" s="197">
        <v>2500</v>
      </c>
      <c r="J65" s="268">
        <f t="shared" si="4"/>
        <v>-7500</v>
      </c>
      <c r="K65" s="185"/>
      <c r="V65" s="183">
        <f t="shared" si="5"/>
        <v>0</v>
      </c>
      <c r="W65" s="183">
        <f t="shared" si="6"/>
        <v>1</v>
      </c>
    </row>
    <row r="66" spans="1:23" x14ac:dyDescent="0.3">
      <c r="A66" s="184"/>
      <c r="B66" s="194">
        <v>7</v>
      </c>
      <c r="C66" s="195">
        <v>45664</v>
      </c>
      <c r="D66" s="196" t="s">
        <v>23</v>
      </c>
      <c r="E66" s="196" t="s">
        <v>25</v>
      </c>
      <c r="F66" s="222">
        <v>6290</v>
      </c>
      <c r="G66" s="222">
        <v>6275</v>
      </c>
      <c r="H66" s="196">
        <f>6290-6275</f>
        <v>15</v>
      </c>
      <c r="I66" s="197">
        <v>100</v>
      </c>
      <c r="J66" s="268">
        <f t="shared" si="4"/>
        <v>1500</v>
      </c>
      <c r="K66" s="185"/>
      <c r="V66" s="183">
        <f t="shared" si="5"/>
        <v>1</v>
      </c>
      <c r="W66" s="183">
        <f t="shared" si="6"/>
        <v>0</v>
      </c>
    </row>
    <row r="67" spans="1:23" x14ac:dyDescent="0.3">
      <c r="A67" s="184"/>
      <c r="B67" s="194">
        <v>8</v>
      </c>
      <c r="C67" s="195">
        <v>45664</v>
      </c>
      <c r="D67" s="196" t="s">
        <v>16</v>
      </c>
      <c r="E67" s="196" t="s">
        <v>972</v>
      </c>
      <c r="F67" s="222">
        <v>19.5</v>
      </c>
      <c r="G67" s="222">
        <v>20.5</v>
      </c>
      <c r="H67" s="222">
        <v>1</v>
      </c>
      <c r="I67" s="197">
        <v>2500</v>
      </c>
      <c r="J67" s="268">
        <f t="shared" si="4"/>
        <v>2500</v>
      </c>
      <c r="K67" s="185"/>
      <c r="V67" s="183">
        <f t="shared" si="5"/>
        <v>1</v>
      </c>
      <c r="W67" s="183">
        <f t="shared" si="6"/>
        <v>0</v>
      </c>
    </row>
    <row r="68" spans="1:23" x14ac:dyDescent="0.3">
      <c r="A68" s="184"/>
      <c r="B68" s="194">
        <v>9</v>
      </c>
      <c r="C68" s="195">
        <v>45665</v>
      </c>
      <c r="D68" s="196" t="s">
        <v>23</v>
      </c>
      <c r="E68" s="196" t="s">
        <v>25</v>
      </c>
      <c r="F68" s="197">
        <v>6420</v>
      </c>
      <c r="G68" s="197">
        <v>6460</v>
      </c>
      <c r="H68" s="196">
        <v>-40</v>
      </c>
      <c r="I68" s="197">
        <v>100</v>
      </c>
      <c r="J68" s="268">
        <f t="shared" si="4"/>
        <v>-4000</v>
      </c>
      <c r="K68" s="185"/>
      <c r="V68" s="183">
        <f t="shared" si="5"/>
        <v>0</v>
      </c>
      <c r="W68" s="183">
        <f t="shared" si="6"/>
        <v>1</v>
      </c>
    </row>
    <row r="69" spans="1:23" x14ac:dyDescent="0.3">
      <c r="A69" s="184"/>
      <c r="B69" s="194">
        <v>10</v>
      </c>
      <c r="C69" s="195">
        <v>45665</v>
      </c>
      <c r="D69" s="196" t="s">
        <v>16</v>
      </c>
      <c r="E69" s="196" t="s">
        <v>994</v>
      </c>
      <c r="F69" s="222">
        <v>22.5</v>
      </c>
      <c r="G69" s="222">
        <v>24</v>
      </c>
      <c r="H69" s="222">
        <f>24-22.5</f>
        <v>1.5</v>
      </c>
      <c r="I69" s="197">
        <v>2500</v>
      </c>
      <c r="J69" s="268">
        <f t="shared" si="4"/>
        <v>3750</v>
      </c>
      <c r="K69" s="185"/>
      <c r="V69" s="183">
        <f t="shared" si="5"/>
        <v>1</v>
      </c>
      <c r="W69" s="183">
        <f t="shared" si="6"/>
        <v>0</v>
      </c>
    </row>
    <row r="70" spans="1:23" x14ac:dyDescent="0.3">
      <c r="A70" s="184"/>
      <c r="B70" s="194">
        <v>11</v>
      </c>
      <c r="C70" s="195">
        <v>45666</v>
      </c>
      <c r="D70" s="196" t="s">
        <v>23</v>
      </c>
      <c r="E70" s="196" t="s">
        <v>25</v>
      </c>
      <c r="F70" s="197">
        <v>6305</v>
      </c>
      <c r="G70" s="222">
        <v>6280</v>
      </c>
      <c r="H70" s="196">
        <f>6305-6280</f>
        <v>25</v>
      </c>
      <c r="I70" s="197">
        <v>100</v>
      </c>
      <c r="J70" s="268">
        <f t="shared" si="4"/>
        <v>2500</v>
      </c>
      <c r="K70" s="185"/>
      <c r="V70" s="183">
        <f t="shared" si="5"/>
        <v>1</v>
      </c>
      <c r="W70" s="183">
        <f t="shared" si="6"/>
        <v>0</v>
      </c>
    </row>
    <row r="71" spans="1:23" x14ac:dyDescent="0.3">
      <c r="A71" s="184"/>
      <c r="B71" s="194">
        <v>12</v>
      </c>
      <c r="C71" s="195">
        <v>45666</v>
      </c>
      <c r="D71" s="196" t="s">
        <v>16</v>
      </c>
      <c r="E71" s="196" t="s">
        <v>973</v>
      </c>
      <c r="F71" s="222">
        <v>19.5</v>
      </c>
      <c r="G71" s="222">
        <v>22.5</v>
      </c>
      <c r="H71" s="222">
        <v>3</v>
      </c>
      <c r="I71" s="197">
        <v>2500</v>
      </c>
      <c r="J71" s="268">
        <f t="shared" si="4"/>
        <v>7500</v>
      </c>
      <c r="K71" s="185"/>
      <c r="V71" s="183">
        <f t="shared" si="5"/>
        <v>1</v>
      </c>
      <c r="W71" s="183">
        <f t="shared" si="6"/>
        <v>0</v>
      </c>
    </row>
    <row r="72" spans="1:23" x14ac:dyDescent="0.3">
      <c r="A72" s="184"/>
      <c r="B72" s="194">
        <v>13</v>
      </c>
      <c r="C72" s="195">
        <v>45667</v>
      </c>
      <c r="D72" s="196" t="s">
        <v>23</v>
      </c>
      <c r="E72" s="196" t="s">
        <v>25</v>
      </c>
      <c r="F72" s="197">
        <v>6425</v>
      </c>
      <c r="G72" s="222">
        <v>6385</v>
      </c>
      <c r="H72" s="196">
        <f>6425-6385</f>
        <v>40</v>
      </c>
      <c r="I72" s="197">
        <v>100</v>
      </c>
      <c r="J72" s="268">
        <f t="shared" si="4"/>
        <v>4000</v>
      </c>
      <c r="K72" s="185"/>
      <c r="V72" s="183">
        <f t="shared" si="5"/>
        <v>1</v>
      </c>
      <c r="W72" s="183">
        <f t="shared" si="6"/>
        <v>0</v>
      </c>
    </row>
    <row r="73" spans="1:23" x14ac:dyDescent="0.3">
      <c r="A73" s="184"/>
      <c r="B73" s="194">
        <v>14</v>
      </c>
      <c r="C73" s="195">
        <v>45667</v>
      </c>
      <c r="D73" s="196" t="s">
        <v>16</v>
      </c>
      <c r="E73" s="196" t="s">
        <v>980</v>
      </c>
      <c r="F73" s="222">
        <v>23</v>
      </c>
      <c r="G73" s="222">
        <v>26</v>
      </c>
      <c r="H73" s="196">
        <v>3</v>
      </c>
      <c r="I73" s="197">
        <v>2500</v>
      </c>
      <c r="J73" s="268">
        <f t="shared" si="4"/>
        <v>7500</v>
      </c>
      <c r="K73" s="185"/>
      <c r="V73" s="183">
        <f t="shared" si="5"/>
        <v>1</v>
      </c>
      <c r="W73" s="183">
        <f t="shared" si="6"/>
        <v>0</v>
      </c>
    </row>
    <row r="74" spans="1:23" x14ac:dyDescent="0.3">
      <c r="A74" s="184"/>
      <c r="B74" s="194">
        <v>15</v>
      </c>
      <c r="C74" s="195">
        <v>45670</v>
      </c>
      <c r="D74" s="196" t="s">
        <v>23</v>
      </c>
      <c r="E74" s="196" t="s">
        <v>25</v>
      </c>
      <c r="F74" s="197">
        <v>6780</v>
      </c>
      <c r="G74" s="222">
        <v>6710</v>
      </c>
      <c r="H74" s="196">
        <f>6780-6710</f>
        <v>70</v>
      </c>
      <c r="I74" s="197">
        <v>100</v>
      </c>
      <c r="J74" s="268">
        <f t="shared" si="4"/>
        <v>7000</v>
      </c>
      <c r="K74" s="185"/>
      <c r="V74" s="183">
        <f t="shared" si="5"/>
        <v>1</v>
      </c>
      <c r="W74" s="183">
        <f t="shared" si="6"/>
        <v>0</v>
      </c>
    </row>
    <row r="75" spans="1:23" x14ac:dyDescent="0.3">
      <c r="A75" s="184"/>
      <c r="B75" s="194">
        <v>16</v>
      </c>
      <c r="C75" s="195">
        <v>45670</v>
      </c>
      <c r="D75" s="196" t="s">
        <v>16</v>
      </c>
      <c r="E75" s="196" t="s">
        <v>981</v>
      </c>
      <c r="F75" s="222">
        <v>25</v>
      </c>
      <c r="G75" s="222">
        <v>27</v>
      </c>
      <c r="H75" s="196">
        <v>2</v>
      </c>
      <c r="I75" s="197">
        <v>2500</v>
      </c>
      <c r="J75" s="268">
        <f t="shared" si="4"/>
        <v>5000</v>
      </c>
      <c r="K75" s="185"/>
      <c r="V75" s="183">
        <f t="shared" si="5"/>
        <v>1</v>
      </c>
      <c r="W75" s="183">
        <f t="shared" si="6"/>
        <v>0</v>
      </c>
    </row>
    <row r="76" spans="1:23" x14ac:dyDescent="0.3">
      <c r="A76" s="184"/>
      <c r="B76" s="194">
        <v>17</v>
      </c>
      <c r="C76" s="195">
        <v>45671</v>
      </c>
      <c r="D76" s="196" t="s">
        <v>23</v>
      </c>
      <c r="E76" s="196" t="s">
        <v>25</v>
      </c>
      <c r="F76" s="197">
        <v>6795</v>
      </c>
      <c r="G76" s="197">
        <v>6779</v>
      </c>
      <c r="H76" s="196">
        <f>6795-6779</f>
        <v>16</v>
      </c>
      <c r="I76" s="197">
        <v>100</v>
      </c>
      <c r="J76" s="268">
        <f t="shared" si="4"/>
        <v>1600</v>
      </c>
      <c r="K76" s="185"/>
      <c r="V76" s="183">
        <f t="shared" si="5"/>
        <v>1</v>
      </c>
      <c r="W76" s="183">
        <f t="shared" si="6"/>
        <v>0</v>
      </c>
    </row>
    <row r="77" spans="1:23" x14ac:dyDescent="0.3">
      <c r="A77" s="184"/>
      <c r="B77" s="194">
        <v>18</v>
      </c>
      <c r="C77" s="195">
        <v>45671</v>
      </c>
      <c r="D77" s="196" t="s">
        <v>16</v>
      </c>
      <c r="E77" s="196" t="s">
        <v>982</v>
      </c>
      <c r="F77" s="222">
        <v>32.5</v>
      </c>
      <c r="G77" s="222">
        <v>35.5</v>
      </c>
      <c r="H77" s="222">
        <v>3</v>
      </c>
      <c r="I77" s="197">
        <v>2500</v>
      </c>
      <c r="J77" s="268">
        <f t="shared" si="4"/>
        <v>7500</v>
      </c>
      <c r="K77" s="185"/>
      <c r="V77" s="183">
        <f t="shared" si="5"/>
        <v>1</v>
      </c>
      <c r="W77" s="183">
        <f t="shared" si="6"/>
        <v>0</v>
      </c>
    </row>
    <row r="78" spans="1:23" x14ac:dyDescent="0.3">
      <c r="A78" s="184"/>
      <c r="B78" s="194">
        <v>19</v>
      </c>
      <c r="C78" s="195">
        <v>45672</v>
      </c>
      <c r="D78" s="196" t="s">
        <v>23</v>
      </c>
      <c r="E78" s="196" t="s">
        <v>25</v>
      </c>
      <c r="F78" s="197">
        <v>6765</v>
      </c>
      <c r="G78" s="197">
        <v>6705</v>
      </c>
      <c r="H78" s="196">
        <f>6765-6705</f>
        <v>60</v>
      </c>
      <c r="I78" s="197">
        <v>100</v>
      </c>
      <c r="J78" s="268">
        <f t="shared" si="4"/>
        <v>6000</v>
      </c>
      <c r="K78" s="185"/>
      <c r="V78" s="183">
        <f t="shared" si="5"/>
        <v>1</v>
      </c>
      <c r="W78" s="183">
        <f t="shared" si="6"/>
        <v>0</v>
      </c>
    </row>
    <row r="79" spans="1:23" x14ac:dyDescent="0.3">
      <c r="A79" s="184"/>
      <c r="B79" s="194">
        <v>20</v>
      </c>
      <c r="C79" s="195">
        <v>45672</v>
      </c>
      <c r="D79" s="196" t="s">
        <v>16</v>
      </c>
      <c r="E79" s="196" t="s">
        <v>981</v>
      </c>
      <c r="F79" s="222">
        <v>33.5</v>
      </c>
      <c r="G79" s="222">
        <v>30.5</v>
      </c>
      <c r="H79" s="196">
        <v>-3</v>
      </c>
      <c r="I79" s="197">
        <v>2500</v>
      </c>
      <c r="J79" s="268">
        <f t="shared" si="4"/>
        <v>-7500</v>
      </c>
      <c r="K79" s="185"/>
      <c r="V79" s="183">
        <f t="shared" si="5"/>
        <v>0</v>
      </c>
      <c r="W79" s="183">
        <f t="shared" si="6"/>
        <v>1</v>
      </c>
    </row>
    <row r="80" spans="1:23" x14ac:dyDescent="0.3">
      <c r="A80" s="184"/>
      <c r="B80" s="194">
        <v>21</v>
      </c>
      <c r="C80" s="195">
        <v>45673</v>
      </c>
      <c r="D80" s="196" t="s">
        <v>23</v>
      </c>
      <c r="E80" s="196" t="s">
        <v>25</v>
      </c>
      <c r="F80" s="197">
        <v>6920</v>
      </c>
      <c r="G80" s="197">
        <v>6850</v>
      </c>
      <c r="H80" s="196">
        <f>6920-6850</f>
        <v>70</v>
      </c>
      <c r="I80" s="197">
        <v>100</v>
      </c>
      <c r="J80" s="268">
        <f t="shared" si="4"/>
        <v>7000</v>
      </c>
      <c r="K80" s="185"/>
      <c r="V80" s="183">
        <f t="shared" si="5"/>
        <v>1</v>
      </c>
      <c r="W80" s="183">
        <f t="shared" si="6"/>
        <v>0</v>
      </c>
    </row>
    <row r="81" spans="1:23" x14ac:dyDescent="0.3">
      <c r="A81" s="184"/>
      <c r="B81" s="194">
        <v>22</v>
      </c>
      <c r="C81" s="195">
        <v>45673</v>
      </c>
      <c r="D81" s="196" t="s">
        <v>16</v>
      </c>
      <c r="E81" s="196" t="s">
        <v>982</v>
      </c>
      <c r="F81" s="197">
        <v>20</v>
      </c>
      <c r="G81" s="222">
        <v>17</v>
      </c>
      <c r="H81" s="222">
        <v>-3</v>
      </c>
      <c r="I81" s="197">
        <v>2500</v>
      </c>
      <c r="J81" s="268">
        <f t="shared" si="4"/>
        <v>-7500</v>
      </c>
      <c r="K81" s="185"/>
      <c r="V81" s="183">
        <f t="shared" si="5"/>
        <v>0</v>
      </c>
      <c r="W81" s="183">
        <f t="shared" si="6"/>
        <v>1</v>
      </c>
    </row>
    <row r="82" spans="1:23" x14ac:dyDescent="0.3">
      <c r="A82" s="184"/>
      <c r="B82" s="194">
        <v>23</v>
      </c>
      <c r="C82" s="195">
        <v>45674</v>
      </c>
      <c r="D82" s="196" t="s">
        <v>23</v>
      </c>
      <c r="E82" s="196" t="s">
        <v>25</v>
      </c>
      <c r="F82" s="197">
        <v>6870</v>
      </c>
      <c r="G82" s="197">
        <v>6830</v>
      </c>
      <c r="H82" s="196">
        <v>40</v>
      </c>
      <c r="I82" s="197">
        <v>100</v>
      </c>
      <c r="J82" s="268">
        <f t="shared" si="4"/>
        <v>4000</v>
      </c>
      <c r="K82" s="185"/>
      <c r="V82" s="183">
        <f t="shared" si="5"/>
        <v>1</v>
      </c>
      <c r="W82" s="183">
        <f t="shared" si="6"/>
        <v>0</v>
      </c>
    </row>
    <row r="83" spans="1:23" x14ac:dyDescent="0.3">
      <c r="A83" s="184"/>
      <c r="B83" s="194">
        <v>24</v>
      </c>
      <c r="C83" s="195">
        <v>45674</v>
      </c>
      <c r="D83" s="196" t="s">
        <v>16</v>
      </c>
      <c r="E83" s="196" t="s">
        <v>981</v>
      </c>
      <c r="F83" s="197">
        <v>21</v>
      </c>
      <c r="G83" s="222">
        <v>24</v>
      </c>
      <c r="H83" s="222">
        <v>3</v>
      </c>
      <c r="I83" s="197">
        <v>2500</v>
      </c>
      <c r="J83" s="268">
        <f t="shared" si="4"/>
        <v>7500</v>
      </c>
      <c r="K83" s="185"/>
      <c r="V83" s="183">
        <f t="shared" si="5"/>
        <v>1</v>
      </c>
      <c r="W83" s="183">
        <f t="shared" si="6"/>
        <v>0</v>
      </c>
    </row>
    <row r="84" spans="1:23" x14ac:dyDescent="0.3">
      <c r="A84" s="184"/>
      <c r="B84" s="194">
        <v>25</v>
      </c>
      <c r="C84" s="195">
        <v>45677</v>
      </c>
      <c r="D84" s="196" t="s">
        <v>23</v>
      </c>
      <c r="E84" s="196" t="s">
        <v>25</v>
      </c>
      <c r="F84" s="197">
        <v>6700</v>
      </c>
      <c r="G84" s="222">
        <v>6660</v>
      </c>
      <c r="H84" s="222">
        <f>6700-6660</f>
        <v>40</v>
      </c>
      <c r="I84" s="197">
        <v>100</v>
      </c>
      <c r="J84" s="268">
        <f t="shared" si="4"/>
        <v>4000</v>
      </c>
      <c r="K84" s="185"/>
      <c r="V84" s="183">
        <f t="shared" si="5"/>
        <v>1</v>
      </c>
      <c r="W84" s="183">
        <f t="shared" si="6"/>
        <v>0</v>
      </c>
    </row>
    <row r="85" spans="1:23" x14ac:dyDescent="0.3">
      <c r="A85" s="184"/>
      <c r="B85" s="194">
        <v>26</v>
      </c>
      <c r="C85" s="195">
        <v>45677</v>
      </c>
      <c r="D85" s="196" t="s">
        <v>16</v>
      </c>
      <c r="E85" s="196" t="s">
        <v>980</v>
      </c>
      <c r="F85" s="222">
        <v>14</v>
      </c>
      <c r="G85" s="222">
        <v>16</v>
      </c>
      <c r="H85" s="196">
        <v>2</v>
      </c>
      <c r="I85" s="197">
        <v>2500</v>
      </c>
      <c r="J85" s="268">
        <f t="shared" si="4"/>
        <v>5000</v>
      </c>
      <c r="K85" s="185"/>
      <c r="V85" s="183">
        <f t="shared" si="5"/>
        <v>1</v>
      </c>
      <c r="W85" s="183">
        <f t="shared" si="6"/>
        <v>0</v>
      </c>
    </row>
    <row r="86" spans="1:23" x14ac:dyDescent="0.3">
      <c r="A86" s="184"/>
      <c r="B86" s="194">
        <v>27</v>
      </c>
      <c r="C86" s="195">
        <v>45678</v>
      </c>
      <c r="D86" s="196" t="s">
        <v>23</v>
      </c>
      <c r="E86" s="196" t="s">
        <v>25</v>
      </c>
      <c r="F86" s="197">
        <v>6635</v>
      </c>
      <c r="G86" s="197">
        <v>6565</v>
      </c>
      <c r="H86" s="196">
        <v>70</v>
      </c>
      <c r="I86" s="197">
        <v>100</v>
      </c>
      <c r="J86" s="268">
        <f t="shared" si="4"/>
        <v>7000</v>
      </c>
      <c r="K86" s="185"/>
      <c r="V86" s="183">
        <f t="shared" si="5"/>
        <v>1</v>
      </c>
      <c r="W86" s="183">
        <f t="shared" si="6"/>
        <v>0</v>
      </c>
    </row>
    <row r="87" spans="1:23" x14ac:dyDescent="0.3">
      <c r="A87" s="184"/>
      <c r="B87" s="194">
        <v>28</v>
      </c>
      <c r="C87" s="195">
        <v>45678</v>
      </c>
      <c r="D87" s="196" t="s">
        <v>16</v>
      </c>
      <c r="E87" s="196" t="s">
        <v>984</v>
      </c>
      <c r="F87" s="222">
        <v>13.5</v>
      </c>
      <c r="G87" s="222">
        <v>19.5</v>
      </c>
      <c r="H87" s="222">
        <v>6</v>
      </c>
      <c r="I87" s="197">
        <v>2500</v>
      </c>
      <c r="J87" s="268">
        <f t="shared" si="4"/>
        <v>15000</v>
      </c>
      <c r="K87" s="185"/>
      <c r="V87" s="183">
        <f t="shared" si="5"/>
        <v>1</v>
      </c>
      <c r="W87" s="183">
        <f t="shared" si="6"/>
        <v>0</v>
      </c>
    </row>
    <row r="88" spans="1:23" x14ac:dyDescent="0.3">
      <c r="A88" s="184"/>
      <c r="B88" s="194">
        <v>29</v>
      </c>
      <c r="C88" s="195">
        <v>45679</v>
      </c>
      <c r="D88" s="196" t="s">
        <v>23</v>
      </c>
      <c r="E88" s="196" t="s">
        <v>25</v>
      </c>
      <c r="F88" s="197">
        <v>6545</v>
      </c>
      <c r="G88" s="197">
        <v>6585</v>
      </c>
      <c r="H88" s="196">
        <v>-40</v>
      </c>
      <c r="I88" s="197">
        <v>100</v>
      </c>
      <c r="J88" s="268">
        <f t="shared" si="4"/>
        <v>-4000</v>
      </c>
      <c r="K88" s="185"/>
      <c r="V88" s="183">
        <f t="shared" si="5"/>
        <v>0</v>
      </c>
      <c r="W88" s="183">
        <f t="shared" si="6"/>
        <v>1</v>
      </c>
    </row>
    <row r="89" spans="1:23" x14ac:dyDescent="0.3">
      <c r="A89" s="184"/>
      <c r="B89" s="194">
        <v>30</v>
      </c>
      <c r="C89" s="195">
        <v>45679</v>
      </c>
      <c r="D89" s="196" t="s">
        <v>16</v>
      </c>
      <c r="E89" s="196" t="s">
        <v>984</v>
      </c>
      <c r="F89" s="222">
        <v>17</v>
      </c>
      <c r="G89" s="222">
        <v>19</v>
      </c>
      <c r="H89" s="196">
        <v>2</v>
      </c>
      <c r="I89" s="197">
        <v>2500</v>
      </c>
      <c r="J89" s="268">
        <f t="shared" si="4"/>
        <v>5000</v>
      </c>
      <c r="K89" s="185"/>
      <c r="V89" s="183">
        <f t="shared" si="5"/>
        <v>1</v>
      </c>
      <c r="W89" s="183">
        <f t="shared" si="6"/>
        <v>0</v>
      </c>
    </row>
    <row r="90" spans="1:23" x14ac:dyDescent="0.3">
      <c r="A90" s="184"/>
      <c r="B90" s="194">
        <v>31</v>
      </c>
      <c r="C90" s="195">
        <v>45680</v>
      </c>
      <c r="D90" s="196" t="s">
        <v>23</v>
      </c>
      <c r="E90" s="196" t="s">
        <v>25</v>
      </c>
      <c r="F90" s="197">
        <v>6555</v>
      </c>
      <c r="G90" s="197">
        <v>6515</v>
      </c>
      <c r="H90" s="196">
        <f>6555-6515</f>
        <v>40</v>
      </c>
      <c r="I90" s="197">
        <v>100</v>
      </c>
      <c r="J90" s="268">
        <f t="shared" si="4"/>
        <v>4000</v>
      </c>
      <c r="K90" s="185"/>
      <c r="V90" s="183">
        <f t="shared" si="5"/>
        <v>1</v>
      </c>
      <c r="W90" s="183">
        <f t="shared" si="6"/>
        <v>0</v>
      </c>
    </row>
    <row r="91" spans="1:23" x14ac:dyDescent="0.3">
      <c r="A91" s="184"/>
      <c r="B91" s="194">
        <v>32</v>
      </c>
      <c r="C91" s="195">
        <v>45680</v>
      </c>
      <c r="D91" s="196" t="s">
        <v>16</v>
      </c>
      <c r="E91" s="196" t="s">
        <v>982</v>
      </c>
      <c r="F91" s="222">
        <v>13</v>
      </c>
      <c r="G91" s="222">
        <v>14</v>
      </c>
      <c r="H91" s="222">
        <v>1</v>
      </c>
      <c r="I91" s="197">
        <v>2500</v>
      </c>
      <c r="J91" s="268">
        <f t="shared" si="4"/>
        <v>2500</v>
      </c>
      <c r="K91" s="185"/>
      <c r="V91" s="183">
        <f t="shared" si="5"/>
        <v>1</v>
      </c>
      <c r="W91" s="183">
        <f t="shared" si="6"/>
        <v>0</v>
      </c>
    </row>
    <row r="92" spans="1:23" x14ac:dyDescent="0.3">
      <c r="A92" s="184"/>
      <c r="B92" s="194">
        <v>33</v>
      </c>
      <c r="C92" s="195">
        <v>45681</v>
      </c>
      <c r="D92" s="196" t="s">
        <v>23</v>
      </c>
      <c r="E92" s="196" t="s">
        <v>25</v>
      </c>
      <c r="F92" s="197">
        <v>6450</v>
      </c>
      <c r="G92" s="197">
        <v>6435</v>
      </c>
      <c r="H92" s="196">
        <f>6450-6435</f>
        <v>15</v>
      </c>
      <c r="I92" s="197">
        <v>100</v>
      </c>
      <c r="J92" s="268">
        <f t="shared" si="4"/>
        <v>1500</v>
      </c>
      <c r="K92" s="185"/>
      <c r="V92" s="183">
        <f t="shared" si="5"/>
        <v>1</v>
      </c>
      <c r="W92" s="183">
        <f t="shared" si="6"/>
        <v>0</v>
      </c>
    </row>
    <row r="93" spans="1:23" x14ac:dyDescent="0.3">
      <c r="A93" s="184"/>
      <c r="B93" s="194">
        <v>34</v>
      </c>
      <c r="C93" s="195">
        <v>45681</v>
      </c>
      <c r="D93" s="196" t="s">
        <v>16</v>
      </c>
      <c r="E93" s="196" t="s">
        <v>984</v>
      </c>
      <c r="F93" s="222">
        <v>9</v>
      </c>
      <c r="G93" s="222">
        <v>10</v>
      </c>
      <c r="H93" s="222">
        <v>1</v>
      </c>
      <c r="I93" s="197">
        <v>2500</v>
      </c>
      <c r="J93" s="268">
        <f t="shared" si="4"/>
        <v>2500</v>
      </c>
      <c r="K93" s="185"/>
      <c r="V93" s="183">
        <f t="shared" si="5"/>
        <v>1</v>
      </c>
      <c r="W93" s="183">
        <f t="shared" si="6"/>
        <v>0</v>
      </c>
    </row>
    <row r="94" spans="1:23" x14ac:dyDescent="0.3">
      <c r="A94" s="184"/>
      <c r="B94" s="194">
        <v>35</v>
      </c>
      <c r="C94" s="195">
        <v>45684</v>
      </c>
      <c r="D94" s="196" t="s">
        <v>23</v>
      </c>
      <c r="E94" s="196" t="s">
        <v>25</v>
      </c>
      <c r="F94" s="197">
        <v>6445</v>
      </c>
      <c r="G94" s="197">
        <v>6485</v>
      </c>
      <c r="H94" s="196">
        <f>6485-6445</f>
        <v>40</v>
      </c>
      <c r="I94" s="197">
        <v>100</v>
      </c>
      <c r="J94" s="268">
        <f t="shared" si="4"/>
        <v>4000</v>
      </c>
      <c r="K94" s="185"/>
      <c r="V94" s="183">
        <f t="shared" si="5"/>
        <v>1</v>
      </c>
      <c r="W94" s="183">
        <f t="shared" si="6"/>
        <v>0</v>
      </c>
    </row>
    <row r="95" spans="1:23" x14ac:dyDescent="0.3">
      <c r="A95" s="184"/>
      <c r="B95" s="194">
        <v>36</v>
      </c>
      <c r="C95" s="195">
        <v>45684</v>
      </c>
      <c r="D95" s="196" t="s">
        <v>16</v>
      </c>
      <c r="E95" s="196" t="s">
        <v>973</v>
      </c>
      <c r="F95" s="197">
        <v>36</v>
      </c>
      <c r="G95" s="222">
        <v>37</v>
      </c>
      <c r="H95" s="222">
        <v>1</v>
      </c>
      <c r="I95" s="197">
        <v>2500</v>
      </c>
      <c r="J95" s="268">
        <f t="shared" si="4"/>
        <v>2500</v>
      </c>
      <c r="K95" s="185"/>
      <c r="V95" s="183">
        <f t="shared" si="5"/>
        <v>1</v>
      </c>
      <c r="W95" s="183">
        <f t="shared" si="6"/>
        <v>0</v>
      </c>
    </row>
    <row r="96" spans="1:23" x14ac:dyDescent="0.3">
      <c r="A96" s="184"/>
      <c r="B96" s="194">
        <v>37</v>
      </c>
      <c r="C96" s="195">
        <v>45685</v>
      </c>
      <c r="D96" s="196" t="s">
        <v>23</v>
      </c>
      <c r="E96" s="196" t="s">
        <v>25</v>
      </c>
      <c r="F96" s="197">
        <v>6380</v>
      </c>
      <c r="G96" s="197">
        <v>6350</v>
      </c>
      <c r="H96" s="196">
        <v>30</v>
      </c>
      <c r="I96" s="197">
        <v>100</v>
      </c>
      <c r="J96" s="268">
        <f t="shared" si="4"/>
        <v>3000</v>
      </c>
      <c r="K96" s="185"/>
      <c r="V96" s="183">
        <f t="shared" si="5"/>
        <v>1</v>
      </c>
      <c r="W96" s="183">
        <f t="shared" si="6"/>
        <v>0</v>
      </c>
    </row>
    <row r="97" spans="1:23" x14ac:dyDescent="0.3">
      <c r="A97" s="255"/>
      <c r="B97" s="194">
        <v>38</v>
      </c>
      <c r="C97" s="195">
        <v>45685</v>
      </c>
      <c r="D97" s="196" t="s">
        <v>16</v>
      </c>
      <c r="E97" s="196" t="s">
        <v>972</v>
      </c>
      <c r="F97" s="197">
        <v>30</v>
      </c>
      <c r="G97" s="222">
        <v>33</v>
      </c>
      <c r="H97" s="222">
        <v>3</v>
      </c>
      <c r="I97" s="197">
        <v>2500</v>
      </c>
      <c r="J97" s="268">
        <f t="shared" si="4"/>
        <v>7500</v>
      </c>
      <c r="K97" s="185"/>
      <c r="V97" s="183">
        <f t="shared" si="5"/>
        <v>1</v>
      </c>
      <c r="W97" s="183">
        <f t="shared" si="6"/>
        <v>0</v>
      </c>
    </row>
    <row r="98" spans="1:23" x14ac:dyDescent="0.3">
      <c r="A98" s="184"/>
      <c r="B98" s="194">
        <v>39</v>
      </c>
      <c r="C98" s="195">
        <v>45686</v>
      </c>
      <c r="D98" s="196" t="s">
        <v>23</v>
      </c>
      <c r="E98" s="196" t="s">
        <v>25</v>
      </c>
      <c r="F98" s="197">
        <v>6365</v>
      </c>
      <c r="G98" s="222">
        <v>6295</v>
      </c>
      <c r="H98" s="196">
        <f>6365-6295</f>
        <v>70</v>
      </c>
      <c r="I98" s="197">
        <v>100</v>
      </c>
      <c r="J98" s="268">
        <f t="shared" si="4"/>
        <v>7000</v>
      </c>
      <c r="K98" s="185"/>
      <c r="V98" s="183">
        <f t="shared" si="5"/>
        <v>1</v>
      </c>
      <c r="W98" s="183">
        <f t="shared" si="6"/>
        <v>0</v>
      </c>
    </row>
    <row r="99" spans="1:23" x14ac:dyDescent="0.3">
      <c r="A99" s="184"/>
      <c r="B99" s="194">
        <v>40</v>
      </c>
      <c r="C99" s="195">
        <v>45686</v>
      </c>
      <c r="D99" s="196" t="s">
        <v>16</v>
      </c>
      <c r="E99" s="196" t="s">
        <v>990</v>
      </c>
      <c r="F99" s="222">
        <v>16.5</v>
      </c>
      <c r="G99" s="222">
        <v>17.5</v>
      </c>
      <c r="H99" s="222">
        <v>1</v>
      </c>
      <c r="I99" s="197">
        <v>2500</v>
      </c>
      <c r="J99" s="268">
        <f t="shared" si="4"/>
        <v>2500</v>
      </c>
      <c r="K99" s="185"/>
      <c r="V99" s="183">
        <f t="shared" si="5"/>
        <v>1</v>
      </c>
      <c r="W99" s="183">
        <f t="shared" si="6"/>
        <v>0</v>
      </c>
    </row>
    <row r="100" spans="1:23" x14ac:dyDescent="0.3">
      <c r="A100" s="184"/>
      <c r="B100" s="194">
        <v>41</v>
      </c>
      <c r="C100" s="195">
        <v>45687</v>
      </c>
      <c r="D100" s="196" t="s">
        <v>23</v>
      </c>
      <c r="E100" s="196" t="s">
        <v>25</v>
      </c>
      <c r="F100" s="197">
        <v>6270</v>
      </c>
      <c r="G100" s="197">
        <v>6252</v>
      </c>
      <c r="H100" s="196">
        <f>6270-6252</f>
        <v>18</v>
      </c>
      <c r="I100" s="197">
        <v>100</v>
      </c>
      <c r="J100" s="268">
        <f t="shared" si="4"/>
        <v>1800</v>
      </c>
      <c r="K100" s="185"/>
      <c r="V100" s="183">
        <f t="shared" si="5"/>
        <v>1</v>
      </c>
      <c r="W100" s="183">
        <f t="shared" si="6"/>
        <v>0</v>
      </c>
    </row>
    <row r="101" spans="1:23" x14ac:dyDescent="0.3">
      <c r="A101" s="184"/>
      <c r="B101" s="194">
        <v>42</v>
      </c>
      <c r="C101" s="195">
        <v>45687</v>
      </c>
      <c r="D101" s="196" t="s">
        <v>16</v>
      </c>
      <c r="E101" s="196" t="s">
        <v>990</v>
      </c>
      <c r="F101" s="222">
        <v>13.5</v>
      </c>
      <c r="G101" s="222">
        <v>10.5</v>
      </c>
      <c r="H101" s="222">
        <v>-3</v>
      </c>
      <c r="I101" s="197">
        <v>2500</v>
      </c>
      <c r="J101" s="268">
        <f t="shared" si="4"/>
        <v>-7500</v>
      </c>
      <c r="K101" s="185"/>
      <c r="V101" s="183">
        <f t="shared" si="5"/>
        <v>0</v>
      </c>
      <c r="W101" s="183">
        <f t="shared" si="6"/>
        <v>1</v>
      </c>
    </row>
    <row r="102" spans="1:23" x14ac:dyDescent="0.3">
      <c r="A102" s="184"/>
      <c r="B102" s="194">
        <v>43</v>
      </c>
      <c r="C102" s="195">
        <v>45688</v>
      </c>
      <c r="D102" s="196" t="s">
        <v>23</v>
      </c>
      <c r="E102" s="196" t="s">
        <v>25</v>
      </c>
      <c r="F102" s="197">
        <v>6330</v>
      </c>
      <c r="G102" s="222">
        <v>6300</v>
      </c>
      <c r="H102" s="196">
        <v>30</v>
      </c>
      <c r="I102" s="202">
        <v>100</v>
      </c>
      <c r="J102" s="268">
        <f t="shared" si="4"/>
        <v>3000</v>
      </c>
      <c r="K102" s="185"/>
      <c r="V102" s="183">
        <f t="shared" si="5"/>
        <v>1</v>
      </c>
      <c r="W102" s="183">
        <f t="shared" si="6"/>
        <v>0</v>
      </c>
    </row>
    <row r="103" spans="1:23" ht="15" thickBot="1" x14ac:dyDescent="0.35">
      <c r="A103" s="184"/>
      <c r="B103" s="194">
        <v>44</v>
      </c>
      <c r="C103" s="195">
        <v>45688</v>
      </c>
      <c r="D103" s="196" t="s">
        <v>16</v>
      </c>
      <c r="E103" s="196" t="s">
        <v>994</v>
      </c>
      <c r="F103" s="222">
        <v>16.5</v>
      </c>
      <c r="G103" s="222">
        <v>19.5</v>
      </c>
      <c r="H103" s="196">
        <v>3</v>
      </c>
      <c r="I103" s="202">
        <v>2500</v>
      </c>
      <c r="J103" s="269">
        <f t="shared" si="4"/>
        <v>7500</v>
      </c>
      <c r="K103" s="185"/>
      <c r="V103" s="183">
        <f t="shared" si="5"/>
        <v>1</v>
      </c>
      <c r="W103" s="183">
        <f t="shared" si="6"/>
        <v>0</v>
      </c>
    </row>
    <row r="104" spans="1:23" ht="24" thickBot="1" x14ac:dyDescent="0.5">
      <c r="A104" s="184"/>
      <c r="B104" s="368" t="s">
        <v>879</v>
      </c>
      <c r="C104" s="305"/>
      <c r="D104" s="305"/>
      <c r="E104" s="305"/>
      <c r="F104" s="305"/>
      <c r="G104" s="305"/>
      <c r="H104" s="306"/>
      <c r="I104" s="203" t="s">
        <v>880</v>
      </c>
      <c r="J104" s="204">
        <f>SUM(J60:J103)</f>
        <v>140650</v>
      </c>
      <c r="K104" s="185"/>
      <c r="V104" s="183">
        <f>SUM(V60:V103)</f>
        <v>38</v>
      </c>
      <c r="W104" s="183">
        <f>SUM(W60:W103)</f>
        <v>6</v>
      </c>
    </row>
    <row r="105" spans="1:23" ht="30" customHeight="1" thickBot="1" x14ac:dyDescent="0.35">
      <c r="A105" s="205"/>
      <c r="B105" s="206"/>
      <c r="C105" s="206"/>
      <c r="D105" s="206"/>
      <c r="E105" s="206"/>
      <c r="F105" s="206"/>
      <c r="G105" s="206"/>
      <c r="H105" s="261"/>
      <c r="I105" s="206"/>
      <c r="J105" s="261"/>
      <c r="K105" s="207"/>
    </row>
    <row r="106" spans="1:23" ht="15" thickBot="1" x14ac:dyDescent="0.35"/>
    <row r="107" spans="1:23" ht="30" customHeight="1" thickBot="1" x14ac:dyDescent="0.35">
      <c r="A107" s="180"/>
      <c r="B107" s="181"/>
      <c r="C107" s="181"/>
      <c r="D107" s="181"/>
      <c r="E107" s="181"/>
      <c r="F107" s="181"/>
      <c r="G107" s="181"/>
      <c r="H107" s="259"/>
      <c r="I107" s="181"/>
      <c r="J107" s="259"/>
      <c r="K107" s="182"/>
    </row>
    <row r="108" spans="1:23" ht="25.2" thickBot="1" x14ac:dyDescent="0.35">
      <c r="A108" s="184" t="s">
        <v>0</v>
      </c>
      <c r="B108" s="307" t="s">
        <v>873</v>
      </c>
      <c r="C108" s="308"/>
      <c r="D108" s="308"/>
      <c r="E108" s="308"/>
      <c r="F108" s="308"/>
      <c r="G108" s="308"/>
      <c r="H108" s="308"/>
      <c r="I108" s="308"/>
      <c r="J108" s="309"/>
      <c r="K108" s="185"/>
    </row>
    <row r="109" spans="1:23" ht="16.2" thickBot="1" x14ac:dyDescent="0.35">
      <c r="A109" s="184"/>
      <c r="B109" s="310">
        <v>45658</v>
      </c>
      <c r="C109" s="311"/>
      <c r="D109" s="311"/>
      <c r="E109" s="311"/>
      <c r="F109" s="311"/>
      <c r="G109" s="311"/>
      <c r="H109" s="311"/>
      <c r="I109" s="311"/>
      <c r="J109" s="312"/>
      <c r="K109" s="185"/>
    </row>
    <row r="110" spans="1:23" ht="16.2" thickBot="1" x14ac:dyDescent="0.35">
      <c r="A110" s="184"/>
      <c r="B110" s="313" t="s">
        <v>882</v>
      </c>
      <c r="C110" s="314"/>
      <c r="D110" s="314"/>
      <c r="E110" s="314"/>
      <c r="F110" s="314"/>
      <c r="G110" s="314"/>
      <c r="H110" s="314"/>
      <c r="I110" s="314"/>
      <c r="J110" s="315"/>
      <c r="K110" s="185"/>
    </row>
    <row r="111" spans="1:23" ht="15" thickBot="1" x14ac:dyDescent="0.35">
      <c r="A111" s="208"/>
      <c r="B111" s="186" t="s">
        <v>876</v>
      </c>
      <c r="C111" s="187" t="s">
        <v>1</v>
      </c>
      <c r="D111" s="188" t="s">
        <v>2</v>
      </c>
      <c r="E111" s="188" t="s">
        <v>3</v>
      </c>
      <c r="F111" s="189" t="s">
        <v>4</v>
      </c>
      <c r="G111" s="189" t="s">
        <v>5</v>
      </c>
      <c r="H111" s="260" t="s">
        <v>720</v>
      </c>
      <c r="I111" s="189" t="s">
        <v>6</v>
      </c>
      <c r="J111" s="266" t="s">
        <v>7</v>
      </c>
      <c r="K111" s="209"/>
      <c r="L111" s="198"/>
      <c r="V111" s="183" t="s">
        <v>254</v>
      </c>
      <c r="W111" s="183" t="s">
        <v>255</v>
      </c>
    </row>
    <row r="112" spans="1:23" x14ac:dyDescent="0.3">
      <c r="A112" s="184"/>
      <c r="B112" s="214">
        <v>1</v>
      </c>
      <c r="C112" s="215">
        <v>45659</v>
      </c>
      <c r="D112" s="216" t="s">
        <v>23</v>
      </c>
      <c r="E112" s="256" t="s">
        <v>28</v>
      </c>
      <c r="F112" s="256">
        <v>279.5</v>
      </c>
      <c r="G112" s="256">
        <v>277.5</v>
      </c>
      <c r="H112" s="256">
        <v>2</v>
      </c>
      <c r="I112" s="218">
        <v>5000</v>
      </c>
      <c r="J112" s="273">
        <f>I112*H112</f>
        <v>10000</v>
      </c>
      <c r="K112" s="185"/>
      <c r="V112" s="183">
        <f>IF($J112&gt;0,1,0)</f>
        <v>1</v>
      </c>
      <c r="W112" s="183">
        <f>IF($J112&lt;0,1,0)</f>
        <v>0</v>
      </c>
    </row>
    <row r="113" spans="1:23" x14ac:dyDescent="0.3">
      <c r="A113" s="184"/>
      <c r="B113" s="194">
        <v>2</v>
      </c>
      <c r="C113" s="195">
        <v>45660</v>
      </c>
      <c r="D113" s="196" t="s">
        <v>23</v>
      </c>
      <c r="E113" s="222" t="s">
        <v>28</v>
      </c>
      <c r="F113" s="222">
        <v>274</v>
      </c>
      <c r="G113" s="222">
        <v>273</v>
      </c>
      <c r="H113" s="222">
        <v>1</v>
      </c>
      <c r="I113" s="218">
        <v>5000</v>
      </c>
      <c r="J113" s="268">
        <f t="shared" ref="J113:J138" si="7">I113*H113</f>
        <v>5000</v>
      </c>
      <c r="K113" s="185"/>
      <c r="V113" s="183">
        <f t="shared" ref="V113:V137" si="8">IF($J113&gt;0,1,0)</f>
        <v>1</v>
      </c>
      <c r="W113" s="183">
        <f t="shared" ref="W113:W137" si="9">IF($J113&lt;0,1,0)</f>
        <v>0</v>
      </c>
    </row>
    <row r="114" spans="1:23" x14ac:dyDescent="0.3">
      <c r="A114" s="184"/>
      <c r="B114" s="194">
        <v>3</v>
      </c>
      <c r="C114" s="195">
        <v>45663</v>
      </c>
      <c r="D114" s="196" t="s">
        <v>23</v>
      </c>
      <c r="E114" s="222" t="s">
        <v>28</v>
      </c>
      <c r="F114" s="222">
        <v>274.39999999999998</v>
      </c>
      <c r="G114" s="222">
        <v>273.39999999999998</v>
      </c>
      <c r="H114" s="222">
        <v>1</v>
      </c>
      <c r="I114" s="218">
        <v>5000</v>
      </c>
      <c r="J114" s="268">
        <f t="shared" si="7"/>
        <v>5000</v>
      </c>
      <c r="K114" s="185"/>
      <c r="M114" s="183" t="s">
        <v>870</v>
      </c>
      <c r="V114" s="183">
        <f t="shared" si="8"/>
        <v>1</v>
      </c>
      <c r="W114" s="183">
        <f t="shared" si="9"/>
        <v>0</v>
      </c>
    </row>
    <row r="115" spans="1:23" x14ac:dyDescent="0.3">
      <c r="A115" s="184"/>
      <c r="B115" s="194">
        <v>4</v>
      </c>
      <c r="C115" s="195">
        <v>45664</v>
      </c>
      <c r="D115" s="196" t="s">
        <v>23</v>
      </c>
      <c r="E115" s="222" t="s">
        <v>28</v>
      </c>
      <c r="F115" s="222">
        <v>273.60000000000002</v>
      </c>
      <c r="G115" s="222">
        <v>272.8</v>
      </c>
      <c r="H115" s="222">
        <f>273.6-272.8</f>
        <v>0.80000000000001137</v>
      </c>
      <c r="I115" s="218">
        <v>5000</v>
      </c>
      <c r="J115" s="268">
        <f t="shared" si="7"/>
        <v>4000.0000000000568</v>
      </c>
      <c r="K115" s="185"/>
      <c r="V115" s="183">
        <f t="shared" si="8"/>
        <v>1</v>
      </c>
      <c r="W115" s="183">
        <f t="shared" si="9"/>
        <v>0</v>
      </c>
    </row>
    <row r="116" spans="1:23" x14ac:dyDescent="0.3">
      <c r="A116" s="184"/>
      <c r="B116" s="194">
        <v>5</v>
      </c>
      <c r="C116" s="195">
        <v>45665</v>
      </c>
      <c r="D116" s="196" t="s">
        <v>16</v>
      </c>
      <c r="E116" s="222" t="s">
        <v>28</v>
      </c>
      <c r="F116" s="222">
        <v>273.8</v>
      </c>
      <c r="G116" s="222">
        <v>272.8</v>
      </c>
      <c r="H116" s="222">
        <v>-1</v>
      </c>
      <c r="I116" s="218">
        <v>5000</v>
      </c>
      <c r="J116" s="268">
        <f t="shared" si="7"/>
        <v>-5000</v>
      </c>
      <c r="K116" s="185"/>
      <c r="V116" s="183">
        <f t="shared" si="8"/>
        <v>0</v>
      </c>
      <c r="W116" s="183">
        <f t="shared" si="9"/>
        <v>1</v>
      </c>
    </row>
    <row r="117" spans="1:23" x14ac:dyDescent="0.3">
      <c r="A117" s="184"/>
      <c r="B117" s="194">
        <v>6</v>
      </c>
      <c r="C117" s="195">
        <v>45666</v>
      </c>
      <c r="D117" s="196" t="s">
        <v>23</v>
      </c>
      <c r="E117" s="222" t="s">
        <v>28</v>
      </c>
      <c r="F117" s="222">
        <v>270.60000000000002</v>
      </c>
      <c r="G117" s="222">
        <v>271.60000000000002</v>
      </c>
      <c r="H117" s="222">
        <v>-1</v>
      </c>
      <c r="I117" s="218">
        <v>5000</v>
      </c>
      <c r="J117" s="268">
        <f t="shared" si="7"/>
        <v>-5000</v>
      </c>
      <c r="K117" s="185"/>
      <c r="V117" s="183">
        <f t="shared" si="8"/>
        <v>0</v>
      </c>
      <c r="W117" s="183">
        <f t="shared" si="9"/>
        <v>1</v>
      </c>
    </row>
    <row r="118" spans="1:23" x14ac:dyDescent="0.3">
      <c r="A118" s="184"/>
      <c r="B118" s="194">
        <v>7</v>
      </c>
      <c r="C118" s="195">
        <v>45667</v>
      </c>
      <c r="D118" s="196" t="s">
        <v>23</v>
      </c>
      <c r="E118" s="222" t="s">
        <v>28</v>
      </c>
      <c r="F118" s="222">
        <v>273.2</v>
      </c>
      <c r="G118" s="222">
        <v>272.5</v>
      </c>
      <c r="H118" s="274">
        <f>273.2-272.5</f>
        <v>0.69999999999998863</v>
      </c>
      <c r="I118" s="218">
        <v>5000</v>
      </c>
      <c r="J118" s="268">
        <f t="shared" si="7"/>
        <v>3499.9999999999432</v>
      </c>
      <c r="K118" s="185"/>
      <c r="V118" s="183">
        <f t="shared" si="8"/>
        <v>1</v>
      </c>
      <c r="W118" s="183">
        <f t="shared" si="9"/>
        <v>0</v>
      </c>
    </row>
    <row r="119" spans="1:23" x14ac:dyDescent="0.3">
      <c r="A119" s="184"/>
      <c r="B119" s="194">
        <v>8</v>
      </c>
      <c r="C119" s="195">
        <v>45670</v>
      </c>
      <c r="D119" s="196" t="s">
        <v>23</v>
      </c>
      <c r="E119" s="222" t="s">
        <v>28</v>
      </c>
      <c r="F119" s="222">
        <v>275.60000000000002</v>
      </c>
      <c r="G119" s="222">
        <v>274.60000000000002</v>
      </c>
      <c r="H119" s="222">
        <v>1</v>
      </c>
      <c r="I119" s="197">
        <v>5000</v>
      </c>
      <c r="J119" s="268">
        <f t="shared" si="7"/>
        <v>5000</v>
      </c>
      <c r="K119" s="185"/>
      <c r="V119" s="183">
        <f t="shared" si="8"/>
        <v>1</v>
      </c>
      <c r="W119" s="183">
        <f t="shared" si="9"/>
        <v>0</v>
      </c>
    </row>
    <row r="120" spans="1:23" x14ac:dyDescent="0.3">
      <c r="A120" s="184"/>
      <c r="B120" s="194">
        <v>9</v>
      </c>
      <c r="C120" s="195">
        <v>45671</v>
      </c>
      <c r="D120" s="196" t="s">
        <v>23</v>
      </c>
      <c r="E120" s="222" t="s">
        <v>28</v>
      </c>
      <c r="F120" s="222">
        <v>273.5</v>
      </c>
      <c r="G120" s="222">
        <v>273</v>
      </c>
      <c r="H120" s="222">
        <v>0.5</v>
      </c>
      <c r="I120" s="197">
        <v>5000</v>
      </c>
      <c r="J120" s="268">
        <f t="shared" si="7"/>
        <v>2500</v>
      </c>
      <c r="K120" s="185"/>
      <c r="V120" s="183">
        <f t="shared" si="8"/>
        <v>1</v>
      </c>
      <c r="W120" s="183">
        <f t="shared" si="9"/>
        <v>0</v>
      </c>
    </row>
    <row r="121" spans="1:23" x14ac:dyDescent="0.3">
      <c r="A121" s="184"/>
      <c r="B121" s="194">
        <v>10</v>
      </c>
      <c r="C121" s="195">
        <v>45672</v>
      </c>
      <c r="D121" s="196" t="s">
        <v>16</v>
      </c>
      <c r="E121" s="222" t="s">
        <v>28</v>
      </c>
      <c r="F121" s="222">
        <v>270.5</v>
      </c>
      <c r="G121" s="222">
        <v>269.5</v>
      </c>
      <c r="H121" s="222">
        <v>1</v>
      </c>
      <c r="I121" s="197">
        <v>5000</v>
      </c>
      <c r="J121" s="268">
        <f t="shared" si="7"/>
        <v>5000</v>
      </c>
      <c r="K121" s="185"/>
      <c r="V121" s="183">
        <f t="shared" si="8"/>
        <v>1</v>
      </c>
      <c r="W121" s="183">
        <f t="shared" si="9"/>
        <v>0</v>
      </c>
    </row>
    <row r="122" spans="1:23" x14ac:dyDescent="0.3">
      <c r="A122" s="184"/>
      <c r="B122" s="194">
        <v>11</v>
      </c>
      <c r="C122" s="195">
        <v>45673</v>
      </c>
      <c r="D122" s="196" t="s">
        <v>23</v>
      </c>
      <c r="E122" s="222" t="s">
        <v>28</v>
      </c>
      <c r="F122" s="222">
        <v>273.8</v>
      </c>
      <c r="G122" s="222">
        <v>273.3</v>
      </c>
      <c r="H122" s="274">
        <f>273.8-273.3</f>
        <v>0.5</v>
      </c>
      <c r="I122" s="197">
        <v>5000</v>
      </c>
      <c r="J122" s="268">
        <f t="shared" si="7"/>
        <v>2500</v>
      </c>
      <c r="K122" s="185"/>
      <c r="V122" s="183">
        <f t="shared" si="8"/>
        <v>1</v>
      </c>
      <c r="W122" s="183">
        <f t="shared" si="9"/>
        <v>0</v>
      </c>
    </row>
    <row r="123" spans="1:23" x14ac:dyDescent="0.3">
      <c r="A123" s="184"/>
      <c r="B123" s="194">
        <v>12</v>
      </c>
      <c r="C123" s="195">
        <v>45674</v>
      </c>
      <c r="D123" s="196" t="s">
        <v>23</v>
      </c>
      <c r="E123" s="222" t="s">
        <v>28</v>
      </c>
      <c r="F123" s="222">
        <v>277.5</v>
      </c>
      <c r="G123" s="222">
        <v>276.5</v>
      </c>
      <c r="H123" s="274">
        <v>1</v>
      </c>
      <c r="I123" s="197">
        <v>5000</v>
      </c>
      <c r="J123" s="268">
        <f t="shared" si="7"/>
        <v>5000</v>
      </c>
      <c r="K123" s="185"/>
      <c r="V123" s="183">
        <f t="shared" si="8"/>
        <v>1</v>
      </c>
      <c r="W123" s="183">
        <f t="shared" si="9"/>
        <v>0</v>
      </c>
    </row>
    <row r="124" spans="1:23" x14ac:dyDescent="0.3">
      <c r="A124" s="184"/>
      <c r="B124" s="194">
        <v>13</v>
      </c>
      <c r="C124" s="195">
        <v>45677</v>
      </c>
      <c r="D124" s="196" t="s">
        <v>23</v>
      </c>
      <c r="E124" s="222" t="s">
        <v>28</v>
      </c>
      <c r="F124" s="222">
        <v>277.5</v>
      </c>
      <c r="G124" s="222">
        <v>276.8</v>
      </c>
      <c r="H124" s="274">
        <f>277.5-276.8</f>
        <v>0.69999999999998863</v>
      </c>
      <c r="I124" s="197">
        <v>5000</v>
      </c>
      <c r="J124" s="268">
        <f t="shared" si="7"/>
        <v>3499.9999999999432</v>
      </c>
      <c r="K124" s="185"/>
      <c r="V124" s="183">
        <f t="shared" si="8"/>
        <v>1</v>
      </c>
      <c r="W124" s="183">
        <f t="shared" si="9"/>
        <v>0</v>
      </c>
    </row>
    <row r="125" spans="1:23" x14ac:dyDescent="0.3">
      <c r="A125" s="184"/>
      <c r="B125" s="194">
        <v>14</v>
      </c>
      <c r="C125" s="195">
        <v>45678</v>
      </c>
      <c r="D125" s="196" t="s">
        <v>23</v>
      </c>
      <c r="E125" s="222" t="s">
        <v>28</v>
      </c>
      <c r="F125" s="222">
        <v>278</v>
      </c>
      <c r="G125" s="222">
        <v>276</v>
      </c>
      <c r="H125" s="274">
        <v>2</v>
      </c>
      <c r="I125" s="197">
        <v>5000</v>
      </c>
      <c r="J125" s="268">
        <f t="shared" si="7"/>
        <v>10000</v>
      </c>
      <c r="K125" s="185"/>
      <c r="V125" s="183">
        <f t="shared" si="8"/>
        <v>1</v>
      </c>
      <c r="W125" s="183">
        <f t="shared" si="9"/>
        <v>0</v>
      </c>
    </row>
    <row r="126" spans="1:23" x14ac:dyDescent="0.3">
      <c r="A126" s="184"/>
      <c r="B126" s="194">
        <v>15</v>
      </c>
      <c r="C126" s="195">
        <v>45679</v>
      </c>
      <c r="D126" s="196" t="s">
        <v>23</v>
      </c>
      <c r="E126" s="196" t="s">
        <v>28</v>
      </c>
      <c r="F126" s="222">
        <v>275</v>
      </c>
      <c r="G126" s="222">
        <v>274.5</v>
      </c>
      <c r="H126" s="222">
        <v>0.5</v>
      </c>
      <c r="I126" s="197">
        <v>5000</v>
      </c>
      <c r="J126" s="268">
        <f t="shared" si="7"/>
        <v>2500</v>
      </c>
      <c r="K126" s="185"/>
      <c r="V126" s="183">
        <f t="shared" si="8"/>
        <v>1</v>
      </c>
      <c r="W126" s="183">
        <f t="shared" si="9"/>
        <v>0</v>
      </c>
    </row>
    <row r="127" spans="1:23" x14ac:dyDescent="0.3">
      <c r="A127" s="184"/>
      <c r="B127" s="194">
        <v>16</v>
      </c>
      <c r="C127" s="195">
        <v>45680</v>
      </c>
      <c r="D127" s="196" t="s">
        <v>23</v>
      </c>
      <c r="E127" s="196" t="s">
        <v>28</v>
      </c>
      <c r="F127" s="222">
        <v>271.3</v>
      </c>
      <c r="G127" s="222">
        <v>270.3</v>
      </c>
      <c r="H127" s="222">
        <v>1</v>
      </c>
      <c r="I127" s="197">
        <v>5000</v>
      </c>
      <c r="J127" s="268">
        <f t="shared" si="7"/>
        <v>5000</v>
      </c>
      <c r="K127" s="185"/>
      <c r="V127" s="183">
        <f t="shared" si="8"/>
        <v>1</v>
      </c>
      <c r="W127" s="183">
        <f t="shared" si="9"/>
        <v>0</v>
      </c>
    </row>
    <row r="128" spans="1:23" x14ac:dyDescent="0.3">
      <c r="A128" s="184"/>
      <c r="B128" s="194">
        <v>17</v>
      </c>
      <c r="C128" s="195">
        <v>45681</v>
      </c>
      <c r="D128" s="196" t="s">
        <v>23</v>
      </c>
      <c r="E128" s="196" t="s">
        <v>28</v>
      </c>
      <c r="F128" s="222">
        <v>272.8</v>
      </c>
      <c r="G128" s="274">
        <v>272</v>
      </c>
      <c r="H128" s="274">
        <v>0.8</v>
      </c>
      <c r="I128" s="197">
        <v>5000</v>
      </c>
      <c r="J128" s="268">
        <f t="shared" si="7"/>
        <v>4000</v>
      </c>
      <c r="K128" s="185"/>
      <c r="V128" s="183">
        <f t="shared" si="8"/>
        <v>1</v>
      </c>
      <c r="W128" s="183">
        <f t="shared" si="9"/>
        <v>0</v>
      </c>
    </row>
    <row r="129" spans="1:23" x14ac:dyDescent="0.3">
      <c r="A129" s="184"/>
      <c r="B129" s="194">
        <v>18</v>
      </c>
      <c r="C129" s="195">
        <v>45684</v>
      </c>
      <c r="D129" s="196" t="s">
        <v>23</v>
      </c>
      <c r="E129" s="196" t="s">
        <v>28</v>
      </c>
      <c r="F129" s="222">
        <v>268.8</v>
      </c>
      <c r="G129" s="222">
        <v>269.8</v>
      </c>
      <c r="H129" s="274">
        <v>-1</v>
      </c>
      <c r="I129" s="197">
        <v>5000</v>
      </c>
      <c r="J129" s="268">
        <f t="shared" si="7"/>
        <v>-5000</v>
      </c>
      <c r="K129" s="185"/>
      <c r="V129" s="183">
        <f t="shared" si="8"/>
        <v>0</v>
      </c>
      <c r="W129" s="183">
        <f t="shared" si="9"/>
        <v>1</v>
      </c>
    </row>
    <row r="130" spans="1:23" x14ac:dyDescent="0.3">
      <c r="A130" s="184"/>
      <c r="B130" s="194">
        <v>19</v>
      </c>
      <c r="C130" s="195">
        <v>45685</v>
      </c>
      <c r="D130" s="196" t="s">
        <v>23</v>
      </c>
      <c r="E130" s="196" t="s">
        <v>28</v>
      </c>
      <c r="F130" s="222">
        <v>267.39999999999998</v>
      </c>
      <c r="G130" s="222">
        <v>266.39999999999998</v>
      </c>
      <c r="H130" s="274">
        <f>267.4-266.4</f>
        <v>1</v>
      </c>
      <c r="I130" s="197">
        <v>5000</v>
      </c>
      <c r="J130" s="268">
        <f t="shared" si="7"/>
        <v>5000</v>
      </c>
      <c r="K130" s="185"/>
      <c r="V130" s="183">
        <f t="shared" si="8"/>
        <v>1</v>
      </c>
      <c r="W130" s="183">
        <f t="shared" si="9"/>
        <v>0</v>
      </c>
    </row>
    <row r="131" spans="1:23" x14ac:dyDescent="0.3">
      <c r="A131" s="184"/>
      <c r="B131" s="194">
        <v>20</v>
      </c>
      <c r="C131" s="195">
        <v>45686</v>
      </c>
      <c r="D131" s="196" t="s">
        <v>23</v>
      </c>
      <c r="E131" s="196" t="s">
        <v>28</v>
      </c>
      <c r="F131" s="222">
        <v>263.39999999999998</v>
      </c>
      <c r="G131" s="222">
        <v>264.60000000000002</v>
      </c>
      <c r="H131" s="274">
        <f>264.6-263.4</f>
        <v>1.2000000000000455</v>
      </c>
      <c r="I131" s="197">
        <v>5000</v>
      </c>
      <c r="J131" s="268">
        <f t="shared" si="7"/>
        <v>6000.0000000002274</v>
      </c>
      <c r="K131" s="185"/>
    </row>
    <row r="132" spans="1:23" x14ac:dyDescent="0.3">
      <c r="A132" s="184"/>
      <c r="B132" s="194">
        <v>21</v>
      </c>
      <c r="C132" s="195">
        <v>45687</v>
      </c>
      <c r="D132" s="196" t="s">
        <v>23</v>
      </c>
      <c r="E132" s="196" t="s">
        <v>28</v>
      </c>
      <c r="F132" s="222">
        <v>266.7</v>
      </c>
      <c r="G132" s="222">
        <v>267.7</v>
      </c>
      <c r="H132" s="274">
        <v>-1</v>
      </c>
      <c r="I132" s="197">
        <v>5000</v>
      </c>
      <c r="J132" s="268">
        <f t="shared" si="7"/>
        <v>-5000</v>
      </c>
      <c r="K132" s="185"/>
    </row>
    <row r="133" spans="1:23" x14ac:dyDescent="0.3">
      <c r="A133" s="184"/>
      <c r="B133" s="194">
        <v>22</v>
      </c>
      <c r="C133" s="195">
        <v>45688</v>
      </c>
      <c r="D133" s="196" t="s">
        <v>23</v>
      </c>
      <c r="E133" s="196" t="s">
        <v>28</v>
      </c>
      <c r="F133" s="222">
        <v>266.2</v>
      </c>
      <c r="G133" s="222">
        <v>264.8</v>
      </c>
      <c r="H133" s="274">
        <f>266.2-264.8</f>
        <v>1.3999999999999773</v>
      </c>
      <c r="I133" s="197">
        <v>5000</v>
      </c>
      <c r="J133" s="268">
        <f t="shared" si="7"/>
        <v>6999.9999999998863</v>
      </c>
      <c r="K133" s="185"/>
    </row>
    <row r="134" spans="1:23" hidden="1" x14ac:dyDescent="0.3">
      <c r="A134" s="184"/>
      <c r="B134" s="194">
        <v>23</v>
      </c>
      <c r="C134" s="195"/>
      <c r="D134" s="196"/>
      <c r="E134" s="196"/>
      <c r="F134" s="222"/>
      <c r="G134" s="222"/>
      <c r="H134" s="274"/>
      <c r="I134" s="197"/>
      <c r="J134" s="268">
        <f t="shared" si="7"/>
        <v>0</v>
      </c>
      <c r="K134" s="185"/>
    </row>
    <row r="135" spans="1:23" hidden="1" x14ac:dyDescent="0.3">
      <c r="A135" s="184"/>
      <c r="B135" s="194">
        <v>24</v>
      </c>
      <c r="C135" s="195"/>
      <c r="D135" s="196"/>
      <c r="E135" s="196"/>
      <c r="F135" s="222"/>
      <c r="G135" s="222"/>
      <c r="H135" s="274"/>
      <c r="I135" s="197"/>
      <c r="J135" s="268">
        <f t="shared" si="7"/>
        <v>0</v>
      </c>
      <c r="K135" s="185"/>
    </row>
    <row r="136" spans="1:23" hidden="1" x14ac:dyDescent="0.3">
      <c r="A136" s="184"/>
      <c r="B136" s="194">
        <v>25</v>
      </c>
      <c r="C136" s="195"/>
      <c r="D136" s="196"/>
      <c r="E136" s="196"/>
      <c r="F136" s="222"/>
      <c r="G136" s="222"/>
      <c r="H136" s="274"/>
      <c r="I136" s="197"/>
      <c r="J136" s="268">
        <f t="shared" si="7"/>
        <v>0</v>
      </c>
      <c r="K136" s="185"/>
      <c r="V136" s="183">
        <f t="shared" si="8"/>
        <v>0</v>
      </c>
      <c r="W136" s="183">
        <f t="shared" si="9"/>
        <v>0</v>
      </c>
    </row>
    <row r="137" spans="1:23" hidden="1" x14ac:dyDescent="0.3">
      <c r="A137" s="184"/>
      <c r="B137" s="194">
        <v>21</v>
      </c>
      <c r="C137" s="195"/>
      <c r="D137" s="196"/>
      <c r="E137" s="222"/>
      <c r="F137" s="222"/>
      <c r="G137" s="222"/>
      <c r="H137" s="274"/>
      <c r="I137" s="197"/>
      <c r="J137" s="268">
        <f t="shared" si="7"/>
        <v>0</v>
      </c>
      <c r="K137" s="185"/>
      <c r="V137" s="183">
        <f t="shared" si="8"/>
        <v>0</v>
      </c>
      <c r="W137" s="183">
        <f t="shared" si="9"/>
        <v>0</v>
      </c>
    </row>
    <row r="138" spans="1:23" hidden="1" x14ac:dyDescent="0.3">
      <c r="A138" s="184"/>
      <c r="B138" s="194">
        <v>22</v>
      </c>
      <c r="C138" s="195"/>
      <c r="D138" s="196"/>
      <c r="E138" s="222"/>
      <c r="F138" s="222"/>
      <c r="G138" s="222"/>
      <c r="H138" s="274"/>
      <c r="I138" s="197"/>
      <c r="J138" s="268">
        <f t="shared" si="7"/>
        <v>0</v>
      </c>
      <c r="K138" s="185"/>
      <c r="V138" s="183">
        <f>IF($J138&gt;0,1,0)</f>
        <v>0</v>
      </c>
      <c r="W138" s="183">
        <f>IF($J138&lt;0,1,0)</f>
        <v>0</v>
      </c>
    </row>
    <row r="139" spans="1:23" hidden="1" x14ac:dyDescent="0.3">
      <c r="A139" s="184"/>
      <c r="B139" s="194">
        <v>23</v>
      </c>
      <c r="C139" s="195"/>
      <c r="D139" s="196"/>
      <c r="E139" s="222"/>
      <c r="F139" s="222"/>
      <c r="G139" s="222"/>
      <c r="H139" s="222"/>
      <c r="I139" s="197"/>
      <c r="J139" s="268">
        <f>I139*H139</f>
        <v>0</v>
      </c>
      <c r="K139" s="185"/>
      <c r="V139" s="183">
        <f>IF($J139&gt;0,1,0)</f>
        <v>0</v>
      </c>
      <c r="W139" s="183">
        <f>IF($J139&lt;0,1,0)</f>
        <v>0</v>
      </c>
    </row>
    <row r="140" spans="1:23" ht="15" thickBot="1" x14ac:dyDescent="0.35">
      <c r="A140" s="184"/>
      <c r="B140" s="194">
        <v>26</v>
      </c>
      <c r="C140" s="220"/>
      <c r="D140" s="221"/>
      <c r="E140" s="221"/>
      <c r="F140" s="222"/>
      <c r="G140" s="222"/>
      <c r="H140" s="222"/>
      <c r="I140" s="211"/>
      <c r="J140" s="272">
        <f>I140*H140</f>
        <v>0</v>
      </c>
      <c r="K140" s="185"/>
      <c r="V140" s="183">
        <f>IF($J140&gt;0,1,0)</f>
        <v>0</v>
      </c>
      <c r="W140" s="183">
        <f>IF($J140&lt;0,1,0)</f>
        <v>0</v>
      </c>
    </row>
    <row r="141" spans="1:23" ht="24" thickBot="1" x14ac:dyDescent="0.5">
      <c r="A141" s="184"/>
      <c r="B141" s="373" t="s">
        <v>879</v>
      </c>
      <c r="C141" s="317"/>
      <c r="D141" s="317"/>
      <c r="E141" s="317"/>
      <c r="F141" s="317"/>
      <c r="G141" s="317"/>
      <c r="H141" s="318"/>
      <c r="I141" s="212" t="s">
        <v>880</v>
      </c>
      <c r="J141" s="213">
        <f>SUM(J112:J140)</f>
        <v>70500.000000000058</v>
      </c>
      <c r="K141" s="185"/>
      <c r="V141" s="183">
        <f>SUM(V112:V140)</f>
        <v>16</v>
      </c>
      <c r="W141" s="183">
        <f>SUM(W112:W140)</f>
        <v>3</v>
      </c>
    </row>
    <row r="142" spans="1:23" ht="30" customHeight="1" thickBot="1" x14ac:dyDescent="0.35">
      <c r="A142" s="205"/>
      <c r="B142" s="206"/>
      <c r="C142" s="206"/>
      <c r="D142" s="206"/>
      <c r="E142" s="206"/>
      <c r="F142" s="206"/>
      <c r="G142" s="206"/>
      <c r="H142" s="261"/>
      <c r="I142" s="206"/>
      <c r="J142" s="261"/>
      <c r="K142" s="207"/>
      <c r="L142" s="183" t="s">
        <v>926</v>
      </c>
    </row>
    <row r="143" spans="1:23" ht="15" thickBot="1" x14ac:dyDescent="0.35"/>
    <row r="144" spans="1:23" ht="30" customHeight="1" thickBot="1" x14ac:dyDescent="0.35">
      <c r="A144" s="180"/>
      <c r="B144" s="181"/>
      <c r="C144" s="181"/>
      <c r="D144" s="181"/>
      <c r="E144" s="181"/>
      <c r="F144" s="181"/>
      <c r="G144" s="181"/>
      <c r="H144" s="259"/>
      <c r="I144" s="181"/>
      <c r="J144" s="259"/>
      <c r="K144" s="182"/>
    </row>
    <row r="145" spans="1:23" ht="25.2" thickBot="1" x14ac:dyDescent="0.35">
      <c r="A145" s="184" t="s">
        <v>0</v>
      </c>
      <c r="B145" s="307" t="s">
        <v>873</v>
      </c>
      <c r="C145" s="308"/>
      <c r="D145" s="308"/>
      <c r="E145" s="308"/>
      <c r="F145" s="308"/>
      <c r="G145" s="308"/>
      <c r="H145" s="308"/>
      <c r="I145" s="308"/>
      <c r="J145" s="309"/>
      <c r="K145" s="185"/>
    </row>
    <row r="146" spans="1:23" ht="16.2" thickBot="1" x14ac:dyDescent="0.35">
      <c r="A146" s="184"/>
      <c r="B146" s="310">
        <v>45658</v>
      </c>
      <c r="C146" s="311"/>
      <c r="D146" s="311"/>
      <c r="E146" s="311"/>
      <c r="F146" s="311"/>
      <c r="G146" s="311"/>
      <c r="H146" s="311"/>
      <c r="I146" s="311"/>
      <c r="J146" s="312"/>
      <c r="K146" s="185"/>
    </row>
    <row r="147" spans="1:23" ht="16.2" thickBot="1" x14ac:dyDescent="0.35">
      <c r="A147" s="184"/>
      <c r="B147" s="313" t="s">
        <v>905</v>
      </c>
      <c r="C147" s="314"/>
      <c r="D147" s="314"/>
      <c r="E147" s="314"/>
      <c r="F147" s="314"/>
      <c r="G147" s="314"/>
      <c r="H147" s="314"/>
      <c r="I147" s="314"/>
      <c r="J147" s="315"/>
      <c r="K147" s="185"/>
    </row>
    <row r="148" spans="1:23" ht="15" thickBot="1" x14ac:dyDescent="0.35">
      <c r="A148" s="208"/>
      <c r="B148" s="186" t="s">
        <v>876</v>
      </c>
      <c r="C148" s="187" t="s">
        <v>1</v>
      </c>
      <c r="D148" s="188" t="s">
        <v>2</v>
      </c>
      <c r="E148" s="188" t="s">
        <v>3</v>
      </c>
      <c r="F148" s="189" t="s">
        <v>4</v>
      </c>
      <c r="G148" s="189" t="s">
        <v>5</v>
      </c>
      <c r="H148" s="260" t="s">
        <v>720</v>
      </c>
      <c r="I148" s="189" t="s">
        <v>6</v>
      </c>
      <c r="J148" s="266" t="s">
        <v>7</v>
      </c>
      <c r="K148" s="209"/>
      <c r="L148" s="198"/>
      <c r="V148" s="183" t="s">
        <v>254</v>
      </c>
      <c r="W148" s="183" t="s">
        <v>255</v>
      </c>
    </row>
    <row r="149" spans="1:23" x14ac:dyDescent="0.3">
      <c r="A149" s="184"/>
      <c r="B149" s="214">
        <v>1</v>
      </c>
      <c r="C149" s="215">
        <v>45659</v>
      </c>
      <c r="D149" s="216" t="s">
        <v>16</v>
      </c>
      <c r="E149" s="256" t="s">
        <v>908</v>
      </c>
      <c r="F149" s="256">
        <v>150</v>
      </c>
      <c r="G149" s="256">
        <v>130</v>
      </c>
      <c r="H149" s="256">
        <v>-20</v>
      </c>
      <c r="I149" s="218">
        <v>100</v>
      </c>
      <c r="J149" s="273">
        <f>I149*H149</f>
        <v>-2000</v>
      </c>
      <c r="K149" s="185"/>
      <c r="V149" s="183">
        <f>IF($J149&gt;0,1,0)</f>
        <v>0</v>
      </c>
      <c r="W149" s="183">
        <f>IF($J149&lt;0,1,0)</f>
        <v>1</v>
      </c>
    </row>
    <row r="150" spans="1:23" x14ac:dyDescent="0.3">
      <c r="A150" s="184"/>
      <c r="B150" s="194">
        <v>2</v>
      </c>
      <c r="C150" s="195">
        <v>45660</v>
      </c>
      <c r="D150" s="196" t="s">
        <v>16</v>
      </c>
      <c r="E150" s="222" t="s">
        <v>907</v>
      </c>
      <c r="F150" s="222">
        <v>145</v>
      </c>
      <c r="G150" s="222">
        <v>154</v>
      </c>
      <c r="H150" s="222">
        <f>154-145</f>
        <v>9</v>
      </c>
      <c r="I150" s="218">
        <v>100</v>
      </c>
      <c r="J150" s="268">
        <f t="shared" ref="J150:J169" si="10">I150*H150</f>
        <v>900</v>
      </c>
      <c r="K150" s="185"/>
      <c r="V150" s="183">
        <f t="shared" ref="V150:V171" si="11">IF($J150&gt;0,1,0)</f>
        <v>1</v>
      </c>
      <c r="W150" s="183">
        <f t="shared" ref="W150:W171" si="12">IF($J150&lt;0,1,0)</f>
        <v>0</v>
      </c>
    </row>
    <row r="151" spans="1:23" x14ac:dyDescent="0.3">
      <c r="A151" s="184"/>
      <c r="B151" s="194">
        <v>3</v>
      </c>
      <c r="C151" s="195">
        <v>45663</v>
      </c>
      <c r="D151" s="196" t="s">
        <v>16</v>
      </c>
      <c r="E151" s="222" t="s">
        <v>910</v>
      </c>
      <c r="F151" s="222">
        <v>155</v>
      </c>
      <c r="G151" s="222">
        <v>163</v>
      </c>
      <c r="H151" s="222">
        <f>163-155</f>
        <v>8</v>
      </c>
      <c r="I151" s="218">
        <v>100</v>
      </c>
      <c r="J151" s="268">
        <f t="shared" si="10"/>
        <v>800</v>
      </c>
      <c r="K151" s="185"/>
      <c r="M151" s="183" t="s">
        <v>870</v>
      </c>
      <c r="V151" s="183">
        <f t="shared" si="11"/>
        <v>1</v>
      </c>
      <c r="W151" s="183">
        <f t="shared" si="12"/>
        <v>0</v>
      </c>
    </row>
    <row r="152" spans="1:23" x14ac:dyDescent="0.3">
      <c r="A152" s="184"/>
      <c r="B152" s="194">
        <v>4</v>
      </c>
      <c r="C152" s="195">
        <v>45664</v>
      </c>
      <c r="D152" s="196" t="s">
        <v>16</v>
      </c>
      <c r="E152" s="222" t="s">
        <v>910</v>
      </c>
      <c r="F152" s="222">
        <v>175</v>
      </c>
      <c r="G152" s="222">
        <v>183</v>
      </c>
      <c r="H152" s="222">
        <f>183-175</f>
        <v>8</v>
      </c>
      <c r="I152" s="218">
        <v>100</v>
      </c>
      <c r="J152" s="268">
        <f t="shared" si="10"/>
        <v>800</v>
      </c>
      <c r="K152" s="185"/>
      <c r="V152" s="183">
        <f t="shared" si="11"/>
        <v>1</v>
      </c>
      <c r="W152" s="183">
        <f t="shared" si="12"/>
        <v>0</v>
      </c>
    </row>
    <row r="153" spans="1:23" x14ac:dyDescent="0.3">
      <c r="A153" s="184"/>
      <c r="B153" s="194">
        <v>5</v>
      </c>
      <c r="C153" s="195">
        <v>45665</v>
      </c>
      <c r="D153" s="196" t="s">
        <v>16</v>
      </c>
      <c r="E153" s="222" t="s">
        <v>913</v>
      </c>
      <c r="F153" s="222">
        <v>150</v>
      </c>
      <c r="G153" s="222">
        <v>130</v>
      </c>
      <c r="H153" s="222">
        <v>-20</v>
      </c>
      <c r="I153" s="218">
        <v>100</v>
      </c>
      <c r="J153" s="268">
        <f t="shared" si="10"/>
        <v>-2000</v>
      </c>
      <c r="K153" s="185"/>
      <c r="V153" s="183">
        <f t="shared" si="11"/>
        <v>0</v>
      </c>
      <c r="W153" s="183">
        <f t="shared" si="12"/>
        <v>1</v>
      </c>
    </row>
    <row r="154" spans="1:23" x14ac:dyDescent="0.3">
      <c r="A154" s="184"/>
      <c r="B154" s="194">
        <v>6</v>
      </c>
      <c r="C154" s="195">
        <v>45666</v>
      </c>
      <c r="D154" s="196" t="s">
        <v>16</v>
      </c>
      <c r="E154" s="222" t="s">
        <v>910</v>
      </c>
      <c r="F154" s="222">
        <v>150</v>
      </c>
      <c r="G154" s="222">
        <v>167</v>
      </c>
      <c r="H154" s="222">
        <f>167-150</f>
        <v>17</v>
      </c>
      <c r="I154" s="218">
        <v>100</v>
      </c>
      <c r="J154" s="268">
        <f t="shared" si="10"/>
        <v>1700</v>
      </c>
      <c r="K154" s="185"/>
      <c r="V154" s="183">
        <f t="shared" si="11"/>
        <v>1</v>
      </c>
      <c r="W154" s="183">
        <f t="shared" si="12"/>
        <v>0</v>
      </c>
    </row>
    <row r="155" spans="1:23" x14ac:dyDescent="0.3">
      <c r="A155" s="184"/>
      <c r="B155" s="194">
        <v>7</v>
      </c>
      <c r="C155" s="195">
        <v>45667</v>
      </c>
      <c r="D155" s="196" t="s">
        <v>16</v>
      </c>
      <c r="E155" s="222" t="s">
        <v>912</v>
      </c>
      <c r="F155" s="222">
        <v>130</v>
      </c>
      <c r="G155" s="222">
        <v>110</v>
      </c>
      <c r="H155" s="274">
        <v>-20</v>
      </c>
      <c r="I155" s="218">
        <v>100</v>
      </c>
      <c r="J155" s="268">
        <f t="shared" si="10"/>
        <v>-2000</v>
      </c>
      <c r="K155" s="185"/>
      <c r="M155" s="183" t="s">
        <v>942</v>
      </c>
      <c r="V155" s="183">
        <f t="shared" si="11"/>
        <v>0</v>
      </c>
      <c r="W155" s="183">
        <f t="shared" si="12"/>
        <v>1</v>
      </c>
    </row>
    <row r="156" spans="1:23" x14ac:dyDescent="0.3">
      <c r="A156" s="184"/>
      <c r="B156" s="194">
        <v>8</v>
      </c>
      <c r="C156" s="195">
        <v>45670</v>
      </c>
      <c r="D156" s="196" t="s">
        <v>16</v>
      </c>
      <c r="E156" s="222" t="s">
        <v>922</v>
      </c>
      <c r="F156" s="222">
        <v>195</v>
      </c>
      <c r="G156" s="222">
        <v>235</v>
      </c>
      <c r="H156" s="222">
        <f>235-195</f>
        <v>40</v>
      </c>
      <c r="I156" s="218">
        <v>100</v>
      </c>
      <c r="J156" s="268">
        <f t="shared" si="10"/>
        <v>4000</v>
      </c>
      <c r="K156" s="185"/>
      <c r="V156" s="183">
        <f t="shared" si="11"/>
        <v>1</v>
      </c>
      <c r="W156" s="183">
        <f t="shared" si="12"/>
        <v>0</v>
      </c>
    </row>
    <row r="157" spans="1:23" x14ac:dyDescent="0.3">
      <c r="A157" s="184"/>
      <c r="B157" s="194">
        <v>9</v>
      </c>
      <c r="C157" s="195">
        <v>45671</v>
      </c>
      <c r="D157" s="196" t="s">
        <v>16</v>
      </c>
      <c r="E157" s="222" t="s">
        <v>931</v>
      </c>
      <c r="F157" s="222">
        <v>225</v>
      </c>
      <c r="G157" s="222">
        <v>245</v>
      </c>
      <c r="H157" s="222">
        <f>245-225</f>
        <v>20</v>
      </c>
      <c r="I157" s="218">
        <v>100</v>
      </c>
      <c r="J157" s="268">
        <f t="shared" si="10"/>
        <v>2000</v>
      </c>
      <c r="K157" s="185"/>
      <c r="V157" s="183">
        <f t="shared" si="11"/>
        <v>1</v>
      </c>
      <c r="W157" s="183">
        <f t="shared" si="12"/>
        <v>0</v>
      </c>
    </row>
    <row r="158" spans="1:23" x14ac:dyDescent="0.3">
      <c r="A158" s="184"/>
      <c r="B158" s="194">
        <v>10</v>
      </c>
      <c r="C158" s="195">
        <v>45672</v>
      </c>
      <c r="D158" s="196" t="s">
        <v>16</v>
      </c>
      <c r="E158" s="222" t="s">
        <v>922</v>
      </c>
      <c r="F158" s="222">
        <v>150</v>
      </c>
      <c r="G158" s="222">
        <v>190</v>
      </c>
      <c r="H158" s="222">
        <v>40</v>
      </c>
      <c r="I158" s="218">
        <v>100</v>
      </c>
      <c r="J158" s="268">
        <f t="shared" si="10"/>
        <v>4000</v>
      </c>
      <c r="K158" s="185"/>
      <c r="V158" s="183">
        <f t="shared" si="11"/>
        <v>1</v>
      </c>
      <c r="W158" s="183">
        <f t="shared" si="12"/>
        <v>0</v>
      </c>
    </row>
    <row r="159" spans="1:23" x14ac:dyDescent="0.3">
      <c r="A159" s="184"/>
      <c r="B159" s="194">
        <v>11</v>
      </c>
      <c r="C159" s="195">
        <v>45673</v>
      </c>
      <c r="D159" s="196" t="s">
        <v>16</v>
      </c>
      <c r="E159" s="222" t="s">
        <v>928</v>
      </c>
      <c r="F159" s="222">
        <v>240</v>
      </c>
      <c r="G159" s="222">
        <v>280</v>
      </c>
      <c r="H159" s="274">
        <v>40</v>
      </c>
      <c r="I159" s="218">
        <v>100</v>
      </c>
      <c r="J159" s="268">
        <f t="shared" si="10"/>
        <v>4000</v>
      </c>
      <c r="K159" s="185"/>
      <c r="V159" s="183">
        <f t="shared" si="11"/>
        <v>1</v>
      </c>
      <c r="W159" s="183">
        <f t="shared" si="12"/>
        <v>0</v>
      </c>
    </row>
    <row r="160" spans="1:23" x14ac:dyDescent="0.3">
      <c r="A160" s="184"/>
      <c r="B160" s="194">
        <v>12</v>
      </c>
      <c r="C160" s="195">
        <v>45674</v>
      </c>
      <c r="D160" s="196" t="s">
        <v>16</v>
      </c>
      <c r="E160" s="222" t="s">
        <v>914</v>
      </c>
      <c r="F160" s="222">
        <v>210</v>
      </c>
      <c r="G160" s="222">
        <v>222</v>
      </c>
      <c r="H160" s="274">
        <f>222-210</f>
        <v>12</v>
      </c>
      <c r="I160" s="218">
        <v>100</v>
      </c>
      <c r="J160" s="268">
        <f t="shared" si="10"/>
        <v>1200</v>
      </c>
      <c r="K160" s="185"/>
      <c r="V160" s="183">
        <f t="shared" si="11"/>
        <v>1</v>
      </c>
      <c r="W160" s="183">
        <f t="shared" si="12"/>
        <v>0</v>
      </c>
    </row>
    <row r="161" spans="1:23" x14ac:dyDescent="0.3">
      <c r="A161" s="184"/>
      <c r="B161" s="194">
        <v>13</v>
      </c>
      <c r="C161" s="195">
        <v>45677</v>
      </c>
      <c r="D161" s="196" t="s">
        <v>16</v>
      </c>
      <c r="E161" s="222" t="s">
        <v>912</v>
      </c>
      <c r="F161" s="222">
        <v>200</v>
      </c>
      <c r="G161" s="222">
        <v>212</v>
      </c>
      <c r="H161" s="274">
        <v>12</v>
      </c>
      <c r="I161" s="218">
        <v>100</v>
      </c>
      <c r="J161" s="268">
        <f t="shared" si="10"/>
        <v>1200</v>
      </c>
      <c r="K161" s="185"/>
      <c r="V161" s="183">
        <f t="shared" si="11"/>
        <v>1</v>
      </c>
      <c r="W161" s="183">
        <f t="shared" si="12"/>
        <v>0</v>
      </c>
    </row>
    <row r="162" spans="1:23" x14ac:dyDescent="0.3">
      <c r="A162" s="184"/>
      <c r="B162" s="194">
        <v>14</v>
      </c>
      <c r="C162" s="195">
        <v>45678</v>
      </c>
      <c r="D162" s="196" t="s">
        <v>16</v>
      </c>
      <c r="E162" s="222" t="s">
        <v>912</v>
      </c>
      <c r="F162" s="222">
        <v>225</v>
      </c>
      <c r="G162" s="222">
        <v>265</v>
      </c>
      <c r="H162" s="274">
        <v>40</v>
      </c>
      <c r="I162" s="218">
        <v>100</v>
      </c>
      <c r="J162" s="268">
        <f t="shared" si="10"/>
        <v>4000</v>
      </c>
      <c r="K162" s="185"/>
      <c r="V162" s="183">
        <f t="shared" si="11"/>
        <v>1</v>
      </c>
      <c r="W162" s="183">
        <f t="shared" si="12"/>
        <v>0</v>
      </c>
    </row>
    <row r="163" spans="1:23" x14ac:dyDescent="0.3">
      <c r="A163" s="184"/>
      <c r="B163" s="194">
        <v>15</v>
      </c>
      <c r="C163" s="195">
        <v>45679</v>
      </c>
      <c r="D163" s="196" t="s">
        <v>16</v>
      </c>
      <c r="E163" s="196" t="s">
        <v>912</v>
      </c>
      <c r="F163" s="222">
        <v>220</v>
      </c>
      <c r="G163" s="222">
        <v>238</v>
      </c>
      <c r="H163" s="222">
        <f>238-220</f>
        <v>18</v>
      </c>
      <c r="I163" s="218">
        <v>100</v>
      </c>
      <c r="J163" s="268">
        <f t="shared" si="10"/>
        <v>1800</v>
      </c>
      <c r="K163" s="185"/>
      <c r="V163" s="183">
        <f t="shared" si="11"/>
        <v>1</v>
      </c>
      <c r="W163" s="183">
        <f t="shared" si="12"/>
        <v>0</v>
      </c>
    </row>
    <row r="164" spans="1:23" x14ac:dyDescent="0.3">
      <c r="A164" s="184"/>
      <c r="B164" s="194">
        <v>16</v>
      </c>
      <c r="C164" s="195">
        <v>45680</v>
      </c>
      <c r="D164" s="196" t="s">
        <v>16</v>
      </c>
      <c r="E164" s="196" t="s">
        <v>912</v>
      </c>
      <c r="F164" s="222">
        <v>225</v>
      </c>
      <c r="G164" s="274">
        <v>245</v>
      </c>
      <c r="H164" s="274">
        <v>20</v>
      </c>
      <c r="I164" s="218">
        <v>100</v>
      </c>
      <c r="J164" s="268">
        <f t="shared" si="10"/>
        <v>2000</v>
      </c>
      <c r="K164" s="185"/>
      <c r="V164" s="183">
        <f t="shared" si="11"/>
        <v>1</v>
      </c>
      <c r="W164" s="183">
        <f t="shared" si="12"/>
        <v>0</v>
      </c>
    </row>
    <row r="165" spans="1:23" x14ac:dyDescent="0.3">
      <c r="A165" s="184"/>
      <c r="B165" s="194">
        <v>17</v>
      </c>
      <c r="C165" s="195">
        <v>45681</v>
      </c>
      <c r="D165" s="196" t="s">
        <v>16</v>
      </c>
      <c r="E165" s="196" t="s">
        <v>913</v>
      </c>
      <c r="F165" s="222">
        <v>220</v>
      </c>
      <c r="G165" s="222">
        <v>200</v>
      </c>
      <c r="H165" s="263">
        <v>-20</v>
      </c>
      <c r="I165" s="218">
        <v>100</v>
      </c>
      <c r="J165" s="268">
        <f t="shared" si="10"/>
        <v>-2000</v>
      </c>
      <c r="K165" s="185"/>
      <c r="V165" s="183">
        <f t="shared" si="11"/>
        <v>0</v>
      </c>
      <c r="W165" s="183">
        <f t="shared" si="12"/>
        <v>1</v>
      </c>
    </row>
    <row r="166" spans="1:23" x14ac:dyDescent="0.3">
      <c r="A166" s="184"/>
      <c r="B166" s="194">
        <v>18</v>
      </c>
      <c r="C166" s="195">
        <v>45684</v>
      </c>
      <c r="D166" s="196" t="s">
        <v>16</v>
      </c>
      <c r="E166" s="196" t="s">
        <v>913</v>
      </c>
      <c r="F166" s="222">
        <v>210</v>
      </c>
      <c r="G166" s="222">
        <v>220</v>
      </c>
      <c r="H166" s="274">
        <v>10</v>
      </c>
      <c r="I166" s="218">
        <v>100</v>
      </c>
      <c r="J166" s="268">
        <f t="shared" si="10"/>
        <v>1000</v>
      </c>
      <c r="K166" s="185"/>
      <c r="V166" s="183">
        <f t="shared" si="11"/>
        <v>1</v>
      </c>
      <c r="W166" s="183">
        <f t="shared" si="12"/>
        <v>0</v>
      </c>
    </row>
    <row r="167" spans="1:23" x14ac:dyDescent="0.3">
      <c r="A167" s="184"/>
      <c r="B167" s="194">
        <v>19</v>
      </c>
      <c r="C167" s="195">
        <v>45685</v>
      </c>
      <c r="D167" s="196" t="s">
        <v>16</v>
      </c>
      <c r="E167" s="196" t="s">
        <v>910</v>
      </c>
      <c r="F167" s="222">
        <v>185</v>
      </c>
      <c r="G167" s="222">
        <v>205</v>
      </c>
      <c r="H167" s="274">
        <f>205-185</f>
        <v>20</v>
      </c>
      <c r="I167" s="218">
        <v>100</v>
      </c>
      <c r="J167" s="268">
        <f t="shared" si="10"/>
        <v>2000</v>
      </c>
      <c r="K167" s="185"/>
      <c r="V167" s="183">
        <f t="shared" si="11"/>
        <v>1</v>
      </c>
      <c r="W167" s="183">
        <f t="shared" si="12"/>
        <v>0</v>
      </c>
    </row>
    <row r="168" spans="1:23" x14ac:dyDescent="0.3">
      <c r="A168" s="184"/>
      <c r="B168" s="194">
        <v>20</v>
      </c>
      <c r="C168" s="195">
        <v>45686</v>
      </c>
      <c r="D168" s="196" t="s">
        <v>16</v>
      </c>
      <c r="E168" s="222" t="s">
        <v>910</v>
      </c>
      <c r="F168" s="222">
        <v>205</v>
      </c>
      <c r="G168" s="222">
        <v>245</v>
      </c>
      <c r="H168" s="274">
        <f>245-205</f>
        <v>40</v>
      </c>
      <c r="I168" s="218">
        <v>100</v>
      </c>
      <c r="J168" s="268">
        <f t="shared" si="10"/>
        <v>4000</v>
      </c>
      <c r="K168" s="185"/>
      <c r="V168" s="183">
        <f t="shared" si="11"/>
        <v>1</v>
      </c>
      <c r="W168" s="183">
        <f t="shared" si="12"/>
        <v>0</v>
      </c>
    </row>
    <row r="169" spans="1:23" x14ac:dyDescent="0.3">
      <c r="A169" s="184"/>
      <c r="B169" s="194">
        <v>21</v>
      </c>
      <c r="C169" s="195">
        <v>45687</v>
      </c>
      <c r="D169" s="196" t="s">
        <v>16</v>
      </c>
      <c r="E169" s="222" t="s">
        <v>910</v>
      </c>
      <c r="F169" s="222">
        <v>240</v>
      </c>
      <c r="G169" s="222">
        <v>260</v>
      </c>
      <c r="H169" s="274">
        <v>20</v>
      </c>
      <c r="I169" s="218">
        <v>100</v>
      </c>
      <c r="J169" s="268">
        <f t="shared" si="10"/>
        <v>2000</v>
      </c>
      <c r="K169" s="185"/>
      <c r="V169" s="183">
        <f t="shared" si="11"/>
        <v>1</v>
      </c>
      <c r="W169" s="183">
        <f t="shared" si="12"/>
        <v>0</v>
      </c>
    </row>
    <row r="170" spans="1:23" x14ac:dyDescent="0.3">
      <c r="A170" s="184"/>
      <c r="B170" s="194">
        <v>22</v>
      </c>
      <c r="C170" s="195">
        <v>45688</v>
      </c>
      <c r="D170" s="196" t="s">
        <v>16</v>
      </c>
      <c r="E170" s="222" t="s">
        <v>910</v>
      </c>
      <c r="F170" s="222">
        <v>210</v>
      </c>
      <c r="G170" s="222">
        <v>239</v>
      </c>
      <c r="H170" s="222">
        <f>239-210</f>
        <v>29</v>
      </c>
      <c r="I170" s="218">
        <v>100</v>
      </c>
      <c r="J170" s="268">
        <f>I170*H170</f>
        <v>2900</v>
      </c>
      <c r="K170" s="185"/>
      <c r="V170" s="183">
        <f t="shared" si="11"/>
        <v>1</v>
      </c>
      <c r="W170" s="183">
        <f t="shared" si="12"/>
        <v>0</v>
      </c>
    </row>
    <row r="171" spans="1:23" ht="15" thickBot="1" x14ac:dyDescent="0.35">
      <c r="A171" s="184"/>
      <c r="B171" s="199">
        <v>23</v>
      </c>
      <c r="C171" s="200"/>
      <c r="D171" s="201"/>
      <c r="E171" s="201"/>
      <c r="F171" s="284"/>
      <c r="G171" s="284"/>
      <c r="H171" s="284"/>
      <c r="I171" s="285"/>
      <c r="J171" s="269">
        <f>I171*H171</f>
        <v>0</v>
      </c>
      <c r="K171" s="185"/>
      <c r="V171" s="183">
        <f t="shared" si="11"/>
        <v>0</v>
      </c>
      <c r="W171" s="183">
        <f t="shared" si="12"/>
        <v>0</v>
      </c>
    </row>
    <row r="172" spans="1:23" ht="24" thickBot="1" x14ac:dyDescent="0.5">
      <c r="A172" s="184"/>
      <c r="B172" s="304" t="s">
        <v>879</v>
      </c>
      <c r="C172" s="305"/>
      <c r="D172" s="305"/>
      <c r="E172" s="305"/>
      <c r="F172" s="305"/>
      <c r="G172" s="305"/>
      <c r="H172" s="306"/>
      <c r="I172" s="203" t="s">
        <v>880</v>
      </c>
      <c r="J172" s="204">
        <f>SUM(J149:J171)</f>
        <v>32300</v>
      </c>
      <c r="K172" s="185"/>
      <c r="V172" s="183">
        <f>SUM(V149:V171)</f>
        <v>18</v>
      </c>
      <c r="W172" s="183">
        <f>SUM(W149:W171)</f>
        <v>4</v>
      </c>
    </row>
    <row r="173" spans="1:23" ht="30" customHeight="1" thickBot="1" x14ac:dyDescent="0.35">
      <c r="A173" s="205"/>
      <c r="B173" s="286"/>
      <c r="C173" s="286"/>
      <c r="D173" s="286"/>
      <c r="E173" s="286"/>
      <c r="F173" s="286"/>
      <c r="G173" s="286"/>
      <c r="H173" s="287"/>
      <c r="I173" s="286"/>
      <c r="J173" s="287"/>
      <c r="K173" s="207"/>
    </row>
    <row r="174" spans="1:23" ht="15" thickBot="1" x14ac:dyDescent="0.35"/>
    <row r="175" spans="1:23" ht="15" thickBot="1" x14ac:dyDescent="0.35">
      <c r="A175" s="180"/>
      <c r="B175" s="181"/>
      <c r="C175" s="181"/>
      <c r="D175" s="181"/>
      <c r="E175" s="181"/>
      <c r="F175" s="181"/>
      <c r="G175" s="181"/>
      <c r="H175" s="259"/>
      <c r="I175" s="181"/>
      <c r="J175" s="259"/>
      <c r="K175" s="182"/>
    </row>
    <row r="176" spans="1:23" ht="25.2" thickBot="1" x14ac:dyDescent="0.35">
      <c r="A176" s="184" t="s">
        <v>0</v>
      </c>
      <c r="B176" s="307" t="s">
        <v>873</v>
      </c>
      <c r="C176" s="308"/>
      <c r="D176" s="308"/>
      <c r="E176" s="308"/>
      <c r="F176" s="308"/>
      <c r="G176" s="308"/>
      <c r="H176" s="308"/>
      <c r="I176" s="308"/>
      <c r="J176" s="309"/>
      <c r="K176" s="185"/>
    </row>
    <row r="177" spans="1:23" ht="16.2" thickBot="1" x14ac:dyDescent="0.35">
      <c r="A177" s="184"/>
      <c r="B177" s="310">
        <v>45658</v>
      </c>
      <c r="C177" s="311"/>
      <c r="D177" s="311"/>
      <c r="E177" s="311"/>
      <c r="F177" s="311"/>
      <c r="G177" s="311"/>
      <c r="H177" s="311"/>
      <c r="I177" s="311"/>
      <c r="J177" s="312"/>
      <c r="K177" s="185"/>
    </row>
    <row r="178" spans="1:23" ht="16.2" thickBot="1" x14ac:dyDescent="0.35">
      <c r="A178" s="184"/>
      <c r="B178" s="313" t="s">
        <v>950</v>
      </c>
      <c r="C178" s="314"/>
      <c r="D178" s="314"/>
      <c r="E178" s="314"/>
      <c r="F178" s="314"/>
      <c r="G178" s="314"/>
      <c r="H178" s="314"/>
      <c r="I178" s="314"/>
      <c r="J178" s="315"/>
      <c r="K178" s="185"/>
    </row>
    <row r="179" spans="1:23" ht="15" thickBot="1" x14ac:dyDescent="0.35">
      <c r="A179" s="208"/>
      <c r="B179" s="186" t="s">
        <v>876</v>
      </c>
      <c r="C179" s="187" t="s">
        <v>1</v>
      </c>
      <c r="D179" s="188" t="s">
        <v>2</v>
      </c>
      <c r="E179" s="188" t="s">
        <v>3</v>
      </c>
      <c r="F179" s="189" t="s">
        <v>4</v>
      </c>
      <c r="G179" s="189" t="s">
        <v>5</v>
      </c>
      <c r="H179" s="260" t="s">
        <v>720</v>
      </c>
      <c r="I179" s="189" t="s">
        <v>6</v>
      </c>
      <c r="J179" s="266" t="s">
        <v>7</v>
      </c>
      <c r="K179" s="209"/>
    </row>
    <row r="180" spans="1:23" x14ac:dyDescent="0.3">
      <c r="A180" s="184"/>
      <c r="B180" s="214">
        <v>1</v>
      </c>
      <c r="C180" s="215">
        <v>45659</v>
      </c>
      <c r="D180" s="216" t="s">
        <v>16</v>
      </c>
      <c r="E180" s="256" t="s">
        <v>953</v>
      </c>
      <c r="F180" s="256">
        <v>900</v>
      </c>
      <c r="G180" s="256">
        <v>975</v>
      </c>
      <c r="H180" s="256">
        <v>75</v>
      </c>
      <c r="I180" s="218">
        <v>10</v>
      </c>
      <c r="J180" s="273">
        <f>I180*H180</f>
        <v>750</v>
      </c>
      <c r="K180" s="185"/>
      <c r="V180" s="183">
        <f t="shared" ref="V180:V202" si="13">IF($J180&gt;0,1,0)</f>
        <v>1</v>
      </c>
      <c r="W180" s="183">
        <f t="shared" ref="W180:W202" si="14">IF($J180&lt;0,1,0)</f>
        <v>0</v>
      </c>
    </row>
    <row r="181" spans="1:23" x14ac:dyDescent="0.3">
      <c r="A181" s="184"/>
      <c r="B181" s="194">
        <v>2</v>
      </c>
      <c r="C181" s="195">
        <v>45660</v>
      </c>
      <c r="D181" s="196" t="s">
        <v>16</v>
      </c>
      <c r="E181" s="222" t="s">
        <v>955</v>
      </c>
      <c r="F181" s="222">
        <v>1070</v>
      </c>
      <c r="G181" s="222">
        <v>1200</v>
      </c>
      <c r="H181" s="222">
        <f>1200-1070</f>
        <v>130</v>
      </c>
      <c r="I181" s="218">
        <v>10</v>
      </c>
      <c r="J181" s="268">
        <f t="shared" ref="J181:J200" si="15">I181*H181</f>
        <v>1300</v>
      </c>
      <c r="K181" s="185"/>
      <c r="V181" s="183">
        <f t="shared" si="13"/>
        <v>1</v>
      </c>
      <c r="W181" s="183">
        <f t="shared" si="14"/>
        <v>0</v>
      </c>
    </row>
    <row r="182" spans="1:23" x14ac:dyDescent="0.3">
      <c r="A182" s="184"/>
      <c r="B182" s="194">
        <v>3</v>
      </c>
      <c r="C182" s="195">
        <v>45663</v>
      </c>
      <c r="D182" s="196" t="s">
        <v>16</v>
      </c>
      <c r="E182" s="222" t="s">
        <v>953</v>
      </c>
      <c r="F182" s="222">
        <v>870</v>
      </c>
      <c r="G182" s="222">
        <v>945</v>
      </c>
      <c r="H182" s="222">
        <f>945-870</f>
        <v>75</v>
      </c>
      <c r="I182" s="218">
        <v>10</v>
      </c>
      <c r="J182" s="268">
        <f t="shared" si="15"/>
        <v>750</v>
      </c>
      <c r="K182" s="185"/>
      <c r="V182" s="183">
        <f t="shared" si="13"/>
        <v>1</v>
      </c>
      <c r="W182" s="183">
        <f t="shared" si="14"/>
        <v>0</v>
      </c>
    </row>
    <row r="183" spans="1:23" x14ac:dyDescent="0.3">
      <c r="A183" s="184"/>
      <c r="B183" s="194">
        <v>4</v>
      </c>
      <c r="C183" s="195">
        <v>45664</v>
      </c>
      <c r="D183" s="196" t="s">
        <v>16</v>
      </c>
      <c r="E183" s="222" t="s">
        <v>975</v>
      </c>
      <c r="F183" s="222">
        <v>1020</v>
      </c>
      <c r="G183" s="222">
        <v>1150</v>
      </c>
      <c r="H183" s="222">
        <f>1150-1020</f>
        <v>130</v>
      </c>
      <c r="I183" s="218">
        <v>10</v>
      </c>
      <c r="J183" s="268">
        <f t="shared" si="15"/>
        <v>1300</v>
      </c>
      <c r="K183" s="185"/>
      <c r="V183" s="183">
        <f t="shared" si="13"/>
        <v>1</v>
      </c>
      <c r="W183" s="183">
        <f t="shared" si="14"/>
        <v>0</v>
      </c>
    </row>
    <row r="184" spans="1:23" x14ac:dyDescent="0.3">
      <c r="A184" s="184"/>
      <c r="B184" s="194">
        <v>5</v>
      </c>
      <c r="C184" s="195">
        <v>45665</v>
      </c>
      <c r="D184" s="196" t="s">
        <v>16</v>
      </c>
      <c r="E184" s="222" t="s">
        <v>961</v>
      </c>
      <c r="F184" s="222">
        <v>830</v>
      </c>
      <c r="G184" s="222">
        <v>730</v>
      </c>
      <c r="H184" s="222">
        <v>-100</v>
      </c>
      <c r="I184" s="218">
        <v>10</v>
      </c>
      <c r="J184" s="268">
        <f t="shared" si="15"/>
        <v>-1000</v>
      </c>
      <c r="K184" s="185"/>
      <c r="V184" s="183">
        <f t="shared" si="13"/>
        <v>0</v>
      </c>
      <c r="W184" s="183">
        <f t="shared" si="14"/>
        <v>1</v>
      </c>
    </row>
    <row r="185" spans="1:23" x14ac:dyDescent="0.3">
      <c r="A185" s="184"/>
      <c r="B185" s="194">
        <v>6</v>
      </c>
      <c r="C185" s="195">
        <v>45666</v>
      </c>
      <c r="D185" s="196" t="s">
        <v>16</v>
      </c>
      <c r="E185" s="222" t="s">
        <v>977</v>
      </c>
      <c r="F185" s="222">
        <v>810</v>
      </c>
      <c r="G185" s="222">
        <v>970</v>
      </c>
      <c r="H185" s="222">
        <f>910-810</f>
        <v>100</v>
      </c>
      <c r="I185" s="218">
        <v>10</v>
      </c>
      <c r="J185" s="268">
        <f t="shared" si="15"/>
        <v>1000</v>
      </c>
      <c r="K185" s="185"/>
      <c r="V185" s="183">
        <f t="shared" si="13"/>
        <v>1</v>
      </c>
      <c r="W185" s="183">
        <f t="shared" si="14"/>
        <v>0</v>
      </c>
    </row>
    <row r="186" spans="1:23" x14ac:dyDescent="0.3">
      <c r="A186" s="184"/>
      <c r="B186" s="194">
        <v>7</v>
      </c>
      <c r="C186" s="195">
        <v>45667</v>
      </c>
      <c r="D186" s="196" t="s">
        <v>16</v>
      </c>
      <c r="E186" s="222" t="s">
        <v>977</v>
      </c>
      <c r="F186" s="222">
        <v>970</v>
      </c>
      <c r="G186" s="222">
        <v>1108</v>
      </c>
      <c r="H186" s="274">
        <f>1108-970</f>
        <v>138</v>
      </c>
      <c r="I186" s="218">
        <v>10</v>
      </c>
      <c r="J186" s="268">
        <f t="shared" si="15"/>
        <v>1380</v>
      </c>
      <c r="K186" s="185"/>
      <c r="V186" s="183">
        <f t="shared" si="13"/>
        <v>1</v>
      </c>
      <c r="W186" s="183">
        <f t="shared" si="14"/>
        <v>0</v>
      </c>
    </row>
    <row r="187" spans="1:23" x14ac:dyDescent="0.3">
      <c r="A187" s="184"/>
      <c r="B187" s="194">
        <v>8</v>
      </c>
      <c r="C187" s="195">
        <v>45670</v>
      </c>
      <c r="D187" s="196" t="s">
        <v>16</v>
      </c>
      <c r="E187" s="222" t="s">
        <v>979</v>
      </c>
      <c r="F187" s="222">
        <v>1060</v>
      </c>
      <c r="G187" s="222">
        <v>1260</v>
      </c>
      <c r="H187" s="222">
        <f>1260-1060</f>
        <v>200</v>
      </c>
      <c r="I187" s="218">
        <v>10</v>
      </c>
      <c r="J187" s="268">
        <f t="shared" si="15"/>
        <v>2000</v>
      </c>
      <c r="K187" s="185"/>
      <c r="V187" s="183">
        <f t="shared" si="13"/>
        <v>1</v>
      </c>
      <c r="W187" s="183">
        <f t="shared" si="14"/>
        <v>0</v>
      </c>
    </row>
    <row r="188" spans="1:23" x14ac:dyDescent="0.3">
      <c r="A188" s="184"/>
      <c r="B188" s="194">
        <v>9</v>
      </c>
      <c r="C188" s="195">
        <v>45671</v>
      </c>
      <c r="D188" s="196" t="s">
        <v>16</v>
      </c>
      <c r="E188" s="222" t="s">
        <v>983</v>
      </c>
      <c r="F188" s="222">
        <v>1000</v>
      </c>
      <c r="G188" s="222">
        <v>1100</v>
      </c>
      <c r="H188" s="222">
        <v>100</v>
      </c>
      <c r="I188" s="218">
        <v>10</v>
      </c>
      <c r="J188" s="268">
        <f t="shared" si="15"/>
        <v>1000</v>
      </c>
      <c r="K188" s="185"/>
      <c r="V188" s="183">
        <f t="shared" si="13"/>
        <v>1</v>
      </c>
      <c r="W188" s="183">
        <f t="shared" si="14"/>
        <v>0</v>
      </c>
    </row>
    <row r="189" spans="1:23" x14ac:dyDescent="0.3">
      <c r="A189" s="184"/>
      <c r="B189" s="194">
        <v>10</v>
      </c>
      <c r="C189" s="195">
        <v>45672</v>
      </c>
      <c r="D189" s="196" t="s">
        <v>16</v>
      </c>
      <c r="E189" s="222" t="s">
        <v>979</v>
      </c>
      <c r="F189" s="222">
        <v>1120</v>
      </c>
      <c r="G189" s="222">
        <v>1153</v>
      </c>
      <c r="H189" s="222">
        <f>1153-1120</f>
        <v>33</v>
      </c>
      <c r="I189" s="218">
        <v>10</v>
      </c>
      <c r="J189" s="268">
        <f t="shared" si="15"/>
        <v>330</v>
      </c>
      <c r="K189" s="185"/>
      <c r="V189" s="183">
        <f t="shared" si="13"/>
        <v>1</v>
      </c>
      <c r="W189" s="183">
        <f t="shared" si="14"/>
        <v>0</v>
      </c>
    </row>
    <row r="190" spans="1:23" x14ac:dyDescent="0.3">
      <c r="A190" s="184"/>
      <c r="B190" s="194">
        <v>11</v>
      </c>
      <c r="C190" s="195">
        <v>45673</v>
      </c>
      <c r="D190" s="196" t="s">
        <v>16</v>
      </c>
      <c r="E190" s="222" t="s">
        <v>986</v>
      </c>
      <c r="F190" s="222">
        <v>900</v>
      </c>
      <c r="G190" s="222">
        <v>1036</v>
      </c>
      <c r="H190" s="274">
        <f>1036-900</f>
        <v>136</v>
      </c>
      <c r="I190" s="218">
        <v>10</v>
      </c>
      <c r="J190" s="268">
        <f t="shared" si="15"/>
        <v>1360</v>
      </c>
      <c r="K190" s="185"/>
      <c r="V190" s="183">
        <f t="shared" si="13"/>
        <v>1</v>
      </c>
      <c r="W190" s="183">
        <f t="shared" si="14"/>
        <v>0</v>
      </c>
    </row>
    <row r="191" spans="1:23" x14ac:dyDescent="0.3">
      <c r="A191" s="184"/>
      <c r="B191" s="194">
        <v>12</v>
      </c>
      <c r="C191" s="195">
        <v>45674</v>
      </c>
      <c r="D191" s="196" t="s">
        <v>16</v>
      </c>
      <c r="E191" s="222" t="s">
        <v>987</v>
      </c>
      <c r="F191" s="222">
        <v>1000</v>
      </c>
      <c r="G191" s="222">
        <v>1145</v>
      </c>
      <c r="H191" s="274">
        <v>145</v>
      </c>
      <c r="I191" s="218">
        <v>10</v>
      </c>
      <c r="J191" s="268">
        <f t="shared" si="15"/>
        <v>1450</v>
      </c>
      <c r="K191" s="185"/>
      <c r="V191" s="183">
        <f t="shared" si="13"/>
        <v>1</v>
      </c>
      <c r="W191" s="183">
        <f t="shared" si="14"/>
        <v>0</v>
      </c>
    </row>
    <row r="192" spans="1:23" x14ac:dyDescent="0.3">
      <c r="A192" s="184"/>
      <c r="B192" s="194">
        <v>13</v>
      </c>
      <c r="C192" s="195">
        <v>45677</v>
      </c>
      <c r="D192" s="196" t="s">
        <v>16</v>
      </c>
      <c r="E192" s="222" t="s">
        <v>988</v>
      </c>
      <c r="F192" s="222">
        <v>670</v>
      </c>
      <c r="G192" s="222">
        <v>570</v>
      </c>
      <c r="H192" s="274">
        <v>-100</v>
      </c>
      <c r="I192" s="218">
        <v>10</v>
      </c>
      <c r="J192" s="268">
        <f t="shared" si="15"/>
        <v>-1000</v>
      </c>
      <c r="K192" s="185"/>
      <c r="V192" s="183">
        <f t="shared" si="13"/>
        <v>0</v>
      </c>
      <c r="W192" s="183">
        <f t="shared" si="14"/>
        <v>1</v>
      </c>
    </row>
    <row r="193" spans="1:23" x14ac:dyDescent="0.3">
      <c r="A193" s="184"/>
      <c r="B193" s="194">
        <v>14</v>
      </c>
      <c r="C193" s="195">
        <v>45678</v>
      </c>
      <c r="D193" s="196" t="s">
        <v>16</v>
      </c>
      <c r="E193" s="222" t="s">
        <v>979</v>
      </c>
      <c r="F193" s="222">
        <v>600</v>
      </c>
      <c r="G193" s="222">
        <v>500</v>
      </c>
      <c r="H193" s="274">
        <v>-100</v>
      </c>
      <c r="I193" s="218">
        <v>10</v>
      </c>
      <c r="J193" s="268">
        <f t="shared" si="15"/>
        <v>-1000</v>
      </c>
      <c r="K193" s="185"/>
      <c r="V193" s="183">
        <f t="shared" si="13"/>
        <v>0</v>
      </c>
      <c r="W193" s="183">
        <f t="shared" si="14"/>
        <v>1</v>
      </c>
    </row>
    <row r="194" spans="1:23" x14ac:dyDescent="0.3">
      <c r="A194" s="184"/>
      <c r="B194" s="194">
        <v>15</v>
      </c>
      <c r="C194" s="195">
        <v>45679</v>
      </c>
      <c r="D194" s="196" t="s">
        <v>16</v>
      </c>
      <c r="E194" s="196" t="s">
        <v>987</v>
      </c>
      <c r="F194" s="222">
        <v>490</v>
      </c>
      <c r="G194" s="222">
        <v>490</v>
      </c>
      <c r="H194" s="222">
        <v>0</v>
      </c>
      <c r="I194" s="218">
        <v>10</v>
      </c>
      <c r="J194" s="268">
        <f t="shared" si="15"/>
        <v>0</v>
      </c>
      <c r="K194" s="185"/>
      <c r="V194" s="183">
        <f t="shared" si="13"/>
        <v>0</v>
      </c>
      <c r="W194" s="183">
        <f t="shared" si="14"/>
        <v>0</v>
      </c>
    </row>
    <row r="195" spans="1:23" x14ac:dyDescent="0.3">
      <c r="A195" s="184"/>
      <c r="B195" s="194">
        <v>16</v>
      </c>
      <c r="C195" s="195">
        <v>45680</v>
      </c>
      <c r="D195" s="196" t="s">
        <v>16</v>
      </c>
      <c r="E195" s="196" t="s">
        <v>987</v>
      </c>
      <c r="F195" s="222">
        <v>400</v>
      </c>
      <c r="G195" s="274">
        <v>460</v>
      </c>
      <c r="H195" s="274">
        <v>60</v>
      </c>
      <c r="I195" s="218">
        <v>10</v>
      </c>
      <c r="J195" s="268">
        <f t="shared" si="15"/>
        <v>600</v>
      </c>
      <c r="K195" s="185"/>
      <c r="V195" s="183">
        <f t="shared" si="13"/>
        <v>1</v>
      </c>
      <c r="W195" s="183">
        <f t="shared" si="14"/>
        <v>0</v>
      </c>
    </row>
    <row r="196" spans="1:23" x14ac:dyDescent="0.3">
      <c r="A196" s="184"/>
      <c r="B196" s="194">
        <v>17</v>
      </c>
      <c r="C196" s="195">
        <v>45681</v>
      </c>
      <c r="D196" s="196" t="s">
        <v>16</v>
      </c>
      <c r="E196" s="196" t="s">
        <v>979</v>
      </c>
      <c r="F196" s="222">
        <v>720</v>
      </c>
      <c r="G196" s="222">
        <v>620</v>
      </c>
      <c r="H196" s="263">
        <v>-100</v>
      </c>
      <c r="I196" s="218">
        <v>10</v>
      </c>
      <c r="J196" s="268">
        <f t="shared" si="15"/>
        <v>-1000</v>
      </c>
      <c r="K196" s="185"/>
      <c r="V196" s="183">
        <f t="shared" si="13"/>
        <v>0</v>
      </c>
      <c r="W196" s="183">
        <f t="shared" si="14"/>
        <v>1</v>
      </c>
    </row>
    <row r="197" spans="1:23" x14ac:dyDescent="0.3">
      <c r="A197" s="184"/>
      <c r="B197" s="194">
        <v>18</v>
      </c>
      <c r="C197" s="195">
        <v>45684</v>
      </c>
      <c r="D197" s="196" t="s">
        <v>16</v>
      </c>
      <c r="E197" s="196" t="s">
        <v>991</v>
      </c>
      <c r="F197" s="222">
        <v>1120</v>
      </c>
      <c r="G197" s="222">
        <v>1209</v>
      </c>
      <c r="H197" s="274">
        <f>1209-1120</f>
        <v>89</v>
      </c>
      <c r="I197" s="218">
        <v>10</v>
      </c>
      <c r="J197" s="268">
        <f t="shared" si="15"/>
        <v>890</v>
      </c>
      <c r="K197" s="185"/>
      <c r="V197" s="183">
        <f t="shared" si="13"/>
        <v>1</v>
      </c>
      <c r="W197" s="183">
        <f t="shared" si="14"/>
        <v>0</v>
      </c>
    </row>
    <row r="198" spans="1:23" x14ac:dyDescent="0.3">
      <c r="A198" s="184"/>
      <c r="B198" s="194">
        <v>19</v>
      </c>
      <c r="C198" s="195">
        <v>45685</v>
      </c>
      <c r="D198" s="196" t="s">
        <v>16</v>
      </c>
      <c r="E198" s="196" t="s">
        <v>992</v>
      </c>
      <c r="F198" s="222">
        <v>970</v>
      </c>
      <c r="G198" s="222">
        <v>1070</v>
      </c>
      <c r="H198" s="274">
        <f>1070-970</f>
        <v>100</v>
      </c>
      <c r="I198" s="218">
        <v>10</v>
      </c>
      <c r="J198" s="268">
        <f t="shared" si="15"/>
        <v>1000</v>
      </c>
      <c r="K198" s="185"/>
      <c r="V198" s="183">
        <f t="shared" si="13"/>
        <v>1</v>
      </c>
      <c r="W198" s="183">
        <f t="shared" si="14"/>
        <v>0</v>
      </c>
    </row>
    <row r="199" spans="1:23" x14ac:dyDescent="0.3">
      <c r="A199" s="184"/>
      <c r="B199" s="194">
        <v>20</v>
      </c>
      <c r="C199" s="195">
        <v>45686</v>
      </c>
      <c r="D199" s="196" t="s">
        <v>16</v>
      </c>
      <c r="E199" s="222" t="s">
        <v>991</v>
      </c>
      <c r="F199" s="222">
        <v>870</v>
      </c>
      <c r="G199" s="222">
        <v>970</v>
      </c>
      <c r="H199" s="274">
        <v>100</v>
      </c>
      <c r="I199" s="218">
        <v>10</v>
      </c>
      <c r="J199" s="268">
        <f t="shared" si="15"/>
        <v>1000</v>
      </c>
      <c r="K199" s="185"/>
      <c r="V199" s="183">
        <f t="shared" si="13"/>
        <v>1</v>
      </c>
      <c r="W199" s="183">
        <f t="shared" si="14"/>
        <v>0</v>
      </c>
    </row>
    <row r="200" spans="1:23" x14ac:dyDescent="0.3">
      <c r="A200" s="184"/>
      <c r="B200" s="194">
        <v>21</v>
      </c>
      <c r="C200" s="195">
        <v>45687</v>
      </c>
      <c r="D200" s="196" t="s">
        <v>16</v>
      </c>
      <c r="E200" s="222" t="s">
        <v>991</v>
      </c>
      <c r="F200" s="222">
        <v>820</v>
      </c>
      <c r="G200" s="222">
        <v>720</v>
      </c>
      <c r="H200" s="274">
        <v>-100</v>
      </c>
      <c r="I200" s="218">
        <v>10</v>
      </c>
      <c r="J200" s="268">
        <f t="shared" si="15"/>
        <v>-1000</v>
      </c>
      <c r="K200" s="185"/>
      <c r="V200" s="183">
        <f t="shared" si="13"/>
        <v>0</v>
      </c>
      <c r="W200" s="183">
        <f t="shared" si="14"/>
        <v>1</v>
      </c>
    </row>
    <row r="201" spans="1:23" x14ac:dyDescent="0.3">
      <c r="A201" s="184"/>
      <c r="B201" s="194">
        <v>22</v>
      </c>
      <c r="C201" s="195">
        <v>45688</v>
      </c>
      <c r="D201" s="196" t="s">
        <v>16</v>
      </c>
      <c r="E201" s="222" t="s">
        <v>991</v>
      </c>
      <c r="F201" s="222">
        <v>700</v>
      </c>
      <c r="G201" s="222">
        <v>750</v>
      </c>
      <c r="H201" s="222">
        <v>50</v>
      </c>
      <c r="I201" s="218">
        <v>10</v>
      </c>
      <c r="J201" s="268">
        <f>I201*H201</f>
        <v>500</v>
      </c>
      <c r="K201" s="185"/>
      <c r="V201" s="183">
        <f t="shared" si="13"/>
        <v>1</v>
      </c>
      <c r="W201" s="183">
        <f t="shared" si="14"/>
        <v>0</v>
      </c>
    </row>
    <row r="202" spans="1:23" ht="15" thickBot="1" x14ac:dyDescent="0.35">
      <c r="A202" s="184"/>
      <c r="B202" s="199">
        <v>23</v>
      </c>
      <c r="C202" s="200"/>
      <c r="D202" s="201"/>
      <c r="E202" s="201"/>
      <c r="F202" s="284"/>
      <c r="G202" s="284"/>
      <c r="H202" s="284"/>
      <c r="I202" s="285"/>
      <c r="J202" s="269">
        <f>I202*H202</f>
        <v>0</v>
      </c>
      <c r="K202" s="185"/>
      <c r="V202" s="183">
        <f t="shared" si="13"/>
        <v>0</v>
      </c>
      <c r="W202" s="183">
        <f t="shared" si="14"/>
        <v>0</v>
      </c>
    </row>
    <row r="203" spans="1:23" ht="24" thickBot="1" x14ac:dyDescent="0.5">
      <c r="A203" s="184"/>
      <c r="B203" s="304" t="s">
        <v>879</v>
      </c>
      <c r="C203" s="305"/>
      <c r="D203" s="305"/>
      <c r="E203" s="305"/>
      <c r="F203" s="305"/>
      <c r="G203" s="305"/>
      <c r="H203" s="306"/>
      <c r="I203" s="203" t="s">
        <v>880</v>
      </c>
      <c r="J203" s="204">
        <f>SUM(J180:J202)</f>
        <v>11610</v>
      </c>
      <c r="K203" s="185"/>
      <c r="V203" s="183">
        <f>SUM(V180:V202)</f>
        <v>16</v>
      </c>
      <c r="W203" s="183">
        <f>SUM(W180:W202)</f>
        <v>5</v>
      </c>
    </row>
    <row r="204" spans="1:23" ht="15" thickBot="1" x14ac:dyDescent="0.35">
      <c r="A204" s="205"/>
      <c r="B204" s="286"/>
      <c r="C204" s="286"/>
      <c r="D204" s="286"/>
      <c r="E204" s="286"/>
      <c r="F204" s="286"/>
      <c r="G204" s="286"/>
      <c r="H204" s="287"/>
      <c r="I204" s="286"/>
      <c r="J204" s="287"/>
      <c r="K204" s="207"/>
    </row>
    <row r="205" spans="1:23" ht="15" thickBot="1" x14ac:dyDescent="0.35"/>
    <row r="206" spans="1:23" ht="15" thickBot="1" x14ac:dyDescent="0.35">
      <c r="A206" s="180"/>
      <c r="B206" s="181"/>
      <c r="C206" s="181"/>
      <c r="D206" s="181"/>
      <c r="E206" s="181"/>
      <c r="F206" s="181"/>
      <c r="G206" s="181"/>
      <c r="H206" s="259"/>
      <c r="I206" s="181"/>
      <c r="J206" s="259"/>
      <c r="K206" s="182"/>
    </row>
    <row r="207" spans="1:23" ht="25.2" thickBot="1" x14ac:dyDescent="0.35">
      <c r="A207" s="184" t="s">
        <v>0</v>
      </c>
      <c r="B207" s="307" t="s">
        <v>873</v>
      </c>
      <c r="C207" s="308"/>
      <c r="D207" s="308"/>
      <c r="E207" s="308"/>
      <c r="F207" s="308"/>
      <c r="G207" s="308"/>
      <c r="H207" s="308"/>
      <c r="I207" s="308"/>
      <c r="J207" s="309"/>
      <c r="K207" s="185"/>
    </row>
    <row r="208" spans="1:23" ht="16.2" thickBot="1" x14ac:dyDescent="0.35">
      <c r="A208" s="184"/>
      <c r="B208" s="310">
        <v>45658</v>
      </c>
      <c r="C208" s="311"/>
      <c r="D208" s="311"/>
      <c r="E208" s="311"/>
      <c r="F208" s="311"/>
      <c r="G208" s="311"/>
      <c r="H208" s="311"/>
      <c r="I208" s="311"/>
      <c r="J208" s="312"/>
      <c r="K208" s="185"/>
    </row>
    <row r="209" spans="1:23" ht="16.2" thickBot="1" x14ac:dyDescent="0.35">
      <c r="A209" s="184"/>
      <c r="B209" s="313" t="s">
        <v>949</v>
      </c>
      <c r="C209" s="314"/>
      <c r="D209" s="314"/>
      <c r="E209" s="314"/>
      <c r="F209" s="314"/>
      <c r="G209" s="314"/>
      <c r="H209" s="314"/>
      <c r="I209" s="314"/>
      <c r="J209" s="315"/>
      <c r="K209" s="185"/>
    </row>
    <row r="210" spans="1:23" ht="15" thickBot="1" x14ac:dyDescent="0.35">
      <c r="A210" s="208"/>
      <c r="B210" s="186" t="s">
        <v>876</v>
      </c>
      <c r="C210" s="187" t="s">
        <v>1</v>
      </c>
      <c r="D210" s="188" t="s">
        <v>2</v>
      </c>
      <c r="E210" s="188" t="s">
        <v>3</v>
      </c>
      <c r="F210" s="189" t="s">
        <v>4</v>
      </c>
      <c r="G210" s="189" t="s">
        <v>5</v>
      </c>
      <c r="H210" s="260" t="s">
        <v>720</v>
      </c>
      <c r="I210" s="189" t="s">
        <v>6</v>
      </c>
      <c r="J210" s="266" t="s">
        <v>7</v>
      </c>
      <c r="K210" s="209"/>
    </row>
    <row r="211" spans="1:23" x14ac:dyDescent="0.3">
      <c r="A211" s="184"/>
      <c r="B211" s="214">
        <v>1</v>
      </c>
      <c r="C211" s="215">
        <v>45659</v>
      </c>
      <c r="D211" s="216" t="s">
        <v>16</v>
      </c>
      <c r="E211" s="256" t="s">
        <v>974</v>
      </c>
      <c r="F211" s="256">
        <v>3100</v>
      </c>
      <c r="G211" s="256">
        <v>3215</v>
      </c>
      <c r="H211" s="256">
        <f>3215-3100</f>
        <v>115</v>
      </c>
      <c r="I211" s="218">
        <v>5</v>
      </c>
      <c r="J211" s="273">
        <f>I211*H211</f>
        <v>575</v>
      </c>
      <c r="K211" s="185"/>
      <c r="V211" s="183">
        <f t="shared" ref="V211:V233" si="16">IF($J211&gt;0,1,0)</f>
        <v>1</v>
      </c>
      <c r="W211" s="183">
        <f t="shared" ref="W211:W233" si="17">IF($J211&lt;0,1,0)</f>
        <v>0</v>
      </c>
    </row>
    <row r="212" spans="1:23" x14ac:dyDescent="0.3">
      <c r="A212" s="184"/>
      <c r="B212" s="194">
        <v>2</v>
      </c>
      <c r="C212" s="195">
        <v>45660</v>
      </c>
      <c r="D212" s="196" t="s">
        <v>16</v>
      </c>
      <c r="E212" s="222" t="s">
        <v>962</v>
      </c>
      <c r="F212" s="222">
        <v>3060</v>
      </c>
      <c r="G212" s="222">
        <v>3166</v>
      </c>
      <c r="H212" s="222">
        <f>3166-3060</f>
        <v>106</v>
      </c>
      <c r="I212" s="218">
        <v>5</v>
      </c>
      <c r="J212" s="268">
        <f t="shared" ref="J212:J231" si="18">I212*H212</f>
        <v>530</v>
      </c>
      <c r="K212" s="185"/>
      <c r="V212" s="183">
        <f t="shared" si="16"/>
        <v>1</v>
      </c>
      <c r="W212" s="183">
        <f t="shared" si="17"/>
        <v>0</v>
      </c>
    </row>
    <row r="213" spans="1:23" x14ac:dyDescent="0.3">
      <c r="A213" s="184"/>
      <c r="B213" s="194">
        <v>3</v>
      </c>
      <c r="C213" s="195">
        <v>45663</v>
      </c>
      <c r="D213" s="196" t="s">
        <v>16</v>
      </c>
      <c r="E213" s="222" t="s">
        <v>962</v>
      </c>
      <c r="F213" s="222">
        <v>2860</v>
      </c>
      <c r="G213" s="222">
        <v>2973</v>
      </c>
      <c r="H213" s="222">
        <f>2973-2860</f>
        <v>113</v>
      </c>
      <c r="I213" s="218">
        <v>5</v>
      </c>
      <c r="J213" s="268">
        <f t="shared" si="18"/>
        <v>565</v>
      </c>
      <c r="K213" s="185"/>
      <c r="V213" s="183">
        <f t="shared" si="16"/>
        <v>1</v>
      </c>
      <c r="W213" s="183">
        <f t="shared" si="17"/>
        <v>0</v>
      </c>
    </row>
    <row r="214" spans="1:23" x14ac:dyDescent="0.3">
      <c r="A214" s="184"/>
      <c r="B214" s="194">
        <v>4</v>
      </c>
      <c r="C214" s="195">
        <v>45664</v>
      </c>
      <c r="D214" s="196" t="s">
        <v>16</v>
      </c>
      <c r="E214" s="222" t="s">
        <v>952</v>
      </c>
      <c r="F214" s="222">
        <v>2850</v>
      </c>
      <c r="G214" s="222">
        <v>2954</v>
      </c>
      <c r="H214" s="222">
        <f>2954-2850</f>
        <v>104</v>
      </c>
      <c r="I214" s="218">
        <v>5</v>
      </c>
      <c r="J214" s="268">
        <f t="shared" si="18"/>
        <v>520</v>
      </c>
      <c r="K214" s="185"/>
      <c r="V214" s="183">
        <f t="shared" si="16"/>
        <v>1</v>
      </c>
      <c r="W214" s="183">
        <f t="shared" si="17"/>
        <v>0</v>
      </c>
    </row>
    <row r="215" spans="1:23" x14ac:dyDescent="0.3">
      <c r="A215" s="184"/>
      <c r="B215" s="194">
        <v>5</v>
      </c>
      <c r="C215" s="195">
        <v>45665</v>
      </c>
      <c r="D215" s="196" t="s">
        <v>16</v>
      </c>
      <c r="E215" s="222" t="s">
        <v>952</v>
      </c>
      <c r="F215" s="222">
        <v>2870</v>
      </c>
      <c r="G215" s="222">
        <v>2670</v>
      </c>
      <c r="H215" s="222">
        <v>-200</v>
      </c>
      <c r="I215" s="218">
        <v>5</v>
      </c>
      <c r="J215" s="268">
        <f t="shared" si="18"/>
        <v>-1000</v>
      </c>
      <c r="K215" s="185"/>
      <c r="V215" s="183">
        <f t="shared" si="16"/>
        <v>0</v>
      </c>
      <c r="W215" s="183">
        <f t="shared" si="17"/>
        <v>1</v>
      </c>
    </row>
    <row r="216" spans="1:23" x14ac:dyDescent="0.3">
      <c r="A216" s="184"/>
      <c r="B216" s="194">
        <v>6</v>
      </c>
      <c r="C216" s="195">
        <v>45666</v>
      </c>
      <c r="D216" s="196" t="s">
        <v>16</v>
      </c>
      <c r="E216" s="222" t="s">
        <v>976</v>
      </c>
      <c r="F216" s="222">
        <v>2940</v>
      </c>
      <c r="G216" s="222">
        <v>3340</v>
      </c>
      <c r="H216" s="222">
        <f>3340-2940</f>
        <v>400</v>
      </c>
      <c r="I216" s="218">
        <v>5</v>
      </c>
      <c r="J216" s="268">
        <f t="shared" si="18"/>
        <v>2000</v>
      </c>
      <c r="K216" s="185"/>
      <c r="V216" s="183">
        <f t="shared" si="16"/>
        <v>1</v>
      </c>
      <c r="W216" s="183">
        <f t="shared" si="17"/>
        <v>0</v>
      </c>
    </row>
    <row r="217" spans="1:23" x14ac:dyDescent="0.3">
      <c r="A217" s="184"/>
      <c r="B217" s="194">
        <v>7</v>
      </c>
      <c r="C217" s="195">
        <v>45667</v>
      </c>
      <c r="D217" s="196" t="s">
        <v>16</v>
      </c>
      <c r="E217" s="222" t="s">
        <v>978</v>
      </c>
      <c r="F217" s="222">
        <v>3000</v>
      </c>
      <c r="G217" s="222">
        <v>2800</v>
      </c>
      <c r="H217" s="274">
        <v>-200</v>
      </c>
      <c r="I217" s="218">
        <v>5</v>
      </c>
      <c r="J217" s="268">
        <f t="shared" si="18"/>
        <v>-1000</v>
      </c>
      <c r="K217" s="185"/>
      <c r="V217" s="183">
        <f t="shared" si="16"/>
        <v>0</v>
      </c>
      <c r="W217" s="183">
        <f t="shared" si="17"/>
        <v>1</v>
      </c>
    </row>
    <row r="218" spans="1:23" x14ac:dyDescent="0.3">
      <c r="A218" s="184"/>
      <c r="B218" s="194">
        <v>8</v>
      </c>
      <c r="C218" s="195">
        <v>45671</v>
      </c>
      <c r="D218" s="196" t="s">
        <v>16</v>
      </c>
      <c r="E218" s="222" t="s">
        <v>952</v>
      </c>
      <c r="F218" s="222">
        <v>3020</v>
      </c>
      <c r="G218" s="222">
        <v>3211</v>
      </c>
      <c r="H218" s="222">
        <f>3211-3020</f>
        <v>191</v>
      </c>
      <c r="I218" s="218">
        <v>5</v>
      </c>
      <c r="J218" s="268">
        <f t="shared" si="18"/>
        <v>955</v>
      </c>
      <c r="K218" s="185"/>
      <c r="V218" s="183">
        <f t="shared" si="16"/>
        <v>1</v>
      </c>
      <c r="W218" s="183">
        <f t="shared" si="17"/>
        <v>0</v>
      </c>
    </row>
    <row r="219" spans="1:23" x14ac:dyDescent="0.3">
      <c r="A219" s="184"/>
      <c r="B219" s="194">
        <v>9</v>
      </c>
      <c r="C219" s="195">
        <v>45672</v>
      </c>
      <c r="D219" s="196" t="s">
        <v>16</v>
      </c>
      <c r="E219" s="222" t="s">
        <v>952</v>
      </c>
      <c r="F219" s="222">
        <v>2580</v>
      </c>
      <c r="G219" s="222">
        <v>2683</v>
      </c>
      <c r="H219" s="222">
        <f>2683-2580</f>
        <v>103</v>
      </c>
      <c r="I219" s="218">
        <v>5</v>
      </c>
      <c r="J219" s="268">
        <f t="shared" si="18"/>
        <v>515</v>
      </c>
      <c r="K219" s="185"/>
      <c r="V219" s="183">
        <f t="shared" si="16"/>
        <v>1</v>
      </c>
      <c r="W219" s="183">
        <f t="shared" si="17"/>
        <v>0</v>
      </c>
    </row>
    <row r="220" spans="1:23" x14ac:dyDescent="0.3">
      <c r="A220" s="184"/>
      <c r="B220" s="194">
        <v>10</v>
      </c>
      <c r="C220" s="195">
        <v>45673</v>
      </c>
      <c r="D220" s="196" t="s">
        <v>16</v>
      </c>
      <c r="E220" s="222" t="s">
        <v>985</v>
      </c>
      <c r="F220" s="222">
        <v>2990</v>
      </c>
      <c r="G220" s="222">
        <v>3150</v>
      </c>
      <c r="H220" s="222">
        <f>3150-2990</f>
        <v>160</v>
      </c>
      <c r="I220" s="218">
        <v>5</v>
      </c>
      <c r="J220" s="268">
        <f t="shared" si="18"/>
        <v>800</v>
      </c>
      <c r="K220" s="185"/>
      <c r="V220" s="183">
        <f t="shared" si="16"/>
        <v>1</v>
      </c>
      <c r="W220" s="183">
        <f t="shared" si="17"/>
        <v>0</v>
      </c>
    </row>
    <row r="221" spans="1:23" x14ac:dyDescent="0.3">
      <c r="A221" s="184"/>
      <c r="B221" s="194">
        <v>11</v>
      </c>
      <c r="C221" s="195">
        <v>45674</v>
      </c>
      <c r="D221" s="196" t="s">
        <v>16</v>
      </c>
      <c r="E221" s="222" t="s">
        <v>951</v>
      </c>
      <c r="F221" s="222">
        <v>3250</v>
      </c>
      <c r="G221" s="222">
        <v>3450</v>
      </c>
      <c r="H221" s="274">
        <v>200</v>
      </c>
      <c r="I221" s="218">
        <v>5</v>
      </c>
      <c r="J221" s="268">
        <f t="shared" si="18"/>
        <v>1000</v>
      </c>
      <c r="K221" s="185"/>
      <c r="V221" s="183">
        <f t="shared" si="16"/>
        <v>1</v>
      </c>
      <c r="W221" s="183">
        <f t="shared" si="17"/>
        <v>0</v>
      </c>
    </row>
    <row r="222" spans="1:23" x14ac:dyDescent="0.3">
      <c r="A222" s="184"/>
      <c r="B222" s="194">
        <v>12</v>
      </c>
      <c r="C222" s="195">
        <v>45677</v>
      </c>
      <c r="D222" s="196" t="s">
        <v>16</v>
      </c>
      <c r="E222" s="222" t="s">
        <v>976</v>
      </c>
      <c r="F222" s="222">
        <v>3200</v>
      </c>
      <c r="G222" s="222">
        <v>3000</v>
      </c>
      <c r="H222" s="274">
        <v>-200</v>
      </c>
      <c r="I222" s="218">
        <v>5</v>
      </c>
      <c r="J222" s="268">
        <f t="shared" si="18"/>
        <v>-1000</v>
      </c>
      <c r="K222" s="185"/>
      <c r="V222" s="183">
        <f t="shared" si="16"/>
        <v>0</v>
      </c>
      <c r="W222" s="183">
        <f t="shared" si="17"/>
        <v>1</v>
      </c>
    </row>
    <row r="223" spans="1:23" x14ac:dyDescent="0.3">
      <c r="A223" s="184"/>
      <c r="B223" s="194">
        <v>13</v>
      </c>
      <c r="C223" s="195">
        <v>45678</v>
      </c>
      <c r="D223" s="196" t="s">
        <v>16</v>
      </c>
      <c r="E223" s="222" t="s">
        <v>989</v>
      </c>
      <c r="F223" s="222">
        <v>2800</v>
      </c>
      <c r="G223" s="222">
        <v>2950</v>
      </c>
      <c r="H223" s="274">
        <f>2950-2800</f>
        <v>150</v>
      </c>
      <c r="I223" s="218">
        <v>5</v>
      </c>
      <c r="J223" s="268">
        <f t="shared" si="18"/>
        <v>750</v>
      </c>
      <c r="K223" s="185"/>
      <c r="V223" s="183">
        <f t="shared" si="16"/>
        <v>1</v>
      </c>
      <c r="W223" s="183">
        <f t="shared" si="17"/>
        <v>0</v>
      </c>
    </row>
    <row r="224" spans="1:23" x14ac:dyDescent="0.3">
      <c r="A224" s="184"/>
      <c r="B224" s="194">
        <v>14</v>
      </c>
      <c r="C224" s="195">
        <v>45679</v>
      </c>
      <c r="D224" s="196" t="s">
        <v>16</v>
      </c>
      <c r="E224" s="222" t="s">
        <v>951</v>
      </c>
      <c r="F224" s="222">
        <v>3090</v>
      </c>
      <c r="G224" s="222">
        <v>3342</v>
      </c>
      <c r="H224" s="274">
        <f>3342-3090</f>
        <v>252</v>
      </c>
      <c r="I224" s="218">
        <v>5</v>
      </c>
      <c r="J224" s="268">
        <f t="shared" si="18"/>
        <v>1260</v>
      </c>
      <c r="K224" s="185"/>
      <c r="V224" s="183">
        <f t="shared" si="16"/>
        <v>1</v>
      </c>
      <c r="W224" s="183">
        <f t="shared" si="17"/>
        <v>0</v>
      </c>
    </row>
    <row r="225" spans="1:23" x14ac:dyDescent="0.3">
      <c r="A225" s="184"/>
      <c r="B225" s="194">
        <v>15</v>
      </c>
      <c r="C225" s="195">
        <v>45680</v>
      </c>
      <c r="D225" s="196" t="s">
        <v>16</v>
      </c>
      <c r="E225" s="196" t="s">
        <v>989</v>
      </c>
      <c r="F225" s="222">
        <v>2830</v>
      </c>
      <c r="G225" s="222">
        <v>3140</v>
      </c>
      <c r="H225" s="222">
        <f>3140-2830</f>
        <v>310</v>
      </c>
      <c r="I225" s="218">
        <v>5</v>
      </c>
      <c r="J225" s="268">
        <f t="shared" si="18"/>
        <v>1550</v>
      </c>
      <c r="K225" s="185"/>
      <c r="V225" s="183">
        <f t="shared" si="16"/>
        <v>1</v>
      </c>
      <c r="W225" s="183">
        <f t="shared" si="17"/>
        <v>0</v>
      </c>
    </row>
    <row r="226" spans="1:23" x14ac:dyDescent="0.3">
      <c r="A226" s="184"/>
      <c r="B226" s="194">
        <v>16</v>
      </c>
      <c r="C226" s="195">
        <v>45681</v>
      </c>
      <c r="D226" s="196" t="s">
        <v>16</v>
      </c>
      <c r="E226" s="196" t="s">
        <v>989</v>
      </c>
      <c r="F226" s="222">
        <v>2550</v>
      </c>
      <c r="G226" s="274">
        <v>2690</v>
      </c>
      <c r="H226" s="274">
        <f>2690-2550</f>
        <v>140</v>
      </c>
      <c r="I226" s="218">
        <v>5</v>
      </c>
      <c r="J226" s="268">
        <f t="shared" si="18"/>
        <v>700</v>
      </c>
      <c r="K226" s="185"/>
      <c r="V226" s="183">
        <f t="shared" si="16"/>
        <v>1</v>
      </c>
      <c r="W226" s="183">
        <f t="shared" si="17"/>
        <v>0</v>
      </c>
    </row>
    <row r="227" spans="1:23" x14ac:dyDescent="0.3">
      <c r="A227" s="184"/>
      <c r="B227" s="194">
        <v>17</v>
      </c>
      <c r="C227" s="195">
        <v>45684</v>
      </c>
      <c r="D227" s="196" t="s">
        <v>16</v>
      </c>
      <c r="E227" s="196" t="s">
        <v>952</v>
      </c>
      <c r="F227" s="222">
        <v>2700</v>
      </c>
      <c r="G227" s="222">
        <v>2500</v>
      </c>
      <c r="H227" s="263">
        <v>-200</v>
      </c>
      <c r="I227" s="218">
        <v>5</v>
      </c>
      <c r="J227" s="268">
        <f t="shared" si="18"/>
        <v>-1000</v>
      </c>
      <c r="K227" s="185"/>
      <c r="V227" s="183">
        <f t="shared" si="16"/>
        <v>0</v>
      </c>
      <c r="W227" s="183">
        <f t="shared" si="17"/>
        <v>1</v>
      </c>
    </row>
    <row r="228" spans="1:23" x14ac:dyDescent="0.3">
      <c r="A228" s="184"/>
      <c r="B228" s="194">
        <v>18</v>
      </c>
      <c r="C228" s="195">
        <v>45685</v>
      </c>
      <c r="D228" s="196" t="s">
        <v>16</v>
      </c>
      <c r="E228" s="196" t="s">
        <v>993</v>
      </c>
      <c r="F228" s="222">
        <v>2400</v>
      </c>
      <c r="G228" s="222">
        <v>2200</v>
      </c>
      <c r="H228" s="274">
        <v>-200</v>
      </c>
      <c r="I228" s="218">
        <v>5</v>
      </c>
      <c r="J228" s="268">
        <f t="shared" si="18"/>
        <v>-1000</v>
      </c>
      <c r="K228" s="185"/>
      <c r="V228" s="183">
        <f t="shared" si="16"/>
        <v>0</v>
      </c>
      <c r="W228" s="183">
        <f t="shared" si="17"/>
        <v>1</v>
      </c>
    </row>
    <row r="229" spans="1:23" x14ac:dyDescent="0.3">
      <c r="A229" s="184"/>
      <c r="B229" s="194">
        <v>19</v>
      </c>
      <c r="C229" s="195">
        <v>45686</v>
      </c>
      <c r="D229" s="196" t="s">
        <v>16</v>
      </c>
      <c r="E229" s="196" t="s">
        <v>952</v>
      </c>
      <c r="F229" s="222">
        <v>2280</v>
      </c>
      <c r="G229" s="222">
        <v>2280</v>
      </c>
      <c r="H229" s="274">
        <v>0</v>
      </c>
      <c r="I229" s="218">
        <v>5</v>
      </c>
      <c r="J229" s="268">
        <f t="shared" si="18"/>
        <v>0</v>
      </c>
      <c r="K229" s="185"/>
      <c r="V229" s="183">
        <f t="shared" si="16"/>
        <v>0</v>
      </c>
      <c r="W229" s="183">
        <f t="shared" si="17"/>
        <v>0</v>
      </c>
    </row>
    <row r="230" spans="1:23" x14ac:dyDescent="0.3">
      <c r="A230" s="184"/>
      <c r="B230" s="194">
        <v>20</v>
      </c>
      <c r="C230" s="195">
        <v>45687</v>
      </c>
      <c r="D230" s="196" t="s">
        <v>16</v>
      </c>
      <c r="E230" s="222" t="s">
        <v>989</v>
      </c>
      <c r="F230" s="222">
        <v>2040</v>
      </c>
      <c r="G230" s="222">
        <v>2200</v>
      </c>
      <c r="H230" s="274">
        <f>2200-2040</f>
        <v>160</v>
      </c>
      <c r="I230" s="218">
        <v>5</v>
      </c>
      <c r="J230" s="268">
        <f t="shared" si="18"/>
        <v>800</v>
      </c>
      <c r="K230" s="185"/>
      <c r="V230" s="183">
        <f t="shared" si="16"/>
        <v>1</v>
      </c>
      <c r="W230" s="183">
        <f t="shared" si="17"/>
        <v>0</v>
      </c>
    </row>
    <row r="231" spans="1:23" x14ac:dyDescent="0.3">
      <c r="A231" s="184"/>
      <c r="B231" s="194">
        <v>21</v>
      </c>
      <c r="C231" s="195">
        <v>45688</v>
      </c>
      <c r="D231" s="196" t="s">
        <v>16</v>
      </c>
      <c r="E231" s="222" t="s">
        <v>989</v>
      </c>
      <c r="F231" s="222">
        <v>1750</v>
      </c>
      <c r="G231" s="222">
        <v>17550</v>
      </c>
      <c r="H231" s="274">
        <v>-200</v>
      </c>
      <c r="I231" s="218">
        <v>5</v>
      </c>
      <c r="J231" s="268">
        <f t="shared" si="18"/>
        <v>-1000</v>
      </c>
      <c r="K231" s="185"/>
      <c r="V231" s="183">
        <f t="shared" si="16"/>
        <v>0</v>
      </c>
      <c r="W231" s="183">
        <f t="shared" si="17"/>
        <v>1</v>
      </c>
    </row>
    <row r="232" spans="1:23" x14ac:dyDescent="0.3">
      <c r="A232" s="184"/>
      <c r="B232" s="194">
        <v>22</v>
      </c>
      <c r="C232" s="195"/>
      <c r="D232" s="196"/>
      <c r="E232" s="222"/>
      <c r="F232" s="222"/>
      <c r="G232" s="222"/>
      <c r="H232" s="222"/>
      <c r="I232" s="218"/>
      <c r="J232" s="268">
        <f>I232*H232</f>
        <v>0</v>
      </c>
      <c r="K232" s="185"/>
      <c r="V232" s="183">
        <f t="shared" si="16"/>
        <v>0</v>
      </c>
      <c r="W232" s="183">
        <f t="shared" si="17"/>
        <v>0</v>
      </c>
    </row>
    <row r="233" spans="1:23" ht="15" thickBot="1" x14ac:dyDescent="0.35">
      <c r="A233" s="184" t="s">
        <v>862</v>
      </c>
      <c r="B233" s="199">
        <v>23</v>
      </c>
      <c r="C233" s="200"/>
      <c r="D233" s="201"/>
      <c r="E233" s="201"/>
      <c r="F233" s="284"/>
      <c r="G233" s="284"/>
      <c r="H233" s="284"/>
      <c r="I233" s="285"/>
      <c r="J233" s="269">
        <f>I233*H233</f>
        <v>0</v>
      </c>
      <c r="K233" s="185"/>
      <c r="V233" s="183">
        <f t="shared" si="16"/>
        <v>0</v>
      </c>
      <c r="W233" s="183">
        <f t="shared" si="17"/>
        <v>0</v>
      </c>
    </row>
    <row r="234" spans="1:23" ht="24" thickBot="1" x14ac:dyDescent="0.5">
      <c r="A234" s="184"/>
      <c r="B234" s="304" t="s">
        <v>879</v>
      </c>
      <c r="C234" s="305"/>
      <c r="D234" s="305"/>
      <c r="E234" s="305"/>
      <c r="F234" s="305"/>
      <c r="G234" s="305"/>
      <c r="H234" s="306"/>
      <c r="I234" s="203" t="s">
        <v>880</v>
      </c>
      <c r="J234" s="204">
        <f>SUM(J211:J233)</f>
        <v>6520</v>
      </c>
      <c r="K234" s="185"/>
      <c r="V234" s="183">
        <f>SUM(V211:V233)</f>
        <v>14</v>
      </c>
      <c r="W234" s="183">
        <f>SUM(W211:W233)</f>
        <v>6</v>
      </c>
    </row>
    <row r="235" spans="1:23" ht="15" thickBot="1" x14ac:dyDescent="0.35">
      <c r="A235" s="205"/>
      <c r="B235" s="286"/>
      <c r="C235" s="286"/>
      <c r="D235" s="286"/>
      <c r="E235" s="286"/>
      <c r="F235" s="286"/>
      <c r="G235" s="286"/>
      <c r="H235" s="287"/>
      <c r="I235" s="286"/>
      <c r="J235" s="287"/>
      <c r="K235" s="207"/>
    </row>
  </sheetData>
  <mergeCells count="74">
    <mergeCell ref="B203:H203"/>
    <mergeCell ref="B207:J207"/>
    <mergeCell ref="B208:J208"/>
    <mergeCell ref="B209:J209"/>
    <mergeCell ref="B234:H234"/>
    <mergeCell ref="B178:J178"/>
    <mergeCell ref="B104:H104"/>
    <mergeCell ref="B108:J108"/>
    <mergeCell ref="B109:J109"/>
    <mergeCell ref="B110:J110"/>
    <mergeCell ref="B141:H141"/>
    <mergeCell ref="B145:J145"/>
    <mergeCell ref="B146:J146"/>
    <mergeCell ref="B147:J147"/>
    <mergeCell ref="B172:H172"/>
    <mergeCell ref="B176:J176"/>
    <mergeCell ref="B177:J177"/>
    <mergeCell ref="P14:P15"/>
    <mergeCell ref="Q14:Q15"/>
    <mergeCell ref="B58:J58"/>
    <mergeCell ref="M16:M17"/>
    <mergeCell ref="N16:N17"/>
    <mergeCell ref="O16:O17"/>
    <mergeCell ref="P16:P17"/>
    <mergeCell ref="M18:O20"/>
    <mergeCell ref="P18:R20"/>
    <mergeCell ref="B52:H52"/>
    <mergeCell ref="B56:J56"/>
    <mergeCell ref="B57:J57"/>
    <mergeCell ref="Q16:Q17"/>
    <mergeCell ref="R16:R17"/>
    <mergeCell ref="R14:R15"/>
    <mergeCell ref="M14:M15"/>
    <mergeCell ref="M12:M13"/>
    <mergeCell ref="N12:N13"/>
    <mergeCell ref="O12:O13"/>
    <mergeCell ref="P12:P13"/>
    <mergeCell ref="Q12:Q13"/>
    <mergeCell ref="N10:N11"/>
    <mergeCell ref="O10:O11"/>
    <mergeCell ref="P10:P11"/>
    <mergeCell ref="Q10:Q11"/>
    <mergeCell ref="R10:R11"/>
    <mergeCell ref="N14:N15"/>
    <mergeCell ref="O14:O15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12:R13"/>
    <mergeCell ref="M10:M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F9382D3B-B78A-453F-8E77-7E9D305D474E}"/>
    <hyperlink ref="B104" r:id="rId2" xr:uid="{BD811E13-519A-43C1-B284-1743CFED12EF}"/>
    <hyperlink ref="M4:M5" location="'JAN 2025'!A1" display="BULLION" xr:uid="{F653AC07-28FE-438C-85E0-3674E3B4CCE8}"/>
    <hyperlink ref="B141" r:id="rId3" xr:uid="{E0943198-F92C-4DE3-833B-2789D3BF9534}"/>
    <hyperlink ref="M8:M9" location="'JAN 2025'!A86" display="BASE METAL" xr:uid="{E0B8D708-AC93-444B-AE1D-0734E4348AF7}"/>
    <hyperlink ref="M1" location="MASTER!A1" display="Back" xr:uid="{C63BFE1F-3792-47EA-ACB0-221E2C70F2E4}"/>
    <hyperlink ref="M6:M7" location="'JAN 2025'!A55" display="ENERGY" xr:uid="{C68BAD7F-1F26-4EDC-83DC-129553891B6C}"/>
    <hyperlink ref="B172" r:id="rId4" xr:uid="{0869736B-D87B-44D4-B488-126CF2BC5DF4}"/>
    <hyperlink ref="M10:M11" location="'JAN 2025'!A117" display="CRUDEOIL OPTION" xr:uid="{10328A4D-96D3-4581-A733-AE7F42D0574A}"/>
    <hyperlink ref="B203" r:id="rId5" xr:uid="{EF28B4B7-D355-4029-9056-71E0E5855A4A}"/>
    <hyperlink ref="B234" r:id="rId6" xr:uid="{6710ABB0-650E-4A0B-A4D5-953F1CDEEBD8}"/>
    <hyperlink ref="M12:M13" location="'JAN 2025'!A202" display="GOLDM OPTION" xr:uid="{098857F6-7C09-4CB1-8954-CA72D77D935B}"/>
    <hyperlink ref="M14:M15" location="'JAN 2025'!A233" display="SILVERM OPTION" xr:uid="{F69371BA-1C06-4B30-9432-9C8A6618018C}"/>
  </hyperlinks>
  <pageMargins left="0" right="0" top="0" bottom="0" header="0" footer="0"/>
  <pageSetup paperSize="9" orientation="portrait" r:id="rId7"/>
  <drawing r:id="rId8"/>
  <legacyDrawing r:id="rId9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BAD2C-0AEB-4037-B204-2B8B8821734E}">
  <dimension ref="A1:X18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8.441406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6" style="183" customWidth="1"/>
    <col min="14" max="14" width="11" style="183" customWidth="1"/>
    <col min="15" max="17" width="9.109375" style="183"/>
    <col min="18" max="18" width="10.6640625" style="183" bestFit="1" customWidth="1"/>
    <col min="19" max="20" width="9.109375" style="183" customWidth="1"/>
    <col min="21" max="21" width="9.109375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25" width="9.109375" style="183" customWidth="1"/>
    <col min="26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45689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950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960</v>
      </c>
      <c r="N4" s="354">
        <f>COUNT(C6:C28)</f>
        <v>19</v>
      </c>
      <c r="O4" s="369">
        <f>V29</f>
        <v>16</v>
      </c>
      <c r="P4" s="369">
        <f>W29</f>
        <v>3</v>
      </c>
      <c r="Q4" s="349">
        <f>N4-O4-P4</f>
        <v>0</v>
      </c>
      <c r="R4" s="343">
        <f>O4/N4</f>
        <v>0.84210526315789469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1017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45691</v>
      </c>
      <c r="D6" s="192" t="s">
        <v>16</v>
      </c>
      <c r="E6" s="192" t="s">
        <v>1000</v>
      </c>
      <c r="F6" s="193">
        <v>920</v>
      </c>
      <c r="G6" s="193">
        <v>1120</v>
      </c>
      <c r="H6" s="192">
        <f>1120-920</f>
        <v>200</v>
      </c>
      <c r="I6" s="193">
        <v>10</v>
      </c>
      <c r="J6" s="267">
        <f>H6*I6</f>
        <v>2000</v>
      </c>
      <c r="K6" s="185"/>
      <c r="M6" s="364" t="s">
        <v>959</v>
      </c>
      <c r="N6" s="347">
        <f>COUNT(C37:C59)</f>
        <v>19</v>
      </c>
      <c r="O6" s="348">
        <f>V60</f>
        <v>13</v>
      </c>
      <c r="P6" s="348">
        <f>W60</f>
        <v>6</v>
      </c>
      <c r="Q6" s="349">
        <f>N6-O6-P6</f>
        <v>0</v>
      </c>
      <c r="R6" s="345">
        <f t="shared" ref="R6" si="0">O6/N6</f>
        <v>0.68421052631578949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45692</v>
      </c>
      <c r="D7" s="196" t="s">
        <v>16</v>
      </c>
      <c r="E7" s="196" t="s">
        <v>1001</v>
      </c>
      <c r="F7" s="197">
        <v>980</v>
      </c>
      <c r="G7" s="197">
        <v>1080</v>
      </c>
      <c r="H7" s="196">
        <f>1080-980</f>
        <v>100</v>
      </c>
      <c r="I7" s="197">
        <v>10</v>
      </c>
      <c r="J7" s="268">
        <f t="shared" ref="J7:J28" si="1">H7*I7</f>
        <v>1000</v>
      </c>
      <c r="K7" s="185"/>
      <c r="M7" s="365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45693</v>
      </c>
      <c r="D8" s="196" t="s">
        <v>16</v>
      </c>
      <c r="E8" s="196" t="s">
        <v>1008</v>
      </c>
      <c r="F8" s="197">
        <v>980</v>
      </c>
      <c r="G8" s="197">
        <v>1180</v>
      </c>
      <c r="H8" s="196">
        <f>1180-980</f>
        <v>200</v>
      </c>
      <c r="I8" s="197">
        <v>10</v>
      </c>
      <c r="J8" s="268">
        <f t="shared" si="1"/>
        <v>2000</v>
      </c>
      <c r="K8" s="185"/>
      <c r="M8" s="362" t="s">
        <v>125</v>
      </c>
      <c r="N8" s="347">
        <f>COUNT(C68:C90)</f>
        <v>19</v>
      </c>
      <c r="O8" s="348">
        <f>V91</f>
        <v>17</v>
      </c>
      <c r="P8" s="348">
        <f>W91</f>
        <v>2</v>
      </c>
      <c r="Q8" s="349">
        <f>N8-O8-P8</f>
        <v>0</v>
      </c>
      <c r="R8" s="345">
        <f>O8/N8</f>
        <v>0.89473684210526316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45694</v>
      </c>
      <c r="D9" s="196" t="s">
        <v>16</v>
      </c>
      <c r="E9" s="196" t="s">
        <v>1002</v>
      </c>
      <c r="F9" s="197">
        <v>1130</v>
      </c>
      <c r="G9" s="197">
        <v>1300</v>
      </c>
      <c r="H9" s="196">
        <f>1300-1130</f>
        <v>170</v>
      </c>
      <c r="I9" s="197">
        <v>10</v>
      </c>
      <c r="J9" s="268">
        <f t="shared" si="1"/>
        <v>1700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45695</v>
      </c>
      <c r="D10" s="196" t="s">
        <v>16</v>
      </c>
      <c r="E10" s="196" t="s">
        <v>1008</v>
      </c>
      <c r="F10" s="197">
        <v>1040</v>
      </c>
      <c r="G10" s="197">
        <v>1140</v>
      </c>
      <c r="H10" s="196">
        <f>1140-1040</f>
        <v>100</v>
      </c>
      <c r="I10" s="197">
        <v>10</v>
      </c>
      <c r="J10" s="268">
        <f t="shared" si="1"/>
        <v>1000</v>
      </c>
      <c r="K10" s="185"/>
      <c r="M10" s="364" t="s">
        <v>906</v>
      </c>
      <c r="N10" s="347">
        <f>COUNT(C99:C121)</f>
        <v>19</v>
      </c>
      <c r="O10" s="348">
        <f>V122</f>
        <v>16</v>
      </c>
      <c r="P10" s="348">
        <f>W122</f>
        <v>3</v>
      </c>
      <c r="Q10" s="349">
        <f>N10-O10-P10</f>
        <v>0</v>
      </c>
      <c r="R10" s="345">
        <f>O10/N10</f>
        <v>0.84210526315789469</v>
      </c>
      <c r="V10" s="183">
        <f t="shared" si="2"/>
        <v>1</v>
      </c>
      <c r="W10" s="183">
        <f t="shared" si="3"/>
        <v>0</v>
      </c>
    </row>
    <row r="11" spans="1:23" x14ac:dyDescent="0.3">
      <c r="A11" s="184"/>
      <c r="B11" s="194">
        <v>6</v>
      </c>
      <c r="C11" s="195">
        <v>45698</v>
      </c>
      <c r="D11" s="196" t="s">
        <v>16</v>
      </c>
      <c r="E11" s="196" t="s">
        <v>1003</v>
      </c>
      <c r="F11" s="197">
        <v>880</v>
      </c>
      <c r="G11" s="197">
        <v>780</v>
      </c>
      <c r="H11" s="196">
        <v>-100</v>
      </c>
      <c r="I11" s="197">
        <v>10</v>
      </c>
      <c r="J11" s="268">
        <f t="shared" si="1"/>
        <v>-1000</v>
      </c>
      <c r="K11" s="185"/>
      <c r="M11" s="365"/>
      <c r="N11" s="347"/>
      <c r="O11" s="348"/>
      <c r="P11" s="348"/>
      <c r="Q11" s="350"/>
      <c r="R11" s="345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45699</v>
      </c>
      <c r="D12" s="196" t="s">
        <v>16</v>
      </c>
      <c r="E12" s="196" t="s">
        <v>1003</v>
      </c>
      <c r="F12" s="197">
        <v>840</v>
      </c>
      <c r="G12" s="197">
        <v>1040</v>
      </c>
      <c r="H12" s="196">
        <f>1040-840</f>
        <v>200</v>
      </c>
      <c r="I12" s="197">
        <v>10</v>
      </c>
      <c r="J12" s="268">
        <f t="shared" si="1"/>
        <v>2000</v>
      </c>
      <c r="K12" s="185"/>
      <c r="M12" s="362" t="s">
        <v>998</v>
      </c>
      <c r="N12" s="347">
        <f>COUNT(C130:C152)</f>
        <v>19</v>
      </c>
      <c r="O12" s="348">
        <f>V153</f>
        <v>15</v>
      </c>
      <c r="P12" s="348">
        <f>W153</f>
        <v>4</v>
      </c>
      <c r="Q12" s="349">
        <f>N12-O12-P12</f>
        <v>0</v>
      </c>
      <c r="R12" s="345">
        <f>O12/N12</f>
        <v>0.78947368421052633</v>
      </c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45700</v>
      </c>
      <c r="D13" s="196" t="s">
        <v>16</v>
      </c>
      <c r="E13" s="196" t="s">
        <v>1011</v>
      </c>
      <c r="F13" s="197">
        <v>810</v>
      </c>
      <c r="G13" s="197">
        <v>861</v>
      </c>
      <c r="H13" s="196">
        <f>861-810</f>
        <v>51</v>
      </c>
      <c r="I13" s="197">
        <v>10</v>
      </c>
      <c r="J13" s="268">
        <f t="shared" si="1"/>
        <v>510</v>
      </c>
      <c r="K13" s="185"/>
      <c r="M13" s="362"/>
      <c r="N13" s="347"/>
      <c r="O13" s="348"/>
      <c r="P13" s="348"/>
      <c r="Q13" s="350"/>
      <c r="R13" s="345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45701</v>
      </c>
      <c r="D14" s="196" t="s">
        <v>16</v>
      </c>
      <c r="E14" s="196" t="s">
        <v>1011</v>
      </c>
      <c r="F14" s="197">
        <v>1080</v>
      </c>
      <c r="G14" s="197">
        <v>1180</v>
      </c>
      <c r="H14" s="196">
        <v>100</v>
      </c>
      <c r="I14" s="197">
        <v>10</v>
      </c>
      <c r="J14" s="268">
        <f t="shared" si="1"/>
        <v>1000</v>
      </c>
      <c r="K14" s="185"/>
      <c r="M14" s="364" t="s">
        <v>877</v>
      </c>
      <c r="N14" s="383">
        <f>COUNT(C161:C183)</f>
        <v>19</v>
      </c>
      <c r="O14" s="374">
        <f>V184</f>
        <v>15</v>
      </c>
      <c r="P14" s="374">
        <f>W184</f>
        <v>4</v>
      </c>
      <c r="Q14" s="366">
        <f>N14-O14-P14</f>
        <v>0</v>
      </c>
      <c r="R14" s="381">
        <f>O14/N14</f>
        <v>0.78947368421052633</v>
      </c>
      <c r="V14" s="183">
        <f t="shared" si="2"/>
        <v>1</v>
      </c>
      <c r="W14" s="183">
        <f t="shared" si="3"/>
        <v>0</v>
      </c>
    </row>
    <row r="15" spans="1:23" ht="15" thickBot="1" x14ac:dyDescent="0.35">
      <c r="A15" s="184"/>
      <c r="B15" s="194">
        <v>10</v>
      </c>
      <c r="C15" s="195">
        <v>45702</v>
      </c>
      <c r="D15" s="196" t="s">
        <v>16</v>
      </c>
      <c r="E15" s="196" t="s">
        <v>1013</v>
      </c>
      <c r="F15" s="197">
        <v>900</v>
      </c>
      <c r="G15" s="197">
        <v>1100</v>
      </c>
      <c r="H15" s="196">
        <v>100</v>
      </c>
      <c r="I15" s="197">
        <v>10</v>
      </c>
      <c r="J15" s="268">
        <f t="shared" si="1"/>
        <v>1000</v>
      </c>
      <c r="K15" s="185"/>
      <c r="M15" s="382"/>
      <c r="N15" s="384"/>
      <c r="O15" s="375"/>
      <c r="P15" s="375"/>
      <c r="Q15" s="376"/>
      <c r="R15" s="380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45705</v>
      </c>
      <c r="D16" s="196" t="s">
        <v>16</v>
      </c>
      <c r="E16" s="196" t="s">
        <v>1003</v>
      </c>
      <c r="F16" s="197">
        <v>1010</v>
      </c>
      <c r="G16" s="197">
        <v>910</v>
      </c>
      <c r="H16" s="196">
        <v>-100</v>
      </c>
      <c r="I16" s="197">
        <v>10</v>
      </c>
      <c r="J16" s="268">
        <f t="shared" si="1"/>
        <v>-1000</v>
      </c>
      <c r="K16" s="185"/>
      <c r="M16" s="377" t="s">
        <v>300</v>
      </c>
      <c r="N16" s="371">
        <f>SUM(N4:N11)</f>
        <v>76</v>
      </c>
      <c r="O16" s="371">
        <f>SUM(O4:O11)</f>
        <v>62</v>
      </c>
      <c r="P16" s="371">
        <f>SUM(P4:P11)</f>
        <v>14</v>
      </c>
      <c r="Q16" s="371">
        <f>SUM(Q4:Q11)</f>
        <v>0</v>
      </c>
      <c r="R16" s="379">
        <f>O16/N16</f>
        <v>0.81578947368421051</v>
      </c>
      <c r="V16" s="183">
        <f t="shared" si="2"/>
        <v>0</v>
      </c>
      <c r="W16" s="183">
        <f t="shared" si="3"/>
        <v>1</v>
      </c>
    </row>
    <row r="17" spans="1:23" ht="15" thickBot="1" x14ac:dyDescent="0.35">
      <c r="A17" s="184"/>
      <c r="B17" s="194">
        <v>12</v>
      </c>
      <c r="C17" s="195">
        <v>45706</v>
      </c>
      <c r="D17" s="196" t="s">
        <v>16</v>
      </c>
      <c r="E17" s="196" t="s">
        <v>1011</v>
      </c>
      <c r="F17" s="197">
        <v>720</v>
      </c>
      <c r="G17" s="197">
        <v>920</v>
      </c>
      <c r="H17" s="196">
        <v>200</v>
      </c>
      <c r="I17" s="197">
        <v>10</v>
      </c>
      <c r="J17" s="268">
        <f t="shared" si="1"/>
        <v>2000</v>
      </c>
      <c r="K17" s="185"/>
      <c r="M17" s="378"/>
      <c r="N17" s="372"/>
      <c r="O17" s="372"/>
      <c r="P17" s="372"/>
      <c r="Q17" s="372"/>
      <c r="R17" s="380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45707</v>
      </c>
      <c r="D18" s="196" t="s">
        <v>16</v>
      </c>
      <c r="E18" s="196" t="s">
        <v>1020</v>
      </c>
      <c r="F18" s="197">
        <v>600</v>
      </c>
      <c r="G18" s="197">
        <v>400</v>
      </c>
      <c r="H18" s="196">
        <v>-200</v>
      </c>
      <c r="I18" s="197">
        <v>10</v>
      </c>
      <c r="J18" s="268">
        <f t="shared" si="1"/>
        <v>-2000</v>
      </c>
      <c r="K18" s="185"/>
      <c r="M18" s="323" t="s">
        <v>878</v>
      </c>
      <c r="N18" s="324"/>
      <c r="O18" s="325"/>
      <c r="P18" s="332">
        <f>R16</f>
        <v>0.81578947368421051</v>
      </c>
      <c r="Q18" s="333"/>
      <c r="R18" s="334"/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45708</v>
      </c>
      <c r="D19" s="196" t="s">
        <v>16</v>
      </c>
      <c r="E19" s="196" t="s">
        <v>1021</v>
      </c>
      <c r="F19" s="197">
        <v>600</v>
      </c>
      <c r="G19" s="197">
        <v>660</v>
      </c>
      <c r="H19" s="196">
        <v>60</v>
      </c>
      <c r="I19" s="197">
        <v>10</v>
      </c>
      <c r="J19" s="268">
        <f t="shared" si="1"/>
        <v>600</v>
      </c>
      <c r="K19" s="185"/>
      <c r="M19" s="326"/>
      <c r="N19" s="327"/>
      <c r="O19" s="328"/>
      <c r="P19" s="335"/>
      <c r="Q19" s="336"/>
      <c r="R19" s="337"/>
      <c r="V19" s="183">
        <f t="shared" si="2"/>
        <v>1</v>
      </c>
      <c r="W19" s="183">
        <f t="shared" si="3"/>
        <v>0</v>
      </c>
    </row>
    <row r="20" spans="1:23" ht="15" thickBot="1" x14ac:dyDescent="0.35">
      <c r="A20" s="184"/>
      <c r="B20" s="194">
        <v>15</v>
      </c>
      <c r="C20" s="195">
        <v>45709</v>
      </c>
      <c r="D20" s="196" t="s">
        <v>16</v>
      </c>
      <c r="E20" s="196" t="s">
        <v>1013</v>
      </c>
      <c r="F20" s="197">
        <v>600</v>
      </c>
      <c r="G20" s="197">
        <v>800</v>
      </c>
      <c r="H20" s="196">
        <v>200</v>
      </c>
      <c r="I20" s="197">
        <v>10</v>
      </c>
      <c r="J20" s="268">
        <f t="shared" si="1"/>
        <v>2000</v>
      </c>
      <c r="K20" s="185"/>
      <c r="M20" s="329"/>
      <c r="N20" s="330"/>
      <c r="O20" s="331"/>
      <c r="P20" s="338"/>
      <c r="Q20" s="339"/>
      <c r="R20" s="340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45712</v>
      </c>
      <c r="D21" s="196" t="s">
        <v>16</v>
      </c>
      <c r="E21" s="196" t="s">
        <v>1021</v>
      </c>
      <c r="F21" s="197">
        <v>1350</v>
      </c>
      <c r="G21" s="197">
        <v>1550</v>
      </c>
      <c r="H21" s="196">
        <f>1550-1350</f>
        <v>200</v>
      </c>
      <c r="I21" s="197">
        <v>10</v>
      </c>
      <c r="J21" s="268">
        <f t="shared" si="1"/>
        <v>2000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45713</v>
      </c>
      <c r="D22" s="196" t="s">
        <v>16</v>
      </c>
      <c r="E22" s="196" t="s">
        <v>1021</v>
      </c>
      <c r="F22" s="197">
        <v>1460</v>
      </c>
      <c r="G22" s="197">
        <v>1560</v>
      </c>
      <c r="H22" s="196">
        <v>100</v>
      </c>
      <c r="I22" s="197">
        <v>10</v>
      </c>
      <c r="J22" s="268">
        <f t="shared" si="1"/>
        <v>1000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45715</v>
      </c>
      <c r="D23" s="196" t="s">
        <v>16</v>
      </c>
      <c r="E23" s="196" t="s">
        <v>1003</v>
      </c>
      <c r="F23" s="197">
        <v>1120</v>
      </c>
      <c r="G23" s="197">
        <v>1280</v>
      </c>
      <c r="H23" s="196">
        <f>1280-1120</f>
        <v>160</v>
      </c>
      <c r="I23" s="197">
        <v>10</v>
      </c>
      <c r="J23" s="268">
        <f t="shared" si="1"/>
        <v>1600</v>
      </c>
      <c r="K23" s="185"/>
      <c r="V23" s="183">
        <f t="shared" si="2"/>
        <v>1</v>
      </c>
      <c r="W23" s="183">
        <f t="shared" si="3"/>
        <v>0</v>
      </c>
    </row>
    <row r="24" spans="1:23" ht="15" thickBot="1" x14ac:dyDescent="0.35">
      <c r="A24" s="184"/>
      <c r="B24" s="194">
        <v>19</v>
      </c>
      <c r="C24" s="195">
        <v>45716</v>
      </c>
      <c r="D24" s="196" t="s">
        <v>16</v>
      </c>
      <c r="E24" s="196" t="s">
        <v>1003</v>
      </c>
      <c r="F24" s="197">
        <v>1400</v>
      </c>
      <c r="G24" s="197">
        <v>1475</v>
      </c>
      <c r="H24" s="196">
        <v>75</v>
      </c>
      <c r="I24" s="197">
        <v>10</v>
      </c>
      <c r="J24" s="268">
        <f t="shared" si="1"/>
        <v>750</v>
      </c>
      <c r="K24" s="185"/>
      <c r="V24" s="183">
        <f t="shared" si="2"/>
        <v>1</v>
      </c>
      <c r="W24" s="183">
        <f t="shared" si="3"/>
        <v>0</v>
      </c>
    </row>
    <row r="25" spans="1:23" hidden="1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hidden="1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hidden="1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hidden="1" thickBot="1" x14ac:dyDescent="0.35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18160</v>
      </c>
      <c r="K29" s="185"/>
      <c r="V29" s="183">
        <f>SUM(V6:V28)</f>
        <v>16</v>
      </c>
      <c r="W29" s="183">
        <f>SUM(W6:W28)</f>
        <v>3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45689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949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1017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45691</v>
      </c>
      <c r="D37" s="192" t="s">
        <v>16</v>
      </c>
      <c r="E37" s="192" t="s">
        <v>1004</v>
      </c>
      <c r="F37" s="193">
        <v>2200</v>
      </c>
      <c r="G37" s="193">
        <v>2600</v>
      </c>
      <c r="H37" s="192">
        <v>400</v>
      </c>
      <c r="I37" s="193">
        <v>5</v>
      </c>
      <c r="J37" s="267">
        <f t="shared" ref="J37:J59" si="4">I37*H37</f>
        <v>2000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45692</v>
      </c>
      <c r="D38" s="196" t="s">
        <v>16</v>
      </c>
      <c r="E38" s="196" t="s">
        <v>1005</v>
      </c>
      <c r="F38" s="222">
        <v>2700</v>
      </c>
      <c r="G38" s="222">
        <v>2835</v>
      </c>
      <c r="H38" s="222">
        <f>2835-2700</f>
        <v>135</v>
      </c>
      <c r="I38" s="197">
        <v>5</v>
      </c>
      <c r="J38" s="268">
        <f t="shared" si="4"/>
        <v>675</v>
      </c>
      <c r="K38" s="185"/>
      <c r="V38" s="183">
        <f t="shared" ref="V38:V59" si="5">IF($J38&gt;0,1,0)</f>
        <v>1</v>
      </c>
      <c r="W38" s="183">
        <f t="shared" ref="W38:W59" si="6">IF($J38&lt;0,1,0)</f>
        <v>0</v>
      </c>
    </row>
    <row r="39" spans="1:23" x14ac:dyDescent="0.3">
      <c r="A39" s="184"/>
      <c r="B39" s="194">
        <v>3</v>
      </c>
      <c r="C39" s="195">
        <v>45693</v>
      </c>
      <c r="D39" s="196" t="s">
        <v>16</v>
      </c>
      <c r="E39" s="196" t="s">
        <v>1007</v>
      </c>
      <c r="F39" s="197">
        <v>2500</v>
      </c>
      <c r="G39" s="197">
        <v>2762</v>
      </c>
      <c r="H39" s="222">
        <f>2762-2500</f>
        <v>262</v>
      </c>
      <c r="I39" s="197">
        <v>5</v>
      </c>
      <c r="J39" s="268">
        <f t="shared" si="4"/>
        <v>1310</v>
      </c>
      <c r="K39" s="185"/>
      <c r="V39" s="183">
        <f t="shared" si="5"/>
        <v>1</v>
      </c>
      <c r="W39" s="183">
        <f t="shared" si="6"/>
        <v>0</v>
      </c>
    </row>
    <row r="40" spans="1:23" x14ac:dyDescent="0.3">
      <c r="A40" s="184"/>
      <c r="B40" s="194">
        <v>4</v>
      </c>
      <c r="C40" s="195">
        <v>45694</v>
      </c>
      <c r="D40" s="196" t="s">
        <v>16</v>
      </c>
      <c r="E40" s="196" t="s">
        <v>1005</v>
      </c>
      <c r="F40" s="222">
        <v>1800</v>
      </c>
      <c r="G40" s="222">
        <v>2200</v>
      </c>
      <c r="H40" s="222">
        <f>2200-1800</f>
        <v>400</v>
      </c>
      <c r="I40" s="197">
        <v>5</v>
      </c>
      <c r="J40" s="268">
        <f t="shared" si="4"/>
        <v>2000</v>
      </c>
      <c r="K40" s="185"/>
      <c r="V40" s="183">
        <f t="shared" si="5"/>
        <v>1</v>
      </c>
      <c r="W40" s="183">
        <f t="shared" si="6"/>
        <v>0</v>
      </c>
    </row>
    <row r="41" spans="1:23" x14ac:dyDescent="0.3">
      <c r="A41" s="184"/>
      <c r="B41" s="194">
        <v>5</v>
      </c>
      <c r="C41" s="195">
        <v>45695</v>
      </c>
      <c r="D41" s="196" t="s">
        <v>16</v>
      </c>
      <c r="E41" s="196" t="s">
        <v>1007</v>
      </c>
      <c r="F41" s="197">
        <v>1980</v>
      </c>
      <c r="G41" s="197">
        <v>2180</v>
      </c>
      <c r="H41" s="196">
        <f>2180-1980</f>
        <v>200</v>
      </c>
      <c r="I41" s="197">
        <v>5</v>
      </c>
      <c r="J41" s="268">
        <f t="shared" si="4"/>
        <v>1000</v>
      </c>
      <c r="K41" s="185"/>
      <c r="V41" s="183">
        <f t="shared" si="5"/>
        <v>1</v>
      </c>
      <c r="W41" s="183">
        <f t="shared" si="6"/>
        <v>0</v>
      </c>
    </row>
    <row r="42" spans="1:23" x14ac:dyDescent="0.3">
      <c r="A42" s="184"/>
      <c r="B42" s="194">
        <v>6</v>
      </c>
      <c r="C42" s="195">
        <v>45698</v>
      </c>
      <c r="D42" s="196" t="s">
        <v>16</v>
      </c>
      <c r="E42" s="196" t="s">
        <v>1005</v>
      </c>
      <c r="F42" s="222">
        <v>1550</v>
      </c>
      <c r="G42" s="222">
        <v>1350</v>
      </c>
      <c r="H42" s="196">
        <v>-200</v>
      </c>
      <c r="I42" s="197">
        <v>5</v>
      </c>
      <c r="J42" s="268">
        <f t="shared" si="4"/>
        <v>-1000</v>
      </c>
      <c r="K42" s="185"/>
      <c r="V42" s="183">
        <f t="shared" si="5"/>
        <v>0</v>
      </c>
      <c r="W42" s="183">
        <f t="shared" si="6"/>
        <v>1</v>
      </c>
    </row>
    <row r="43" spans="1:23" x14ac:dyDescent="0.3">
      <c r="A43" s="184"/>
      <c r="B43" s="194">
        <v>7</v>
      </c>
      <c r="C43" s="195">
        <v>45699</v>
      </c>
      <c r="D43" s="196" t="s">
        <v>16</v>
      </c>
      <c r="E43" s="196" t="s">
        <v>1005</v>
      </c>
      <c r="F43" s="222">
        <v>1970</v>
      </c>
      <c r="G43" s="222">
        <v>2170</v>
      </c>
      <c r="H43" s="222">
        <f>2170-1970</f>
        <v>200</v>
      </c>
      <c r="I43" s="197">
        <v>5</v>
      </c>
      <c r="J43" s="268">
        <f t="shared" si="4"/>
        <v>1000</v>
      </c>
      <c r="K43" s="185"/>
      <c r="V43" s="183">
        <f t="shared" si="5"/>
        <v>1</v>
      </c>
      <c r="W43" s="183">
        <f t="shared" si="6"/>
        <v>0</v>
      </c>
    </row>
    <row r="44" spans="1:23" x14ac:dyDescent="0.3">
      <c r="A44" s="184"/>
      <c r="B44" s="194">
        <v>8</v>
      </c>
      <c r="C44" s="195">
        <v>45700</v>
      </c>
      <c r="D44" s="196" t="s">
        <v>16</v>
      </c>
      <c r="E44" s="196" t="s">
        <v>1007</v>
      </c>
      <c r="F44" s="197">
        <v>1020</v>
      </c>
      <c r="G44" s="197">
        <v>1420</v>
      </c>
      <c r="H44" s="196">
        <f>1420-1020</f>
        <v>400</v>
      </c>
      <c r="I44" s="197">
        <v>5</v>
      </c>
      <c r="J44" s="268">
        <f t="shared" si="4"/>
        <v>2000</v>
      </c>
      <c r="K44" s="185"/>
      <c r="V44" s="183">
        <f t="shared" si="5"/>
        <v>1</v>
      </c>
      <c r="W44" s="183">
        <f t="shared" si="6"/>
        <v>0</v>
      </c>
    </row>
    <row r="45" spans="1:23" x14ac:dyDescent="0.3">
      <c r="A45" s="184"/>
      <c r="B45" s="194">
        <v>9</v>
      </c>
      <c r="C45" s="195">
        <v>45701</v>
      </c>
      <c r="D45" s="196" t="s">
        <v>16</v>
      </c>
      <c r="E45" s="196" t="s">
        <v>1007</v>
      </c>
      <c r="F45" s="222">
        <v>1600</v>
      </c>
      <c r="G45" s="222">
        <v>2000</v>
      </c>
      <c r="H45" s="222">
        <f>2000-1600</f>
        <v>400</v>
      </c>
      <c r="I45" s="197">
        <v>5</v>
      </c>
      <c r="J45" s="268">
        <f t="shared" si="4"/>
        <v>2000</v>
      </c>
      <c r="K45" s="185"/>
      <c r="V45" s="183">
        <f t="shared" si="5"/>
        <v>1</v>
      </c>
      <c r="W45" s="183">
        <f t="shared" si="6"/>
        <v>0</v>
      </c>
    </row>
    <row r="46" spans="1:23" x14ac:dyDescent="0.3">
      <c r="A46" s="184"/>
      <c r="B46" s="194">
        <v>10</v>
      </c>
      <c r="C46" s="195">
        <v>45702</v>
      </c>
      <c r="D46" s="196" t="s">
        <v>16</v>
      </c>
      <c r="E46" s="196" t="s">
        <v>1014</v>
      </c>
      <c r="F46" s="197">
        <v>1500</v>
      </c>
      <c r="G46" s="222">
        <v>1900</v>
      </c>
      <c r="H46" s="196">
        <v>400</v>
      </c>
      <c r="I46" s="197">
        <v>5</v>
      </c>
      <c r="J46" s="268">
        <f t="shared" si="4"/>
        <v>2000</v>
      </c>
      <c r="K46" s="185"/>
      <c r="V46" s="183">
        <f t="shared" si="5"/>
        <v>1</v>
      </c>
      <c r="W46" s="183">
        <f t="shared" si="6"/>
        <v>0</v>
      </c>
    </row>
    <row r="47" spans="1:23" x14ac:dyDescent="0.3">
      <c r="A47" s="184"/>
      <c r="B47" s="194">
        <v>11</v>
      </c>
      <c r="C47" s="195">
        <v>45705</v>
      </c>
      <c r="D47" s="196" t="s">
        <v>16</v>
      </c>
      <c r="E47" s="196" t="s">
        <v>1005</v>
      </c>
      <c r="F47" s="222">
        <v>700</v>
      </c>
      <c r="G47" s="222">
        <v>500</v>
      </c>
      <c r="H47" s="222">
        <v>-200</v>
      </c>
      <c r="I47" s="197">
        <v>5</v>
      </c>
      <c r="J47" s="268">
        <f t="shared" si="4"/>
        <v>-1000</v>
      </c>
      <c r="K47" s="185"/>
      <c r="V47" s="183">
        <f t="shared" si="5"/>
        <v>0</v>
      </c>
      <c r="W47" s="183">
        <f t="shared" si="6"/>
        <v>1</v>
      </c>
    </row>
    <row r="48" spans="1:23" x14ac:dyDescent="0.3">
      <c r="A48" s="184"/>
      <c r="B48" s="194">
        <v>12</v>
      </c>
      <c r="C48" s="195">
        <v>45706</v>
      </c>
      <c r="D48" s="196" t="s">
        <v>16</v>
      </c>
      <c r="E48" s="196" t="s">
        <v>1018</v>
      </c>
      <c r="F48" s="197">
        <v>520</v>
      </c>
      <c r="G48" s="222">
        <v>613</v>
      </c>
      <c r="H48" s="196">
        <f>613-520</f>
        <v>93</v>
      </c>
      <c r="I48" s="197">
        <v>5</v>
      </c>
      <c r="J48" s="268">
        <f t="shared" si="4"/>
        <v>465</v>
      </c>
      <c r="K48" s="185"/>
      <c r="V48" s="183">
        <f t="shared" si="5"/>
        <v>1</v>
      </c>
      <c r="W48" s="183">
        <f t="shared" si="6"/>
        <v>0</v>
      </c>
    </row>
    <row r="49" spans="1:23" x14ac:dyDescent="0.3">
      <c r="A49" s="184"/>
      <c r="B49" s="194">
        <v>13</v>
      </c>
      <c r="C49" s="195">
        <v>45707</v>
      </c>
      <c r="D49" s="196" t="s">
        <v>16</v>
      </c>
      <c r="E49" s="196" t="s">
        <v>1020</v>
      </c>
      <c r="F49" s="222">
        <v>600</v>
      </c>
      <c r="G49" s="222">
        <v>400</v>
      </c>
      <c r="H49" s="196">
        <v>-200</v>
      </c>
      <c r="I49" s="197">
        <v>5</v>
      </c>
      <c r="J49" s="268">
        <f t="shared" si="4"/>
        <v>-1000</v>
      </c>
      <c r="K49" s="185"/>
      <c r="V49" s="183">
        <f t="shared" si="5"/>
        <v>0</v>
      </c>
      <c r="W49" s="183">
        <f t="shared" si="6"/>
        <v>1</v>
      </c>
    </row>
    <row r="50" spans="1:23" x14ac:dyDescent="0.3">
      <c r="A50" s="184"/>
      <c r="B50" s="194">
        <v>14</v>
      </c>
      <c r="C50" s="195">
        <v>45708</v>
      </c>
      <c r="D50" s="196" t="s">
        <v>16</v>
      </c>
      <c r="E50" s="196" t="s">
        <v>1022</v>
      </c>
      <c r="F50" s="197">
        <v>3200</v>
      </c>
      <c r="G50" s="222">
        <v>3500</v>
      </c>
      <c r="H50" s="196">
        <v>300</v>
      </c>
      <c r="I50" s="197">
        <v>5</v>
      </c>
      <c r="J50" s="268">
        <f t="shared" si="4"/>
        <v>1500</v>
      </c>
      <c r="K50" s="185"/>
      <c r="V50" s="183">
        <f t="shared" si="5"/>
        <v>1</v>
      </c>
      <c r="W50" s="183">
        <f t="shared" si="6"/>
        <v>0</v>
      </c>
    </row>
    <row r="51" spans="1:23" x14ac:dyDescent="0.3">
      <c r="A51" s="184"/>
      <c r="B51" s="194">
        <v>15</v>
      </c>
      <c r="C51" s="195">
        <v>45709</v>
      </c>
      <c r="D51" s="196" t="s">
        <v>16</v>
      </c>
      <c r="E51" s="196" t="s">
        <v>1020</v>
      </c>
      <c r="F51" s="222">
        <v>2900</v>
      </c>
      <c r="G51" s="222">
        <v>3100</v>
      </c>
      <c r="H51" s="196">
        <f>3100-2900</f>
        <v>200</v>
      </c>
      <c r="I51" s="197">
        <v>5</v>
      </c>
      <c r="J51" s="268">
        <f t="shared" si="4"/>
        <v>1000</v>
      </c>
      <c r="K51" s="185"/>
      <c r="V51" s="183">
        <f t="shared" si="5"/>
        <v>1</v>
      </c>
      <c r="W51" s="183">
        <f t="shared" si="6"/>
        <v>0</v>
      </c>
    </row>
    <row r="52" spans="1:23" x14ac:dyDescent="0.3">
      <c r="A52" s="184"/>
      <c r="B52" s="194">
        <v>16</v>
      </c>
      <c r="C52" s="195">
        <v>45712</v>
      </c>
      <c r="D52" s="196" t="s">
        <v>16</v>
      </c>
      <c r="E52" s="196" t="s">
        <v>1022</v>
      </c>
      <c r="F52" s="197">
        <v>2800</v>
      </c>
      <c r="G52" s="197">
        <v>2600</v>
      </c>
      <c r="H52" s="196">
        <v>-200</v>
      </c>
      <c r="I52" s="197">
        <v>5</v>
      </c>
      <c r="J52" s="268">
        <f t="shared" si="4"/>
        <v>-1000</v>
      </c>
      <c r="K52" s="185"/>
      <c r="V52" s="183">
        <f t="shared" si="5"/>
        <v>0</v>
      </c>
      <c r="W52" s="183">
        <f t="shared" si="6"/>
        <v>1</v>
      </c>
    </row>
    <row r="53" spans="1:23" x14ac:dyDescent="0.3">
      <c r="A53" s="184"/>
      <c r="B53" s="194">
        <v>17</v>
      </c>
      <c r="C53" s="195">
        <v>45713</v>
      </c>
      <c r="D53" s="196" t="s">
        <v>16</v>
      </c>
      <c r="E53" s="196" t="s">
        <v>1022</v>
      </c>
      <c r="F53" s="222">
        <v>2300</v>
      </c>
      <c r="G53" s="222">
        <v>2100</v>
      </c>
      <c r="H53" s="222">
        <v>-200</v>
      </c>
      <c r="I53" s="197">
        <v>5</v>
      </c>
      <c r="J53" s="268">
        <f t="shared" si="4"/>
        <v>-1000</v>
      </c>
      <c r="K53" s="185"/>
      <c r="V53" s="183">
        <f t="shared" si="5"/>
        <v>0</v>
      </c>
      <c r="W53" s="183">
        <f t="shared" si="6"/>
        <v>1</v>
      </c>
    </row>
    <row r="54" spans="1:23" x14ac:dyDescent="0.3">
      <c r="A54" s="184"/>
      <c r="B54" s="194">
        <v>18</v>
      </c>
      <c r="C54" s="195">
        <v>45715</v>
      </c>
      <c r="D54" s="196" t="s">
        <v>16</v>
      </c>
      <c r="E54" s="196" t="s">
        <v>1005</v>
      </c>
      <c r="F54" s="197">
        <v>2550</v>
      </c>
      <c r="G54" s="197">
        <v>2950</v>
      </c>
      <c r="H54" s="196">
        <f>2950-2550</f>
        <v>400</v>
      </c>
      <c r="I54" s="197">
        <v>5</v>
      </c>
      <c r="J54" s="268">
        <f t="shared" si="4"/>
        <v>2000</v>
      </c>
      <c r="K54" s="185"/>
      <c r="V54" s="183">
        <f t="shared" si="5"/>
        <v>1</v>
      </c>
      <c r="W54" s="183">
        <f t="shared" si="6"/>
        <v>0</v>
      </c>
    </row>
    <row r="55" spans="1:23" ht="15" thickBot="1" x14ac:dyDescent="0.35">
      <c r="A55" s="184"/>
      <c r="B55" s="194">
        <v>19</v>
      </c>
      <c r="C55" s="195">
        <v>45716</v>
      </c>
      <c r="D55" s="196" t="s">
        <v>16</v>
      </c>
      <c r="E55" s="196" t="s">
        <v>1005</v>
      </c>
      <c r="F55" s="222">
        <v>3300</v>
      </c>
      <c r="G55" s="222">
        <v>3100</v>
      </c>
      <c r="H55" s="196">
        <v>-200</v>
      </c>
      <c r="I55" s="197">
        <v>5</v>
      </c>
      <c r="J55" s="268">
        <f t="shared" si="4"/>
        <v>-1000</v>
      </c>
      <c r="K55" s="185"/>
      <c r="V55" s="183">
        <f t="shared" si="5"/>
        <v>0</v>
      </c>
      <c r="W55" s="183">
        <f t="shared" si="6"/>
        <v>1</v>
      </c>
    </row>
    <row r="56" spans="1:23" hidden="1" x14ac:dyDescent="0.3">
      <c r="A56" s="184"/>
      <c r="B56" s="194">
        <v>20</v>
      </c>
      <c r="C56" s="195"/>
      <c r="D56" s="196"/>
      <c r="E56" s="196"/>
      <c r="F56" s="197"/>
      <c r="G56" s="197"/>
      <c r="H56" s="196"/>
      <c r="I56" s="197"/>
      <c r="J56" s="268">
        <f t="shared" si="4"/>
        <v>0</v>
      </c>
      <c r="K56" s="185"/>
      <c r="V56" s="183">
        <f t="shared" si="5"/>
        <v>0</v>
      </c>
      <c r="W56" s="183">
        <f t="shared" si="6"/>
        <v>0</v>
      </c>
    </row>
    <row r="57" spans="1:23" hidden="1" x14ac:dyDescent="0.3">
      <c r="A57" s="184"/>
      <c r="B57" s="194">
        <v>21</v>
      </c>
      <c r="C57" s="195"/>
      <c r="D57" s="196"/>
      <c r="E57" s="196"/>
      <c r="F57" s="197"/>
      <c r="G57" s="222"/>
      <c r="H57" s="222"/>
      <c r="I57" s="197"/>
      <c r="J57" s="268">
        <f t="shared" si="4"/>
        <v>0</v>
      </c>
      <c r="K57" s="185"/>
      <c r="V57" s="183">
        <f t="shared" si="5"/>
        <v>0</v>
      </c>
      <c r="W57" s="183">
        <f t="shared" si="6"/>
        <v>0</v>
      </c>
    </row>
    <row r="58" spans="1:23" hidden="1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4"/>
        <v>0</v>
      </c>
      <c r="K58" s="185"/>
      <c r="V58" s="183">
        <f t="shared" si="5"/>
        <v>0</v>
      </c>
      <c r="W58" s="183">
        <f t="shared" si="6"/>
        <v>0</v>
      </c>
    </row>
    <row r="59" spans="1:23" ht="15" hidden="1" thickBot="1" x14ac:dyDescent="0.35">
      <c r="A59" s="184"/>
      <c r="B59" s="194">
        <v>23</v>
      </c>
      <c r="C59" s="195"/>
      <c r="D59" s="196"/>
      <c r="E59" s="196"/>
      <c r="F59" s="197"/>
      <c r="G59" s="222"/>
      <c r="H59" s="222"/>
      <c r="I59" s="197"/>
      <c r="J59" s="268">
        <f t="shared" si="4"/>
        <v>0</v>
      </c>
      <c r="K59" s="185"/>
      <c r="V59" s="183">
        <f t="shared" si="5"/>
        <v>0</v>
      </c>
      <c r="W59" s="183">
        <f t="shared" si="6"/>
        <v>0</v>
      </c>
    </row>
    <row r="60" spans="1:23" ht="24" thickBot="1" x14ac:dyDescent="0.5">
      <c r="A60" s="184"/>
      <c r="B60" s="368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12950</v>
      </c>
      <c r="K60" s="185"/>
      <c r="V60" s="183">
        <f>SUM(V37:V59)</f>
        <v>13</v>
      </c>
      <c r="W60" s="183">
        <f>SUM(W37:W59)</f>
        <v>6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45689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997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1017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45691</v>
      </c>
      <c r="D68" s="216" t="s">
        <v>23</v>
      </c>
      <c r="E68" s="256" t="s">
        <v>25</v>
      </c>
      <c r="F68" s="256">
        <v>6455</v>
      </c>
      <c r="G68" s="256">
        <v>6495</v>
      </c>
      <c r="H68" s="256">
        <v>-40</v>
      </c>
      <c r="I68" s="218">
        <v>100</v>
      </c>
      <c r="J68" s="273">
        <f>I68*H68</f>
        <v>-4000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v>2</v>
      </c>
      <c r="C69" s="195">
        <v>45692</v>
      </c>
      <c r="D69" s="196" t="s">
        <v>23</v>
      </c>
      <c r="E69" s="222" t="s">
        <v>25</v>
      </c>
      <c r="F69" s="222">
        <v>6285</v>
      </c>
      <c r="G69" s="222">
        <v>6245</v>
      </c>
      <c r="H69" s="222">
        <f>6285-6245</f>
        <v>40</v>
      </c>
      <c r="I69" s="218">
        <v>100</v>
      </c>
      <c r="J69" s="268">
        <f t="shared" ref="J69:J90" si="7">I69*H69</f>
        <v>4000</v>
      </c>
      <c r="K69" s="185"/>
      <c r="V69" s="183">
        <f t="shared" ref="V69:V90" si="8">IF($J69&gt;0,1,0)</f>
        <v>1</v>
      </c>
      <c r="W69" s="183">
        <f t="shared" ref="W69:W90" si="9">IF($J69&lt;0,1,0)</f>
        <v>0</v>
      </c>
    </row>
    <row r="70" spans="1:23" x14ac:dyDescent="0.3">
      <c r="A70" s="184"/>
      <c r="B70" s="194">
        <v>3</v>
      </c>
      <c r="C70" s="195">
        <v>45693</v>
      </c>
      <c r="D70" s="196" t="s">
        <v>23</v>
      </c>
      <c r="E70" s="222" t="s">
        <v>25</v>
      </c>
      <c r="F70" s="222">
        <v>6345</v>
      </c>
      <c r="G70" s="222">
        <v>6303</v>
      </c>
      <c r="H70" s="222">
        <f>6345-6306</f>
        <v>39</v>
      </c>
      <c r="I70" s="218">
        <v>100</v>
      </c>
      <c r="J70" s="268">
        <f t="shared" si="7"/>
        <v>3900</v>
      </c>
      <c r="K70" s="185"/>
      <c r="M70" s="183" t="s">
        <v>870</v>
      </c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4</v>
      </c>
      <c r="C71" s="195">
        <v>45694</v>
      </c>
      <c r="D71" s="196" t="s">
        <v>23</v>
      </c>
      <c r="E71" s="222" t="s">
        <v>25</v>
      </c>
      <c r="F71" s="222">
        <v>6260</v>
      </c>
      <c r="G71" s="222">
        <v>6241</v>
      </c>
      <c r="H71" s="222">
        <f>6260-6241</f>
        <v>19</v>
      </c>
      <c r="I71" s="218">
        <v>100</v>
      </c>
      <c r="J71" s="268">
        <f t="shared" si="7"/>
        <v>1900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5</v>
      </c>
      <c r="C72" s="195">
        <v>45695</v>
      </c>
      <c r="D72" s="196" t="s">
        <v>23</v>
      </c>
      <c r="E72" s="222" t="s">
        <v>25</v>
      </c>
      <c r="F72" s="222">
        <v>6230</v>
      </c>
      <c r="G72" s="222">
        <v>6215</v>
      </c>
      <c r="H72" s="222">
        <v>15</v>
      </c>
      <c r="I72" s="218">
        <v>100</v>
      </c>
      <c r="J72" s="268">
        <f t="shared" si="7"/>
        <v>1500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6</v>
      </c>
      <c r="C73" s="195">
        <v>45698</v>
      </c>
      <c r="D73" s="196" t="s">
        <v>23</v>
      </c>
      <c r="E73" s="222" t="s">
        <v>25</v>
      </c>
      <c r="F73" s="222">
        <v>6280</v>
      </c>
      <c r="G73" s="222">
        <v>6260</v>
      </c>
      <c r="H73" s="222">
        <v>20</v>
      </c>
      <c r="I73" s="218">
        <v>100</v>
      </c>
      <c r="J73" s="268">
        <f t="shared" si="7"/>
        <v>2000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7</v>
      </c>
      <c r="C74" s="195">
        <v>45699</v>
      </c>
      <c r="D74" s="196" t="s">
        <v>23</v>
      </c>
      <c r="E74" s="222" t="s">
        <v>25</v>
      </c>
      <c r="F74" s="222">
        <v>6350</v>
      </c>
      <c r="G74" s="222">
        <v>6330</v>
      </c>
      <c r="H74" s="274">
        <v>20</v>
      </c>
      <c r="I74" s="218">
        <v>100</v>
      </c>
      <c r="J74" s="268">
        <f t="shared" si="7"/>
        <v>2000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8</v>
      </c>
      <c r="C75" s="195">
        <v>45700</v>
      </c>
      <c r="D75" s="196" t="s">
        <v>23</v>
      </c>
      <c r="E75" s="222" t="s">
        <v>25</v>
      </c>
      <c r="F75" s="222">
        <v>6320</v>
      </c>
      <c r="G75" s="222">
        <v>6250</v>
      </c>
      <c r="H75" s="222">
        <v>70</v>
      </c>
      <c r="I75" s="197">
        <v>100</v>
      </c>
      <c r="J75" s="268">
        <f t="shared" si="7"/>
        <v>7000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9</v>
      </c>
      <c r="C76" s="195">
        <v>45701</v>
      </c>
      <c r="D76" s="196" t="s">
        <v>23</v>
      </c>
      <c r="E76" s="222" t="s">
        <v>25</v>
      </c>
      <c r="F76" s="222">
        <v>6140</v>
      </c>
      <c r="G76" s="222">
        <v>6116</v>
      </c>
      <c r="H76" s="222">
        <f>6140-6116</f>
        <v>24</v>
      </c>
      <c r="I76" s="197">
        <v>100</v>
      </c>
      <c r="J76" s="268">
        <f t="shared" si="7"/>
        <v>2400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10</v>
      </c>
      <c r="C77" s="195">
        <v>45702</v>
      </c>
      <c r="D77" s="196" t="s">
        <v>23</v>
      </c>
      <c r="E77" s="222" t="s">
        <v>25</v>
      </c>
      <c r="F77" s="222">
        <v>6225</v>
      </c>
      <c r="G77" s="222">
        <v>6195</v>
      </c>
      <c r="H77" s="222">
        <f>6225-6195</f>
        <v>30</v>
      </c>
      <c r="I77" s="197">
        <v>100</v>
      </c>
      <c r="J77" s="268">
        <f t="shared" si="7"/>
        <v>3000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11</v>
      </c>
      <c r="C78" s="195">
        <v>45705</v>
      </c>
      <c r="D78" s="196" t="s">
        <v>23</v>
      </c>
      <c r="E78" s="222" t="s">
        <v>25</v>
      </c>
      <c r="F78" s="222">
        <v>6175</v>
      </c>
      <c r="G78" s="222">
        <v>6135</v>
      </c>
      <c r="H78" s="274">
        <f>6175-6135</f>
        <v>40</v>
      </c>
      <c r="I78" s="197">
        <v>100</v>
      </c>
      <c r="J78" s="268">
        <f t="shared" si="7"/>
        <v>4000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12</v>
      </c>
      <c r="C79" s="195">
        <v>45706</v>
      </c>
      <c r="D79" s="196" t="s">
        <v>23</v>
      </c>
      <c r="E79" s="222" t="s">
        <v>25</v>
      </c>
      <c r="F79" s="222">
        <v>6240</v>
      </c>
      <c r="G79" s="222">
        <v>6180</v>
      </c>
      <c r="H79" s="274">
        <f>6240-6180</f>
        <v>60</v>
      </c>
      <c r="I79" s="197">
        <v>100</v>
      </c>
      <c r="J79" s="268">
        <f t="shared" si="7"/>
        <v>6000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13</v>
      </c>
      <c r="C80" s="195">
        <v>45707</v>
      </c>
      <c r="D80" s="196" t="s">
        <v>23</v>
      </c>
      <c r="E80" s="222" t="s">
        <v>25</v>
      </c>
      <c r="F80" s="222">
        <v>6300</v>
      </c>
      <c r="G80" s="222">
        <v>6273</v>
      </c>
      <c r="H80" s="274">
        <f>6300-6273</f>
        <v>27</v>
      </c>
      <c r="I80" s="197">
        <v>100</v>
      </c>
      <c r="J80" s="268">
        <f t="shared" si="7"/>
        <v>2700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14</v>
      </c>
      <c r="C81" s="195">
        <v>45708</v>
      </c>
      <c r="D81" s="196" t="s">
        <v>23</v>
      </c>
      <c r="E81" s="222" t="s">
        <v>25</v>
      </c>
      <c r="F81" s="222">
        <v>6280</v>
      </c>
      <c r="G81" s="222">
        <v>6265</v>
      </c>
      <c r="H81" s="274">
        <f>6280-6265</f>
        <v>15</v>
      </c>
      <c r="I81" s="197">
        <v>100</v>
      </c>
      <c r="J81" s="268">
        <f t="shared" si="7"/>
        <v>1500</v>
      </c>
      <c r="K81" s="185"/>
      <c r="V81" s="183">
        <f t="shared" si="8"/>
        <v>1</v>
      </c>
      <c r="W81" s="183">
        <f t="shared" si="9"/>
        <v>0</v>
      </c>
    </row>
    <row r="82" spans="1:23" x14ac:dyDescent="0.3">
      <c r="A82" s="184"/>
      <c r="B82" s="194">
        <v>15</v>
      </c>
      <c r="C82" s="195">
        <v>45709</v>
      </c>
      <c r="D82" s="196" t="s">
        <v>23</v>
      </c>
      <c r="E82" s="196" t="s">
        <v>25</v>
      </c>
      <c r="F82" s="222">
        <v>6270</v>
      </c>
      <c r="G82" s="222">
        <v>6230</v>
      </c>
      <c r="H82" s="222">
        <f>6270-6230</f>
        <v>40</v>
      </c>
      <c r="I82" s="197">
        <v>100</v>
      </c>
      <c r="J82" s="268">
        <f t="shared" si="7"/>
        <v>4000</v>
      </c>
      <c r="K82" s="185"/>
      <c r="V82" s="183">
        <f t="shared" si="8"/>
        <v>1</v>
      </c>
      <c r="W82" s="183">
        <f t="shared" si="9"/>
        <v>0</v>
      </c>
    </row>
    <row r="83" spans="1:23" x14ac:dyDescent="0.3">
      <c r="A83" s="184"/>
      <c r="B83" s="194">
        <v>16</v>
      </c>
      <c r="C83" s="195">
        <v>45712</v>
      </c>
      <c r="D83" s="196" t="s">
        <v>23</v>
      </c>
      <c r="E83" s="196" t="s">
        <v>25</v>
      </c>
      <c r="F83" s="222">
        <v>6115</v>
      </c>
      <c r="G83" s="222">
        <v>6091</v>
      </c>
      <c r="H83" s="222">
        <f>6115-6091</f>
        <v>24</v>
      </c>
      <c r="I83" s="197">
        <v>100</v>
      </c>
      <c r="J83" s="268">
        <f t="shared" si="7"/>
        <v>2400</v>
      </c>
      <c r="K83" s="185"/>
      <c r="V83" s="183">
        <f t="shared" si="8"/>
        <v>1</v>
      </c>
      <c r="W83" s="183">
        <f t="shared" si="9"/>
        <v>0</v>
      </c>
    </row>
    <row r="84" spans="1:23" x14ac:dyDescent="0.3">
      <c r="A84" s="184"/>
      <c r="B84" s="194">
        <v>17</v>
      </c>
      <c r="C84" s="195">
        <v>45713</v>
      </c>
      <c r="D84" s="196" t="s">
        <v>23</v>
      </c>
      <c r="E84" s="196" t="s">
        <v>25</v>
      </c>
      <c r="F84" s="222">
        <v>6190</v>
      </c>
      <c r="G84" s="274">
        <v>6151</v>
      </c>
      <c r="H84" s="274">
        <f>6190-6151</f>
        <v>39</v>
      </c>
      <c r="I84" s="197">
        <v>100</v>
      </c>
      <c r="J84" s="268">
        <f t="shared" si="7"/>
        <v>3900</v>
      </c>
      <c r="K84" s="185"/>
      <c r="V84" s="183">
        <f t="shared" si="8"/>
        <v>1</v>
      </c>
      <c r="W84" s="183">
        <f t="shared" si="9"/>
        <v>0</v>
      </c>
    </row>
    <row r="85" spans="1:23" x14ac:dyDescent="0.3">
      <c r="A85" s="184"/>
      <c r="B85" s="194">
        <v>18</v>
      </c>
      <c r="C85" s="195">
        <v>45715</v>
      </c>
      <c r="D85" s="196" t="s">
        <v>23</v>
      </c>
      <c r="E85" s="196" t="s">
        <v>25</v>
      </c>
      <c r="F85" s="222">
        <v>6030</v>
      </c>
      <c r="G85" s="222">
        <v>6070</v>
      </c>
      <c r="H85" s="274">
        <v>-40</v>
      </c>
      <c r="I85" s="197">
        <v>100</v>
      </c>
      <c r="J85" s="268">
        <f t="shared" si="7"/>
        <v>-4000</v>
      </c>
      <c r="K85" s="185"/>
      <c r="V85" s="183">
        <f t="shared" si="8"/>
        <v>0</v>
      </c>
      <c r="W85" s="183">
        <f t="shared" si="9"/>
        <v>1</v>
      </c>
    </row>
    <row r="86" spans="1:23" x14ac:dyDescent="0.3">
      <c r="A86" s="184"/>
      <c r="B86" s="194">
        <v>19</v>
      </c>
      <c r="C86" s="195">
        <v>45716</v>
      </c>
      <c r="D86" s="196" t="s">
        <v>23</v>
      </c>
      <c r="E86" s="196" t="s">
        <v>25</v>
      </c>
      <c r="F86" s="222">
        <v>6105</v>
      </c>
      <c r="G86" s="222">
        <v>6070</v>
      </c>
      <c r="H86" s="274">
        <f>6105-6070</f>
        <v>35</v>
      </c>
      <c r="I86" s="197">
        <v>100</v>
      </c>
      <c r="J86" s="268">
        <f t="shared" si="7"/>
        <v>3500</v>
      </c>
      <c r="K86" s="185"/>
      <c r="V86" s="183">
        <f t="shared" si="8"/>
        <v>1</v>
      </c>
      <c r="W86" s="183">
        <f t="shared" si="9"/>
        <v>0</v>
      </c>
    </row>
    <row r="87" spans="1:23" hidden="1" x14ac:dyDescent="0.3">
      <c r="A87" s="184"/>
      <c r="B87" s="194">
        <v>20</v>
      </c>
      <c r="C87" s="195"/>
      <c r="D87" s="196"/>
      <c r="E87" s="196"/>
      <c r="F87" s="222"/>
      <c r="G87" s="222"/>
      <c r="H87" s="274"/>
      <c r="I87" s="197"/>
      <c r="J87" s="268">
        <f t="shared" si="7"/>
        <v>0</v>
      </c>
      <c r="K87" s="185"/>
      <c r="V87" s="183">
        <f t="shared" si="8"/>
        <v>0</v>
      </c>
      <c r="W87" s="183">
        <f t="shared" si="9"/>
        <v>0</v>
      </c>
    </row>
    <row r="88" spans="1:23" hidden="1" x14ac:dyDescent="0.3">
      <c r="A88" s="184"/>
      <c r="B88" s="194">
        <v>21</v>
      </c>
      <c r="C88" s="195"/>
      <c r="D88" s="196"/>
      <c r="E88" s="196"/>
      <c r="F88" s="222"/>
      <c r="G88" s="222"/>
      <c r="H88" s="274"/>
      <c r="I88" s="197"/>
      <c r="J88" s="268">
        <f t="shared" si="7"/>
        <v>0</v>
      </c>
      <c r="K88" s="185"/>
      <c r="V88" s="183">
        <f t="shared" si="8"/>
        <v>0</v>
      </c>
      <c r="W88" s="183">
        <f t="shared" si="9"/>
        <v>0</v>
      </c>
    </row>
    <row r="89" spans="1:23" hidden="1" x14ac:dyDescent="0.3">
      <c r="A89" s="184"/>
      <c r="B89" s="194">
        <v>22</v>
      </c>
      <c r="C89" s="195"/>
      <c r="D89" s="196"/>
      <c r="E89" s="196"/>
      <c r="F89" s="222"/>
      <c r="G89" s="222"/>
      <c r="H89" s="274"/>
      <c r="I89" s="197"/>
      <c r="J89" s="268">
        <f t="shared" si="7"/>
        <v>0</v>
      </c>
      <c r="K89" s="185"/>
      <c r="V89" s="183">
        <f t="shared" si="8"/>
        <v>0</v>
      </c>
      <c r="W89" s="183">
        <f t="shared" si="9"/>
        <v>0</v>
      </c>
    </row>
    <row r="90" spans="1:23" hidden="1" x14ac:dyDescent="0.3">
      <c r="A90" s="184"/>
      <c r="B90" s="194">
        <v>23</v>
      </c>
      <c r="C90" s="195"/>
      <c r="D90" s="196"/>
      <c r="E90" s="196"/>
      <c r="F90" s="222"/>
      <c r="G90" s="222"/>
      <c r="H90" s="274"/>
      <c r="I90" s="197"/>
      <c r="J90" s="268">
        <f t="shared" si="7"/>
        <v>0</v>
      </c>
      <c r="K90" s="185"/>
      <c r="V90" s="183">
        <f t="shared" si="8"/>
        <v>0</v>
      </c>
      <c r="W90" s="183">
        <f t="shared" si="9"/>
        <v>0</v>
      </c>
    </row>
    <row r="91" spans="1:23" ht="24" thickBot="1" x14ac:dyDescent="0.5">
      <c r="A91" s="184"/>
      <c r="B91" s="373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47700</v>
      </c>
      <c r="K91" s="185"/>
      <c r="V91" s="183">
        <f>SUM(V68:V90)</f>
        <v>17</v>
      </c>
      <c r="W91" s="183">
        <f>SUM(W68:W90)</f>
        <v>2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  <c r="L92" s="183" t="s">
        <v>926</v>
      </c>
    </row>
    <row r="93" spans="1:23" ht="15" thickBot="1" x14ac:dyDescent="0.35"/>
    <row r="94" spans="1:23" ht="30" customHeight="1" thickBot="1" x14ac:dyDescent="0.35">
      <c r="A94" s="180"/>
      <c r="B94" s="181"/>
      <c r="C94" s="181"/>
      <c r="D94" s="181"/>
      <c r="E94" s="181"/>
      <c r="F94" s="181"/>
      <c r="G94" s="181"/>
      <c r="H94" s="259"/>
      <c r="I94" s="181"/>
      <c r="J94" s="259"/>
      <c r="K94" s="182"/>
    </row>
    <row r="95" spans="1:23" ht="25.2" thickBot="1" x14ac:dyDescent="0.35">
      <c r="A95" s="184" t="s">
        <v>0</v>
      </c>
      <c r="B95" s="307" t="s">
        <v>873</v>
      </c>
      <c r="C95" s="308"/>
      <c r="D95" s="308"/>
      <c r="E95" s="308"/>
      <c r="F95" s="308"/>
      <c r="G95" s="308"/>
      <c r="H95" s="308"/>
      <c r="I95" s="308"/>
      <c r="J95" s="309"/>
      <c r="K95" s="185"/>
    </row>
    <row r="96" spans="1:23" ht="16.2" thickBot="1" x14ac:dyDescent="0.35">
      <c r="A96" s="184"/>
      <c r="B96" s="310">
        <v>45689</v>
      </c>
      <c r="C96" s="311"/>
      <c r="D96" s="311"/>
      <c r="E96" s="311"/>
      <c r="F96" s="311"/>
      <c r="G96" s="311"/>
      <c r="H96" s="311"/>
      <c r="I96" s="311"/>
      <c r="J96" s="312"/>
      <c r="K96" s="185"/>
    </row>
    <row r="97" spans="1:23" ht="16.2" thickBot="1" x14ac:dyDescent="0.35">
      <c r="A97" s="184"/>
      <c r="B97" s="313" t="s">
        <v>905</v>
      </c>
      <c r="C97" s="314"/>
      <c r="D97" s="314"/>
      <c r="E97" s="314"/>
      <c r="F97" s="314"/>
      <c r="G97" s="314"/>
      <c r="H97" s="314"/>
      <c r="I97" s="314"/>
      <c r="J97" s="315"/>
      <c r="K97" s="185"/>
    </row>
    <row r="98" spans="1:23" ht="15" thickBot="1" x14ac:dyDescent="0.35">
      <c r="A98" s="208"/>
      <c r="B98" s="186" t="s">
        <v>876</v>
      </c>
      <c r="C98" s="187" t="s">
        <v>1</v>
      </c>
      <c r="D98" s="188" t="s">
        <v>2</v>
      </c>
      <c r="E98" s="188" t="s">
        <v>3</v>
      </c>
      <c r="F98" s="189" t="s">
        <v>4</v>
      </c>
      <c r="G98" s="189" t="s">
        <v>5</v>
      </c>
      <c r="H98" s="260" t="s">
        <v>720</v>
      </c>
      <c r="I98" s="189" t="s">
        <v>1017</v>
      </c>
      <c r="J98" s="266" t="s">
        <v>7</v>
      </c>
      <c r="K98" s="209"/>
      <c r="L98" s="198"/>
      <c r="V98" s="183" t="s">
        <v>254</v>
      </c>
      <c r="W98" s="183" t="s">
        <v>255</v>
      </c>
    </row>
    <row r="99" spans="1:23" x14ac:dyDescent="0.3">
      <c r="A99" s="184"/>
      <c r="B99" s="214">
        <v>1</v>
      </c>
      <c r="C99" s="215">
        <v>45691</v>
      </c>
      <c r="D99" s="216" t="s">
        <v>16</v>
      </c>
      <c r="E99" s="256" t="s">
        <v>913</v>
      </c>
      <c r="F99" s="256">
        <v>185</v>
      </c>
      <c r="G99" s="256">
        <v>195</v>
      </c>
      <c r="H99" s="256">
        <v>10</v>
      </c>
      <c r="I99" s="218">
        <v>100</v>
      </c>
      <c r="J99" s="273">
        <f>I99*H99</f>
        <v>1000</v>
      </c>
      <c r="K99" s="185"/>
      <c r="V99" s="183">
        <f>IF($J99&gt;0,1,0)</f>
        <v>1</v>
      </c>
      <c r="W99" s="183">
        <f>IF($J99&lt;0,1,0)</f>
        <v>0</v>
      </c>
    </row>
    <row r="100" spans="1:23" x14ac:dyDescent="0.3">
      <c r="A100" s="184"/>
      <c r="B100" s="194">
        <v>2</v>
      </c>
      <c r="C100" s="195">
        <v>45692</v>
      </c>
      <c r="D100" s="196" t="s">
        <v>16</v>
      </c>
      <c r="E100" s="222" t="s">
        <v>907</v>
      </c>
      <c r="F100" s="222">
        <v>170</v>
      </c>
      <c r="G100" s="222">
        <v>187</v>
      </c>
      <c r="H100" s="222">
        <f>187-170</f>
        <v>17</v>
      </c>
      <c r="I100" s="218">
        <v>100</v>
      </c>
      <c r="J100" s="268">
        <f t="shared" ref="J100:J119" si="10">I100*H100</f>
        <v>1700</v>
      </c>
      <c r="K100" s="185"/>
      <c r="V100" s="183">
        <f t="shared" ref="V100:V121" si="11">IF($J100&gt;0,1,0)</f>
        <v>1</v>
      </c>
      <c r="W100" s="183">
        <f t="shared" ref="W100:W121" si="12">IF($J100&lt;0,1,0)</f>
        <v>0</v>
      </c>
    </row>
    <row r="101" spans="1:23" x14ac:dyDescent="0.3">
      <c r="A101" s="184"/>
      <c r="B101" s="194">
        <v>3</v>
      </c>
      <c r="C101" s="195">
        <v>45693</v>
      </c>
      <c r="D101" s="196" t="s">
        <v>16</v>
      </c>
      <c r="E101" s="222" t="s">
        <v>910</v>
      </c>
      <c r="F101" s="222">
        <v>175</v>
      </c>
      <c r="G101" s="222">
        <v>195</v>
      </c>
      <c r="H101" s="222">
        <v>20</v>
      </c>
      <c r="I101" s="218">
        <v>100</v>
      </c>
      <c r="J101" s="268">
        <f t="shared" si="10"/>
        <v>2000</v>
      </c>
      <c r="K101" s="185"/>
      <c r="M101" s="183" t="s">
        <v>870</v>
      </c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4</v>
      </c>
      <c r="C102" s="195">
        <v>45694</v>
      </c>
      <c r="D102" s="196" t="s">
        <v>16</v>
      </c>
      <c r="E102" s="222" t="s">
        <v>910</v>
      </c>
      <c r="F102" s="222">
        <v>220</v>
      </c>
      <c r="G102" s="222">
        <v>229</v>
      </c>
      <c r="H102" s="222">
        <v>9</v>
      </c>
      <c r="I102" s="218">
        <v>100</v>
      </c>
      <c r="J102" s="268">
        <f t="shared" si="10"/>
        <v>900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5</v>
      </c>
      <c r="C103" s="195">
        <v>45695</v>
      </c>
      <c r="D103" s="196" t="s">
        <v>16</v>
      </c>
      <c r="E103" s="222" t="s">
        <v>910</v>
      </c>
      <c r="F103" s="222">
        <v>225</v>
      </c>
      <c r="G103" s="222">
        <v>234</v>
      </c>
      <c r="H103" s="222">
        <f>234-225</f>
        <v>9</v>
      </c>
      <c r="I103" s="218">
        <v>100</v>
      </c>
      <c r="J103" s="268">
        <f t="shared" si="10"/>
        <v>900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6</v>
      </c>
      <c r="C104" s="195">
        <v>45698</v>
      </c>
      <c r="D104" s="196" t="s">
        <v>16</v>
      </c>
      <c r="E104" s="222" t="s">
        <v>910</v>
      </c>
      <c r="F104" s="222">
        <v>180</v>
      </c>
      <c r="G104" s="222">
        <v>188</v>
      </c>
      <c r="H104" s="222">
        <v>8</v>
      </c>
      <c r="I104" s="218">
        <v>100</v>
      </c>
      <c r="J104" s="268">
        <f t="shared" si="10"/>
        <v>800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7</v>
      </c>
      <c r="C105" s="195">
        <v>45699</v>
      </c>
      <c r="D105" s="196" t="s">
        <v>16</v>
      </c>
      <c r="E105" s="222" t="s">
        <v>913</v>
      </c>
      <c r="F105" s="222">
        <v>190</v>
      </c>
      <c r="G105" s="222">
        <v>170</v>
      </c>
      <c r="H105" s="274">
        <v>-20</v>
      </c>
      <c r="I105" s="218">
        <v>100</v>
      </c>
      <c r="J105" s="268">
        <f t="shared" si="10"/>
        <v>-2000</v>
      </c>
      <c r="K105" s="185"/>
      <c r="M105" s="183" t="s">
        <v>942</v>
      </c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8</v>
      </c>
      <c r="C106" s="195">
        <v>45700</v>
      </c>
      <c r="D106" s="196" t="s">
        <v>16</v>
      </c>
      <c r="E106" s="222" t="s">
        <v>913</v>
      </c>
      <c r="F106" s="222">
        <v>200</v>
      </c>
      <c r="G106" s="222">
        <v>240</v>
      </c>
      <c r="H106" s="222">
        <v>40</v>
      </c>
      <c r="I106" s="218">
        <v>100</v>
      </c>
      <c r="J106" s="268">
        <f t="shared" si="10"/>
        <v>4000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9</v>
      </c>
      <c r="C107" s="195">
        <v>45701</v>
      </c>
      <c r="D107" s="196" t="s">
        <v>16</v>
      </c>
      <c r="E107" s="222" t="s">
        <v>907</v>
      </c>
      <c r="F107" s="222">
        <v>180</v>
      </c>
      <c r="G107" s="222">
        <v>200</v>
      </c>
      <c r="H107" s="222">
        <v>20</v>
      </c>
      <c r="I107" s="218">
        <v>100</v>
      </c>
      <c r="J107" s="268">
        <f t="shared" si="10"/>
        <v>2000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10</v>
      </c>
      <c r="C108" s="195">
        <v>45702</v>
      </c>
      <c r="D108" s="196" t="s">
        <v>16</v>
      </c>
      <c r="E108" s="222" t="s">
        <v>910</v>
      </c>
      <c r="F108" s="222">
        <v>180</v>
      </c>
      <c r="G108" s="222">
        <v>212</v>
      </c>
      <c r="H108" s="222">
        <f>212-180</f>
        <v>32</v>
      </c>
      <c r="I108" s="218">
        <v>100</v>
      </c>
      <c r="J108" s="268">
        <f t="shared" si="10"/>
        <v>3200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11</v>
      </c>
      <c r="C109" s="195">
        <v>45705</v>
      </c>
      <c r="D109" s="196" t="s">
        <v>16</v>
      </c>
      <c r="E109" s="222" t="s">
        <v>908</v>
      </c>
      <c r="F109" s="222">
        <v>200</v>
      </c>
      <c r="G109" s="222">
        <v>215</v>
      </c>
      <c r="H109" s="274">
        <v>15</v>
      </c>
      <c r="I109" s="218">
        <v>100</v>
      </c>
      <c r="J109" s="268">
        <f t="shared" si="10"/>
        <v>1500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12</v>
      </c>
      <c r="C110" s="195">
        <v>45706</v>
      </c>
      <c r="D110" s="196" t="s">
        <v>16</v>
      </c>
      <c r="E110" s="222" t="s">
        <v>908</v>
      </c>
      <c r="F110" s="222">
        <v>150</v>
      </c>
      <c r="G110" s="222">
        <v>187</v>
      </c>
      <c r="H110" s="274">
        <f>187-150</f>
        <v>37</v>
      </c>
      <c r="I110" s="218">
        <v>100</v>
      </c>
      <c r="J110" s="268">
        <f t="shared" si="10"/>
        <v>3700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13</v>
      </c>
      <c r="C111" s="195">
        <v>45707</v>
      </c>
      <c r="D111" s="196" t="s">
        <v>16</v>
      </c>
      <c r="E111" s="222" t="s">
        <v>907</v>
      </c>
      <c r="F111" s="222">
        <v>175</v>
      </c>
      <c r="G111" s="222">
        <v>155</v>
      </c>
      <c r="H111" s="274">
        <v>-20</v>
      </c>
      <c r="I111" s="218">
        <v>100</v>
      </c>
      <c r="J111" s="268">
        <f t="shared" si="10"/>
        <v>-2000</v>
      </c>
      <c r="K111" s="185"/>
      <c r="V111" s="183">
        <f t="shared" si="11"/>
        <v>0</v>
      </c>
      <c r="W111" s="183">
        <f t="shared" si="12"/>
        <v>1</v>
      </c>
    </row>
    <row r="112" spans="1:23" x14ac:dyDescent="0.3">
      <c r="A112" s="184"/>
      <c r="B112" s="194">
        <v>14</v>
      </c>
      <c r="C112" s="195">
        <v>45708</v>
      </c>
      <c r="D112" s="196" t="s">
        <v>16</v>
      </c>
      <c r="E112" s="222" t="s">
        <v>907</v>
      </c>
      <c r="F112" s="222">
        <v>180</v>
      </c>
      <c r="G112" s="222">
        <v>200</v>
      </c>
      <c r="H112" s="274">
        <v>20</v>
      </c>
      <c r="I112" s="218">
        <v>100</v>
      </c>
      <c r="J112" s="268">
        <f t="shared" si="10"/>
        <v>2000</v>
      </c>
      <c r="K112" s="185"/>
      <c r="V112" s="183">
        <f t="shared" si="11"/>
        <v>1</v>
      </c>
      <c r="W112" s="183">
        <f t="shared" si="12"/>
        <v>0</v>
      </c>
    </row>
    <row r="113" spans="1:23" x14ac:dyDescent="0.3">
      <c r="A113" s="184"/>
      <c r="B113" s="194">
        <v>15</v>
      </c>
      <c r="C113" s="195">
        <v>45709</v>
      </c>
      <c r="D113" s="196" t="s">
        <v>16</v>
      </c>
      <c r="E113" s="196" t="s">
        <v>907</v>
      </c>
      <c r="F113" s="222">
        <v>185</v>
      </c>
      <c r="G113" s="222">
        <v>204</v>
      </c>
      <c r="H113" s="222">
        <f>204-185</f>
        <v>19</v>
      </c>
      <c r="I113" s="218">
        <v>100</v>
      </c>
      <c r="J113" s="268">
        <f t="shared" si="10"/>
        <v>1900</v>
      </c>
      <c r="K113" s="185"/>
      <c r="V113" s="183">
        <f t="shared" si="11"/>
        <v>1</v>
      </c>
      <c r="W113" s="183">
        <f t="shared" si="12"/>
        <v>0</v>
      </c>
    </row>
    <row r="114" spans="1:23" x14ac:dyDescent="0.3">
      <c r="A114" s="184"/>
      <c r="B114" s="194">
        <v>16</v>
      </c>
      <c r="C114" s="195">
        <v>45712</v>
      </c>
      <c r="D114" s="196" t="s">
        <v>16</v>
      </c>
      <c r="E114" s="196" t="s">
        <v>915</v>
      </c>
      <c r="F114" s="222">
        <v>170</v>
      </c>
      <c r="G114" s="274">
        <v>179</v>
      </c>
      <c r="H114" s="274">
        <v>9</v>
      </c>
      <c r="I114" s="218">
        <v>100</v>
      </c>
      <c r="J114" s="268">
        <f t="shared" si="10"/>
        <v>900</v>
      </c>
      <c r="K114" s="185"/>
      <c r="V114" s="183">
        <f t="shared" si="11"/>
        <v>1</v>
      </c>
      <c r="W114" s="183">
        <f t="shared" si="12"/>
        <v>0</v>
      </c>
    </row>
    <row r="115" spans="1:23" x14ac:dyDescent="0.3">
      <c r="A115" s="184"/>
      <c r="B115" s="194">
        <v>17</v>
      </c>
      <c r="C115" s="195">
        <v>45713</v>
      </c>
      <c r="D115" s="196" t="s">
        <v>16</v>
      </c>
      <c r="E115" s="196" t="s">
        <v>908</v>
      </c>
      <c r="F115" s="222">
        <v>175</v>
      </c>
      <c r="G115" s="222">
        <v>195</v>
      </c>
      <c r="H115" s="263">
        <v>20</v>
      </c>
      <c r="I115" s="218">
        <v>100</v>
      </c>
      <c r="J115" s="268">
        <f t="shared" si="10"/>
        <v>2000</v>
      </c>
      <c r="K115" s="185"/>
      <c r="V115" s="183">
        <f t="shared" si="11"/>
        <v>1</v>
      </c>
      <c r="W115" s="183">
        <f t="shared" si="12"/>
        <v>0</v>
      </c>
    </row>
    <row r="116" spans="1:23" x14ac:dyDescent="0.3">
      <c r="A116" s="184"/>
      <c r="B116" s="194">
        <v>18</v>
      </c>
      <c r="C116" s="195">
        <v>45715</v>
      </c>
      <c r="D116" s="196" t="s">
        <v>16</v>
      </c>
      <c r="E116" s="196" t="s">
        <v>915</v>
      </c>
      <c r="F116" s="222">
        <v>200</v>
      </c>
      <c r="G116" s="222">
        <v>180</v>
      </c>
      <c r="H116" s="274">
        <v>-20</v>
      </c>
      <c r="I116" s="218">
        <v>100</v>
      </c>
      <c r="J116" s="268">
        <f t="shared" si="10"/>
        <v>-2000</v>
      </c>
      <c r="K116" s="185"/>
      <c r="V116" s="183">
        <f t="shared" si="11"/>
        <v>0</v>
      </c>
      <c r="W116" s="183">
        <f t="shared" si="12"/>
        <v>1</v>
      </c>
    </row>
    <row r="117" spans="1:23" ht="15" thickBot="1" x14ac:dyDescent="0.35">
      <c r="A117" s="184"/>
      <c r="B117" s="194">
        <v>19</v>
      </c>
      <c r="C117" s="195">
        <v>45716</v>
      </c>
      <c r="D117" s="196" t="s">
        <v>16</v>
      </c>
      <c r="E117" s="196" t="s">
        <v>908</v>
      </c>
      <c r="F117" s="222">
        <v>210</v>
      </c>
      <c r="G117" s="222">
        <v>228.9</v>
      </c>
      <c r="H117" s="274">
        <f>228.9-210</f>
        <v>18.900000000000006</v>
      </c>
      <c r="I117" s="218">
        <v>100</v>
      </c>
      <c r="J117" s="268">
        <f t="shared" si="10"/>
        <v>1890.0000000000005</v>
      </c>
      <c r="K117" s="185"/>
      <c r="V117" s="183">
        <f t="shared" si="11"/>
        <v>1</v>
      </c>
      <c r="W117" s="183">
        <f t="shared" si="12"/>
        <v>0</v>
      </c>
    </row>
    <row r="118" spans="1:23" hidden="1" x14ac:dyDescent="0.3">
      <c r="A118" s="184"/>
      <c r="B118" s="194">
        <v>20</v>
      </c>
      <c r="C118" s="195"/>
      <c r="D118" s="196"/>
      <c r="E118" s="222"/>
      <c r="F118" s="222"/>
      <c r="G118" s="222"/>
      <c r="H118" s="274"/>
      <c r="I118" s="218"/>
      <c r="J118" s="268">
        <f t="shared" si="10"/>
        <v>0</v>
      </c>
      <c r="K118" s="185"/>
      <c r="V118" s="183">
        <f t="shared" si="11"/>
        <v>0</v>
      </c>
      <c r="W118" s="183">
        <f t="shared" si="12"/>
        <v>0</v>
      </c>
    </row>
    <row r="119" spans="1:23" hidden="1" x14ac:dyDescent="0.3">
      <c r="A119" s="184"/>
      <c r="B119" s="194">
        <v>21</v>
      </c>
      <c r="C119" s="195"/>
      <c r="D119" s="196"/>
      <c r="E119" s="222"/>
      <c r="F119" s="222"/>
      <c r="G119" s="222"/>
      <c r="H119" s="274"/>
      <c r="I119" s="218"/>
      <c r="J119" s="268">
        <f t="shared" si="10"/>
        <v>0</v>
      </c>
      <c r="K119" s="185"/>
      <c r="V119" s="183">
        <f t="shared" si="11"/>
        <v>0</v>
      </c>
      <c r="W119" s="183">
        <f t="shared" si="12"/>
        <v>0</v>
      </c>
    </row>
    <row r="120" spans="1:23" hidden="1" x14ac:dyDescent="0.3">
      <c r="A120" s="184"/>
      <c r="B120" s="194">
        <v>22</v>
      </c>
      <c r="C120" s="195"/>
      <c r="D120" s="196"/>
      <c r="E120" s="222"/>
      <c r="F120" s="222"/>
      <c r="G120" s="222"/>
      <c r="H120" s="222"/>
      <c r="I120" s="218"/>
      <c r="J120" s="268">
        <f>I120*H120</f>
        <v>0</v>
      </c>
      <c r="K120" s="185"/>
      <c r="V120" s="183">
        <f t="shared" si="11"/>
        <v>0</v>
      </c>
      <c r="W120" s="183">
        <f t="shared" si="12"/>
        <v>0</v>
      </c>
    </row>
    <row r="121" spans="1:23" ht="15" hidden="1" thickBot="1" x14ac:dyDescent="0.35">
      <c r="A121" s="184"/>
      <c r="B121" s="199">
        <v>23</v>
      </c>
      <c r="C121" s="200"/>
      <c r="D121" s="201"/>
      <c r="E121" s="201"/>
      <c r="F121" s="284"/>
      <c r="G121" s="284"/>
      <c r="H121" s="284"/>
      <c r="I121" s="285"/>
      <c r="J121" s="269">
        <f>I121*H121</f>
        <v>0</v>
      </c>
      <c r="K121" s="185"/>
      <c r="V121" s="183">
        <f t="shared" si="11"/>
        <v>0</v>
      </c>
      <c r="W121" s="183">
        <f t="shared" si="12"/>
        <v>0</v>
      </c>
    </row>
    <row r="122" spans="1:23" ht="24" thickBot="1" x14ac:dyDescent="0.5">
      <c r="A122" s="184"/>
      <c r="B122" s="304" t="s">
        <v>879</v>
      </c>
      <c r="C122" s="305"/>
      <c r="D122" s="305"/>
      <c r="E122" s="305"/>
      <c r="F122" s="305"/>
      <c r="G122" s="305"/>
      <c r="H122" s="306"/>
      <c r="I122" s="203" t="s">
        <v>880</v>
      </c>
      <c r="J122" s="204">
        <f>SUM(J99:J121)</f>
        <v>24390</v>
      </c>
      <c r="K122" s="185"/>
      <c r="V122" s="183">
        <f>SUM(V99:V121)</f>
        <v>16</v>
      </c>
      <c r="W122" s="183">
        <f>SUM(W99:W121)</f>
        <v>3</v>
      </c>
    </row>
    <row r="123" spans="1:23" ht="30" customHeight="1" thickBot="1" x14ac:dyDescent="0.35">
      <c r="A123" s="205"/>
      <c r="B123" s="286"/>
      <c r="C123" s="286"/>
      <c r="D123" s="286"/>
      <c r="E123" s="286"/>
      <c r="F123" s="286"/>
      <c r="G123" s="286"/>
      <c r="H123" s="287"/>
      <c r="I123" s="286"/>
      <c r="J123" s="287"/>
      <c r="K123" s="207"/>
    </row>
    <row r="124" spans="1:23" ht="15" thickBot="1" x14ac:dyDescent="0.35"/>
    <row r="125" spans="1:23" ht="15" thickBot="1" x14ac:dyDescent="0.35">
      <c r="A125" s="180"/>
      <c r="B125" s="181"/>
      <c r="C125" s="181"/>
      <c r="D125" s="181"/>
      <c r="E125" s="181"/>
      <c r="F125" s="181"/>
      <c r="G125" s="181"/>
      <c r="H125" s="259"/>
      <c r="I125" s="181"/>
      <c r="J125" s="259"/>
      <c r="K125" s="182"/>
    </row>
    <row r="126" spans="1:23" ht="25.2" thickBot="1" x14ac:dyDescent="0.35">
      <c r="A126" s="184" t="s">
        <v>0</v>
      </c>
      <c r="B126" s="307" t="s">
        <v>873</v>
      </c>
      <c r="C126" s="308"/>
      <c r="D126" s="308"/>
      <c r="E126" s="308"/>
      <c r="F126" s="308"/>
      <c r="G126" s="308"/>
      <c r="H126" s="308"/>
      <c r="I126" s="308"/>
      <c r="J126" s="309"/>
      <c r="K126" s="185"/>
    </row>
    <row r="127" spans="1:23" ht="16.2" thickBot="1" x14ac:dyDescent="0.35">
      <c r="A127" s="184"/>
      <c r="B127" s="310">
        <v>45689</v>
      </c>
      <c r="C127" s="311"/>
      <c r="D127" s="311"/>
      <c r="E127" s="311"/>
      <c r="F127" s="311"/>
      <c r="G127" s="311"/>
      <c r="H127" s="311"/>
      <c r="I127" s="311"/>
      <c r="J127" s="312"/>
      <c r="K127" s="185"/>
    </row>
    <row r="128" spans="1:23" ht="16.2" thickBot="1" x14ac:dyDescent="0.35">
      <c r="A128" s="184"/>
      <c r="B128" s="313" t="s">
        <v>995</v>
      </c>
      <c r="C128" s="314"/>
      <c r="D128" s="314"/>
      <c r="E128" s="314"/>
      <c r="F128" s="314"/>
      <c r="G128" s="314"/>
      <c r="H128" s="314"/>
      <c r="I128" s="314"/>
      <c r="J128" s="315"/>
      <c r="K128" s="185"/>
    </row>
    <row r="129" spans="1:23" ht="15" thickBot="1" x14ac:dyDescent="0.35">
      <c r="A129" s="208"/>
      <c r="B129" s="186" t="s">
        <v>876</v>
      </c>
      <c r="C129" s="187" t="s">
        <v>1</v>
      </c>
      <c r="D129" s="188" t="s">
        <v>2</v>
      </c>
      <c r="E129" s="188" t="s">
        <v>3</v>
      </c>
      <c r="F129" s="189" t="s">
        <v>4</v>
      </c>
      <c r="G129" s="189" t="s">
        <v>5</v>
      </c>
      <c r="H129" s="260" t="s">
        <v>720</v>
      </c>
      <c r="I129" s="189" t="s">
        <v>1017</v>
      </c>
      <c r="J129" s="266" t="s">
        <v>7</v>
      </c>
      <c r="K129" s="209"/>
    </row>
    <row r="130" spans="1:23" x14ac:dyDescent="0.3">
      <c r="A130" s="184"/>
      <c r="B130" s="214">
        <v>1</v>
      </c>
      <c r="C130" s="215">
        <v>45691</v>
      </c>
      <c r="D130" s="216" t="s">
        <v>16</v>
      </c>
      <c r="E130" s="256" t="s">
        <v>999</v>
      </c>
      <c r="F130" s="256">
        <v>18</v>
      </c>
      <c r="G130" s="256">
        <v>15</v>
      </c>
      <c r="H130" s="256">
        <v>-3</v>
      </c>
      <c r="I130" s="218">
        <v>2500</v>
      </c>
      <c r="J130" s="273">
        <f>I130*H130</f>
        <v>-7500</v>
      </c>
      <c r="K130" s="185"/>
      <c r="V130" s="183">
        <f t="shared" ref="V130:V152" si="13">IF($J130&gt;0,1,0)</f>
        <v>0</v>
      </c>
      <c r="W130" s="183">
        <f t="shared" ref="W130:W152" si="14">IF($J130&lt;0,1,0)</f>
        <v>1</v>
      </c>
    </row>
    <row r="131" spans="1:23" x14ac:dyDescent="0.3">
      <c r="A131" s="184"/>
      <c r="B131" s="194">
        <v>2</v>
      </c>
      <c r="C131" s="195">
        <v>45692</v>
      </c>
      <c r="D131" s="196" t="s">
        <v>16</v>
      </c>
      <c r="E131" s="222" t="s">
        <v>999</v>
      </c>
      <c r="F131" s="222">
        <v>20</v>
      </c>
      <c r="G131" s="222">
        <v>21.5</v>
      </c>
      <c r="H131" s="222">
        <v>1.5</v>
      </c>
      <c r="I131" s="218">
        <v>2500</v>
      </c>
      <c r="J131" s="268">
        <f t="shared" ref="J131:J150" si="15">I131*H131</f>
        <v>3750</v>
      </c>
      <c r="K131" s="185"/>
      <c r="V131" s="183">
        <f t="shared" si="13"/>
        <v>1</v>
      </c>
      <c r="W131" s="183">
        <f t="shared" si="14"/>
        <v>0</v>
      </c>
    </row>
    <row r="132" spans="1:23" x14ac:dyDescent="0.3">
      <c r="A132" s="184"/>
      <c r="B132" s="194">
        <v>3</v>
      </c>
      <c r="C132" s="195">
        <v>45693</v>
      </c>
      <c r="D132" s="196" t="s">
        <v>16</v>
      </c>
      <c r="E132" s="222" t="s">
        <v>1006</v>
      </c>
      <c r="F132" s="222">
        <v>15</v>
      </c>
      <c r="G132" s="222">
        <v>19</v>
      </c>
      <c r="H132" s="222">
        <v>4</v>
      </c>
      <c r="I132" s="218">
        <v>2500</v>
      </c>
      <c r="J132" s="268">
        <f t="shared" si="15"/>
        <v>10000</v>
      </c>
      <c r="K132" s="185"/>
      <c r="V132" s="183">
        <f t="shared" si="13"/>
        <v>1</v>
      </c>
      <c r="W132" s="183">
        <f t="shared" si="14"/>
        <v>0</v>
      </c>
    </row>
    <row r="133" spans="1:23" x14ac:dyDescent="0.3">
      <c r="A133" s="184"/>
      <c r="B133" s="194">
        <v>4</v>
      </c>
      <c r="C133" s="195">
        <v>45694</v>
      </c>
      <c r="D133" s="196" t="s">
        <v>16</v>
      </c>
      <c r="E133" s="222" t="s">
        <v>1009</v>
      </c>
      <c r="F133" s="222">
        <v>13.5</v>
      </c>
      <c r="G133" s="222">
        <v>14.5</v>
      </c>
      <c r="H133" s="222">
        <v>1</v>
      </c>
      <c r="I133" s="218">
        <v>2500</v>
      </c>
      <c r="J133" s="268">
        <f t="shared" si="15"/>
        <v>2500</v>
      </c>
      <c r="K133" s="185"/>
      <c r="V133" s="183">
        <f t="shared" si="13"/>
        <v>1</v>
      </c>
      <c r="W133" s="183">
        <f t="shared" si="14"/>
        <v>0</v>
      </c>
    </row>
    <row r="134" spans="1:23" x14ac:dyDescent="0.3">
      <c r="A134" s="184"/>
      <c r="B134" s="194">
        <v>5</v>
      </c>
      <c r="C134" s="195">
        <v>45695</v>
      </c>
      <c r="D134" s="196" t="s">
        <v>16</v>
      </c>
      <c r="E134" s="222" t="s">
        <v>999</v>
      </c>
      <c r="F134" s="222">
        <v>12</v>
      </c>
      <c r="G134" s="222">
        <v>15</v>
      </c>
      <c r="H134" s="222">
        <v>3</v>
      </c>
      <c r="I134" s="218">
        <v>2500</v>
      </c>
      <c r="J134" s="268">
        <f t="shared" si="15"/>
        <v>7500</v>
      </c>
      <c r="K134" s="185"/>
      <c r="V134" s="183">
        <f t="shared" si="13"/>
        <v>1</v>
      </c>
      <c r="W134" s="183">
        <f t="shared" si="14"/>
        <v>0</v>
      </c>
    </row>
    <row r="135" spans="1:23" x14ac:dyDescent="0.3">
      <c r="A135" s="184"/>
      <c r="B135" s="194">
        <v>6</v>
      </c>
      <c r="C135" s="195">
        <v>45698</v>
      </c>
      <c r="D135" s="196" t="s">
        <v>16</v>
      </c>
      <c r="E135" s="222" t="s">
        <v>1010</v>
      </c>
      <c r="F135" s="222">
        <v>14</v>
      </c>
      <c r="G135" s="222">
        <v>15.2</v>
      </c>
      <c r="H135" s="222">
        <v>1.5</v>
      </c>
      <c r="I135" s="218">
        <v>2500</v>
      </c>
      <c r="J135" s="268">
        <f t="shared" si="15"/>
        <v>3750</v>
      </c>
      <c r="K135" s="185"/>
      <c r="V135" s="183">
        <f t="shared" si="13"/>
        <v>1</v>
      </c>
      <c r="W135" s="183">
        <f t="shared" si="14"/>
        <v>0</v>
      </c>
    </row>
    <row r="136" spans="1:23" x14ac:dyDescent="0.3">
      <c r="A136" s="184"/>
      <c r="B136" s="194">
        <v>7</v>
      </c>
      <c r="C136" s="195">
        <v>45699</v>
      </c>
      <c r="D136" s="196" t="s">
        <v>16</v>
      </c>
      <c r="E136" s="222" t="s">
        <v>1012</v>
      </c>
      <c r="F136" s="222">
        <v>14.5</v>
      </c>
      <c r="G136" s="222">
        <v>11.5</v>
      </c>
      <c r="H136" s="274">
        <v>-3</v>
      </c>
      <c r="I136" s="218">
        <v>2500</v>
      </c>
      <c r="J136" s="268">
        <f t="shared" si="15"/>
        <v>-7500</v>
      </c>
      <c r="K136" s="185"/>
      <c r="V136" s="183">
        <f t="shared" si="13"/>
        <v>0</v>
      </c>
      <c r="W136" s="183">
        <f t="shared" si="14"/>
        <v>1</v>
      </c>
    </row>
    <row r="137" spans="1:23" x14ac:dyDescent="0.3">
      <c r="A137" s="184"/>
      <c r="B137" s="194">
        <v>8</v>
      </c>
      <c r="C137" s="195">
        <v>45700</v>
      </c>
      <c r="D137" s="196" t="s">
        <v>16</v>
      </c>
      <c r="E137" s="222" t="s">
        <v>1012</v>
      </c>
      <c r="F137" s="222">
        <v>12.5</v>
      </c>
      <c r="G137" s="222">
        <v>11.5</v>
      </c>
      <c r="H137" s="222">
        <v>-1</v>
      </c>
      <c r="I137" s="218">
        <v>2500</v>
      </c>
      <c r="J137" s="268">
        <f t="shared" si="15"/>
        <v>-2500</v>
      </c>
      <c r="K137" s="185"/>
      <c r="V137" s="183">
        <f t="shared" si="13"/>
        <v>0</v>
      </c>
      <c r="W137" s="183">
        <f t="shared" si="14"/>
        <v>1</v>
      </c>
    </row>
    <row r="138" spans="1:23" x14ac:dyDescent="0.3">
      <c r="A138" s="184"/>
      <c r="B138" s="194">
        <v>9</v>
      </c>
      <c r="C138" s="195">
        <v>45701</v>
      </c>
      <c r="D138" s="196" t="s">
        <v>16</v>
      </c>
      <c r="E138" s="222" t="s">
        <v>1015</v>
      </c>
      <c r="F138" s="222">
        <v>12.5</v>
      </c>
      <c r="G138" s="222">
        <v>14</v>
      </c>
      <c r="H138" s="222">
        <f>14-12.5</f>
        <v>1.5</v>
      </c>
      <c r="I138" s="218">
        <v>2500</v>
      </c>
      <c r="J138" s="268">
        <f t="shared" si="15"/>
        <v>3750</v>
      </c>
      <c r="K138" s="185"/>
      <c r="V138" s="183">
        <f t="shared" si="13"/>
        <v>1</v>
      </c>
      <c r="W138" s="183">
        <f t="shared" si="14"/>
        <v>0</v>
      </c>
    </row>
    <row r="139" spans="1:23" x14ac:dyDescent="0.3">
      <c r="A139" s="184"/>
      <c r="B139" s="194">
        <v>10</v>
      </c>
      <c r="C139" s="195">
        <v>45702</v>
      </c>
      <c r="D139" s="196" t="s">
        <v>16</v>
      </c>
      <c r="E139" s="222" t="s">
        <v>1016</v>
      </c>
      <c r="F139" s="222">
        <v>13</v>
      </c>
      <c r="G139" s="222">
        <v>14</v>
      </c>
      <c r="H139" s="222">
        <v>1</v>
      </c>
      <c r="I139" s="218">
        <v>2500</v>
      </c>
      <c r="J139" s="268">
        <f t="shared" si="15"/>
        <v>2500</v>
      </c>
      <c r="K139" s="185"/>
      <c r="V139" s="183">
        <f t="shared" si="13"/>
        <v>1</v>
      </c>
      <c r="W139" s="183">
        <f t="shared" si="14"/>
        <v>0</v>
      </c>
    </row>
    <row r="140" spans="1:23" x14ac:dyDescent="0.3">
      <c r="A140" s="184"/>
      <c r="B140" s="194">
        <v>11</v>
      </c>
      <c r="C140" s="195">
        <v>45705</v>
      </c>
      <c r="D140" s="196" t="s">
        <v>16</v>
      </c>
      <c r="E140" s="222" t="s">
        <v>1015</v>
      </c>
      <c r="F140" s="222">
        <v>14</v>
      </c>
      <c r="G140" s="222">
        <v>19</v>
      </c>
      <c r="H140" s="274">
        <v>5</v>
      </c>
      <c r="I140" s="218">
        <v>2500</v>
      </c>
      <c r="J140" s="268">
        <f t="shared" si="15"/>
        <v>12500</v>
      </c>
      <c r="K140" s="185"/>
      <c r="V140" s="183">
        <f t="shared" si="13"/>
        <v>1</v>
      </c>
      <c r="W140" s="183">
        <f t="shared" si="14"/>
        <v>0</v>
      </c>
    </row>
    <row r="141" spans="1:23" x14ac:dyDescent="0.3">
      <c r="A141" s="184"/>
      <c r="B141" s="194">
        <v>12</v>
      </c>
      <c r="C141" s="195">
        <v>45706</v>
      </c>
      <c r="D141" s="196" t="s">
        <v>16</v>
      </c>
      <c r="E141" s="222" t="s">
        <v>1015</v>
      </c>
      <c r="F141" s="222">
        <v>16</v>
      </c>
      <c r="G141" s="222">
        <v>13</v>
      </c>
      <c r="H141" s="274">
        <v>-3</v>
      </c>
      <c r="I141" s="218">
        <v>2500</v>
      </c>
      <c r="J141" s="268">
        <f t="shared" si="15"/>
        <v>-7500</v>
      </c>
      <c r="K141" s="185"/>
      <c r="V141" s="183">
        <f t="shared" si="13"/>
        <v>0</v>
      </c>
      <c r="W141" s="183">
        <f t="shared" si="14"/>
        <v>1</v>
      </c>
    </row>
    <row r="142" spans="1:23" x14ac:dyDescent="0.3">
      <c r="A142" s="184"/>
      <c r="B142" s="194">
        <v>13</v>
      </c>
      <c r="C142" s="195">
        <v>45707</v>
      </c>
      <c r="D142" s="196" t="s">
        <v>16</v>
      </c>
      <c r="E142" s="222" t="s">
        <v>1019</v>
      </c>
      <c r="F142" s="222">
        <v>9.5</v>
      </c>
      <c r="G142" s="222">
        <v>12</v>
      </c>
      <c r="H142" s="274">
        <f>12-9.5</f>
        <v>2.5</v>
      </c>
      <c r="I142" s="218">
        <v>2500</v>
      </c>
      <c r="J142" s="268">
        <f t="shared" si="15"/>
        <v>6250</v>
      </c>
      <c r="K142" s="185"/>
      <c r="V142" s="183">
        <f t="shared" si="13"/>
        <v>1</v>
      </c>
      <c r="W142" s="183">
        <f t="shared" si="14"/>
        <v>0</v>
      </c>
    </row>
    <row r="143" spans="1:23" x14ac:dyDescent="0.3">
      <c r="A143" s="184"/>
      <c r="B143" s="194">
        <v>14</v>
      </c>
      <c r="C143" s="195">
        <v>45708</v>
      </c>
      <c r="D143" s="196" t="s">
        <v>16</v>
      </c>
      <c r="E143" s="222" t="s">
        <v>1023</v>
      </c>
      <c r="F143" s="222">
        <v>14</v>
      </c>
      <c r="G143" s="222">
        <v>17</v>
      </c>
      <c r="H143" s="274">
        <v>3</v>
      </c>
      <c r="I143" s="218">
        <v>2500</v>
      </c>
      <c r="J143" s="268">
        <f t="shared" si="15"/>
        <v>7500</v>
      </c>
      <c r="K143" s="185"/>
      <c r="V143" s="183">
        <f t="shared" si="13"/>
        <v>1</v>
      </c>
      <c r="W143" s="183">
        <f t="shared" si="14"/>
        <v>0</v>
      </c>
    </row>
    <row r="144" spans="1:23" x14ac:dyDescent="0.3">
      <c r="A144" s="184"/>
      <c r="B144" s="194">
        <v>15</v>
      </c>
      <c r="C144" s="195">
        <v>45709</v>
      </c>
      <c r="D144" s="196" t="s">
        <v>16</v>
      </c>
      <c r="E144" s="196" t="s">
        <v>1024</v>
      </c>
      <c r="F144" s="222">
        <v>10</v>
      </c>
      <c r="G144" s="222">
        <v>11.4</v>
      </c>
      <c r="H144" s="222">
        <v>1.4</v>
      </c>
      <c r="I144" s="218">
        <v>2500</v>
      </c>
      <c r="J144" s="268">
        <f t="shared" si="15"/>
        <v>3500</v>
      </c>
      <c r="K144" s="185"/>
      <c r="V144" s="183">
        <f t="shared" si="13"/>
        <v>1</v>
      </c>
      <c r="W144" s="183">
        <f t="shared" si="14"/>
        <v>0</v>
      </c>
    </row>
    <row r="145" spans="1:23" x14ac:dyDescent="0.3">
      <c r="A145" s="184"/>
      <c r="B145" s="194">
        <v>16</v>
      </c>
      <c r="C145" s="195">
        <v>45712</v>
      </c>
      <c r="D145" s="196" t="s">
        <v>16</v>
      </c>
      <c r="E145" s="196" t="s">
        <v>1025</v>
      </c>
      <c r="F145" s="222">
        <v>24</v>
      </c>
      <c r="G145" s="274">
        <v>26.5</v>
      </c>
      <c r="H145" s="274">
        <v>2.5</v>
      </c>
      <c r="I145" s="218">
        <v>2500</v>
      </c>
      <c r="J145" s="268">
        <f t="shared" si="15"/>
        <v>6250</v>
      </c>
      <c r="K145" s="185"/>
      <c r="V145" s="183">
        <f t="shared" si="13"/>
        <v>1</v>
      </c>
      <c r="W145" s="183">
        <f t="shared" si="14"/>
        <v>0</v>
      </c>
    </row>
    <row r="146" spans="1:23" x14ac:dyDescent="0.3">
      <c r="A146" s="184"/>
      <c r="B146" s="194">
        <v>17</v>
      </c>
      <c r="C146" s="195">
        <v>45713</v>
      </c>
      <c r="D146" s="196" t="s">
        <v>16</v>
      </c>
      <c r="E146" s="196" t="s">
        <v>1025</v>
      </c>
      <c r="F146" s="222">
        <v>21.5</v>
      </c>
      <c r="G146" s="222">
        <v>23.5</v>
      </c>
      <c r="H146" s="263">
        <v>2</v>
      </c>
      <c r="I146" s="218">
        <v>2500</v>
      </c>
      <c r="J146" s="268">
        <f t="shared" si="15"/>
        <v>5000</v>
      </c>
      <c r="K146" s="185"/>
      <c r="V146" s="183">
        <f t="shared" si="13"/>
        <v>1</v>
      </c>
      <c r="W146" s="183">
        <f t="shared" si="14"/>
        <v>0</v>
      </c>
    </row>
    <row r="147" spans="1:23" x14ac:dyDescent="0.3">
      <c r="A147" s="184"/>
      <c r="B147" s="194">
        <v>18</v>
      </c>
      <c r="C147" s="195">
        <v>45715</v>
      </c>
      <c r="D147" s="196" t="s">
        <v>16</v>
      </c>
      <c r="E147" s="196" t="s">
        <v>1025</v>
      </c>
      <c r="F147" s="222">
        <v>20</v>
      </c>
      <c r="G147" s="222">
        <v>23</v>
      </c>
      <c r="H147" s="274">
        <v>3</v>
      </c>
      <c r="I147" s="218">
        <v>2500</v>
      </c>
      <c r="J147" s="268">
        <f t="shared" si="15"/>
        <v>7500</v>
      </c>
      <c r="K147" s="185"/>
      <c r="V147" s="183">
        <f t="shared" si="13"/>
        <v>1</v>
      </c>
      <c r="W147" s="183">
        <f t="shared" si="14"/>
        <v>0</v>
      </c>
    </row>
    <row r="148" spans="1:23" ht="15" thickBot="1" x14ac:dyDescent="0.35">
      <c r="A148" s="184"/>
      <c r="B148" s="194">
        <v>19</v>
      </c>
      <c r="C148" s="195">
        <v>45716</v>
      </c>
      <c r="D148" s="196" t="s">
        <v>16</v>
      </c>
      <c r="E148" s="196" t="s">
        <v>1025</v>
      </c>
      <c r="F148" s="222">
        <v>19.5</v>
      </c>
      <c r="G148" s="222">
        <v>21.5</v>
      </c>
      <c r="H148" s="274">
        <v>2</v>
      </c>
      <c r="I148" s="218">
        <v>2500</v>
      </c>
      <c r="J148" s="268">
        <f t="shared" si="15"/>
        <v>5000</v>
      </c>
      <c r="K148" s="185"/>
      <c r="V148" s="183">
        <f t="shared" si="13"/>
        <v>1</v>
      </c>
      <c r="W148" s="183">
        <f t="shared" si="14"/>
        <v>0</v>
      </c>
    </row>
    <row r="149" spans="1:23" hidden="1" x14ac:dyDescent="0.3">
      <c r="A149" s="184"/>
      <c r="B149" s="194">
        <v>20</v>
      </c>
      <c r="C149" s="195"/>
      <c r="D149" s="196"/>
      <c r="E149" s="222"/>
      <c r="F149" s="222"/>
      <c r="G149" s="222"/>
      <c r="H149" s="274"/>
      <c r="I149" s="218"/>
      <c r="J149" s="268">
        <f t="shared" si="15"/>
        <v>0</v>
      </c>
      <c r="K149" s="185"/>
      <c r="V149" s="183">
        <f t="shared" si="13"/>
        <v>0</v>
      </c>
      <c r="W149" s="183">
        <f t="shared" si="14"/>
        <v>0</v>
      </c>
    </row>
    <row r="150" spans="1:23" hidden="1" x14ac:dyDescent="0.3">
      <c r="A150" s="184"/>
      <c r="B150" s="194">
        <v>21</v>
      </c>
      <c r="C150" s="195"/>
      <c r="D150" s="196"/>
      <c r="E150" s="222"/>
      <c r="F150" s="222"/>
      <c r="G150" s="222"/>
      <c r="H150" s="274"/>
      <c r="I150" s="218"/>
      <c r="J150" s="268">
        <f t="shared" si="15"/>
        <v>0</v>
      </c>
      <c r="K150" s="185"/>
      <c r="V150" s="183">
        <f t="shared" si="13"/>
        <v>0</v>
      </c>
      <c r="W150" s="183">
        <f t="shared" si="14"/>
        <v>0</v>
      </c>
    </row>
    <row r="151" spans="1:23" hidden="1" x14ac:dyDescent="0.3">
      <c r="A151" s="184"/>
      <c r="B151" s="194">
        <v>22</v>
      </c>
      <c r="C151" s="195"/>
      <c r="D151" s="196"/>
      <c r="E151" s="222"/>
      <c r="F151" s="222"/>
      <c r="G151" s="222"/>
      <c r="H151" s="222"/>
      <c r="I151" s="218"/>
      <c r="J151" s="268">
        <f>I151*H151</f>
        <v>0</v>
      </c>
      <c r="K151" s="185"/>
      <c r="V151" s="183">
        <f t="shared" si="13"/>
        <v>0</v>
      </c>
      <c r="W151" s="183">
        <f t="shared" si="14"/>
        <v>0</v>
      </c>
    </row>
    <row r="152" spans="1:23" ht="15" hidden="1" thickBot="1" x14ac:dyDescent="0.35">
      <c r="A152" s="184"/>
      <c r="B152" s="199">
        <v>23</v>
      </c>
      <c r="C152" s="200"/>
      <c r="D152" s="201"/>
      <c r="E152" s="201"/>
      <c r="F152" s="284"/>
      <c r="G152" s="284"/>
      <c r="H152" s="284"/>
      <c r="I152" s="285"/>
      <c r="J152" s="269">
        <f>I152*H152</f>
        <v>0</v>
      </c>
      <c r="K152" s="185"/>
      <c r="V152" s="183">
        <f t="shared" si="13"/>
        <v>0</v>
      </c>
      <c r="W152" s="183">
        <f t="shared" si="14"/>
        <v>0</v>
      </c>
    </row>
    <row r="153" spans="1:23" ht="24" thickBot="1" x14ac:dyDescent="0.5">
      <c r="A153" s="184"/>
      <c r="B153" s="304" t="s">
        <v>879</v>
      </c>
      <c r="C153" s="305"/>
      <c r="D153" s="305"/>
      <c r="E153" s="305"/>
      <c r="F153" s="305"/>
      <c r="G153" s="305"/>
      <c r="H153" s="306"/>
      <c r="I153" s="203" t="s">
        <v>880</v>
      </c>
      <c r="J153" s="204">
        <f>SUM(J130:J152)</f>
        <v>62250</v>
      </c>
      <c r="K153" s="185"/>
      <c r="V153" s="183">
        <f>SUM(V130:V152)</f>
        <v>15</v>
      </c>
      <c r="W153" s="183">
        <f>SUM(W130:W152)</f>
        <v>4</v>
      </c>
    </row>
    <row r="154" spans="1:23" ht="15" thickBot="1" x14ac:dyDescent="0.35">
      <c r="A154" s="205"/>
      <c r="B154" s="286"/>
      <c r="C154" s="286"/>
      <c r="D154" s="286"/>
      <c r="E154" s="286"/>
      <c r="F154" s="286"/>
      <c r="G154" s="286"/>
      <c r="H154" s="287"/>
      <c r="I154" s="286"/>
      <c r="J154" s="287"/>
      <c r="K154" s="207"/>
    </row>
    <row r="155" spans="1:23" ht="15" thickBot="1" x14ac:dyDescent="0.35"/>
    <row r="156" spans="1:23" ht="15" thickBot="1" x14ac:dyDescent="0.35">
      <c r="A156" s="180"/>
      <c r="B156" s="181"/>
      <c r="C156" s="181"/>
      <c r="D156" s="181"/>
      <c r="E156" s="181"/>
      <c r="F156" s="181"/>
      <c r="G156" s="181"/>
      <c r="H156" s="259"/>
      <c r="I156" s="181"/>
      <c r="J156" s="259"/>
      <c r="K156" s="182"/>
    </row>
    <row r="157" spans="1:23" ht="25.2" thickBot="1" x14ac:dyDescent="0.35">
      <c r="A157" s="184" t="s">
        <v>0</v>
      </c>
      <c r="B157" s="307" t="s">
        <v>873</v>
      </c>
      <c r="C157" s="308"/>
      <c r="D157" s="308"/>
      <c r="E157" s="308"/>
      <c r="F157" s="308"/>
      <c r="G157" s="308"/>
      <c r="H157" s="308"/>
      <c r="I157" s="308"/>
      <c r="J157" s="309"/>
      <c r="K157" s="185"/>
    </row>
    <row r="158" spans="1:23" ht="16.2" thickBot="1" x14ac:dyDescent="0.35">
      <c r="A158" s="184"/>
      <c r="B158" s="310">
        <v>45689</v>
      </c>
      <c r="C158" s="311"/>
      <c r="D158" s="311"/>
      <c r="E158" s="311"/>
      <c r="F158" s="311"/>
      <c r="G158" s="311"/>
      <c r="H158" s="311"/>
      <c r="I158" s="311"/>
      <c r="J158" s="312"/>
      <c r="K158" s="185"/>
    </row>
    <row r="159" spans="1:23" ht="16.2" thickBot="1" x14ac:dyDescent="0.35">
      <c r="A159" s="184"/>
      <c r="B159" s="313" t="s">
        <v>996</v>
      </c>
      <c r="C159" s="314"/>
      <c r="D159" s="314"/>
      <c r="E159" s="314"/>
      <c r="F159" s="314"/>
      <c r="G159" s="314"/>
      <c r="H159" s="314"/>
      <c r="I159" s="314"/>
      <c r="J159" s="315"/>
      <c r="K159" s="185"/>
    </row>
    <row r="160" spans="1:23" ht="15" thickBot="1" x14ac:dyDescent="0.35">
      <c r="A160" s="208"/>
      <c r="B160" s="186" t="s">
        <v>876</v>
      </c>
      <c r="C160" s="187" t="s">
        <v>1</v>
      </c>
      <c r="D160" s="188" t="s">
        <v>2</v>
      </c>
      <c r="E160" s="188" t="s">
        <v>3</v>
      </c>
      <c r="F160" s="189" t="s">
        <v>4</v>
      </c>
      <c r="G160" s="189" t="s">
        <v>5</v>
      </c>
      <c r="H160" s="260" t="s">
        <v>720</v>
      </c>
      <c r="I160" s="189" t="s">
        <v>1017</v>
      </c>
      <c r="J160" s="266" t="s">
        <v>7</v>
      </c>
      <c r="K160" s="209"/>
    </row>
    <row r="161" spans="1:23" x14ac:dyDescent="0.3">
      <c r="A161" s="184"/>
      <c r="B161" s="214">
        <v>1</v>
      </c>
      <c r="C161" s="215">
        <v>45691</v>
      </c>
      <c r="D161" s="216" t="s">
        <v>23</v>
      </c>
      <c r="E161" s="256" t="s">
        <v>28</v>
      </c>
      <c r="F161" s="256">
        <v>263</v>
      </c>
      <c r="G161" s="256">
        <v>262.5</v>
      </c>
      <c r="H161" s="256">
        <f>263-262.5</f>
        <v>0.5</v>
      </c>
      <c r="I161" s="218">
        <v>5000</v>
      </c>
      <c r="J161" s="273">
        <f>I161*H161</f>
        <v>2500</v>
      </c>
      <c r="K161" s="185"/>
      <c r="V161" s="183">
        <f t="shared" ref="V161:V183" si="16">IF($J161&gt;0,1,0)</f>
        <v>1</v>
      </c>
      <c r="W161" s="183">
        <f t="shared" ref="W161:W183" si="17">IF($J161&lt;0,1,0)</f>
        <v>0</v>
      </c>
    </row>
    <row r="162" spans="1:23" x14ac:dyDescent="0.3">
      <c r="A162" s="184"/>
      <c r="B162" s="194">
        <v>2</v>
      </c>
      <c r="C162" s="195">
        <v>45692</v>
      </c>
      <c r="D162" s="196" t="s">
        <v>23</v>
      </c>
      <c r="E162" s="222" t="s">
        <v>28</v>
      </c>
      <c r="F162" s="222">
        <v>267.2</v>
      </c>
      <c r="G162" s="222">
        <v>268.2</v>
      </c>
      <c r="H162" s="222">
        <v>-1</v>
      </c>
      <c r="I162" s="218">
        <v>5000</v>
      </c>
      <c r="J162" s="268">
        <f t="shared" ref="J162:J181" si="18">I162*H162</f>
        <v>-5000</v>
      </c>
      <c r="K162" s="185"/>
      <c r="V162" s="183">
        <f t="shared" si="16"/>
        <v>0</v>
      </c>
      <c r="W162" s="183">
        <f t="shared" si="17"/>
        <v>1</v>
      </c>
    </row>
    <row r="163" spans="1:23" x14ac:dyDescent="0.3">
      <c r="A163" s="184"/>
      <c r="B163" s="194">
        <v>3</v>
      </c>
      <c r="C163" s="195">
        <v>45693</v>
      </c>
      <c r="D163" s="196" t="s">
        <v>23</v>
      </c>
      <c r="E163" s="222" t="s">
        <v>28</v>
      </c>
      <c r="F163" s="222">
        <v>266.7</v>
      </c>
      <c r="G163" s="222">
        <v>265.8</v>
      </c>
      <c r="H163" s="222">
        <f>266.7-265.8</f>
        <v>0.89999999999997726</v>
      </c>
      <c r="I163" s="218">
        <v>5000</v>
      </c>
      <c r="J163" s="268">
        <f t="shared" si="18"/>
        <v>4499.9999999998863</v>
      </c>
      <c r="K163" s="185"/>
      <c r="V163" s="183">
        <f t="shared" si="16"/>
        <v>1</v>
      </c>
      <c r="W163" s="183">
        <f t="shared" si="17"/>
        <v>0</v>
      </c>
    </row>
    <row r="164" spans="1:23" x14ac:dyDescent="0.3">
      <c r="A164" s="184"/>
      <c r="B164" s="194">
        <v>4</v>
      </c>
      <c r="C164" s="195">
        <v>45694</v>
      </c>
      <c r="D164" s="196" t="s">
        <v>23</v>
      </c>
      <c r="E164" s="222" t="s">
        <v>28</v>
      </c>
      <c r="F164" s="222">
        <v>269.2</v>
      </c>
      <c r="G164" s="222">
        <v>268.2</v>
      </c>
      <c r="H164" s="222">
        <v>1</v>
      </c>
      <c r="I164" s="218">
        <v>5000</v>
      </c>
      <c r="J164" s="268">
        <f t="shared" si="18"/>
        <v>5000</v>
      </c>
      <c r="K164" s="185"/>
      <c r="V164" s="183">
        <f t="shared" si="16"/>
        <v>1</v>
      </c>
      <c r="W164" s="183">
        <f t="shared" si="17"/>
        <v>0</v>
      </c>
    </row>
    <row r="165" spans="1:23" x14ac:dyDescent="0.3">
      <c r="A165" s="184"/>
      <c r="B165" s="194">
        <v>5</v>
      </c>
      <c r="C165" s="195">
        <v>45695</v>
      </c>
      <c r="D165" s="196" t="s">
        <v>23</v>
      </c>
      <c r="E165" s="222" t="s">
        <v>28</v>
      </c>
      <c r="F165" s="222">
        <v>272</v>
      </c>
      <c r="G165" s="222">
        <v>271.60000000000002</v>
      </c>
      <c r="H165" s="222">
        <f>272-271.6</f>
        <v>0.39999999999997726</v>
      </c>
      <c r="I165" s="218">
        <v>5000</v>
      </c>
      <c r="J165" s="268">
        <f t="shared" si="18"/>
        <v>1999.9999999998863</v>
      </c>
      <c r="K165" s="185"/>
      <c r="V165" s="183">
        <f t="shared" si="16"/>
        <v>1</v>
      </c>
      <c r="W165" s="183">
        <f t="shared" si="17"/>
        <v>0</v>
      </c>
    </row>
    <row r="166" spans="1:23" x14ac:dyDescent="0.3">
      <c r="A166" s="184"/>
      <c r="B166" s="194">
        <v>6</v>
      </c>
      <c r="C166" s="195">
        <v>45698</v>
      </c>
      <c r="D166" s="196" t="s">
        <v>23</v>
      </c>
      <c r="E166" s="222" t="s">
        <v>28</v>
      </c>
      <c r="F166" s="222">
        <v>269.7</v>
      </c>
      <c r="G166" s="222">
        <v>268.7</v>
      </c>
      <c r="H166" s="222">
        <v>1</v>
      </c>
      <c r="I166" s="218">
        <v>5000</v>
      </c>
      <c r="J166" s="268">
        <f t="shared" si="18"/>
        <v>5000</v>
      </c>
      <c r="K166" s="185"/>
      <c r="V166" s="183">
        <f t="shared" si="16"/>
        <v>1</v>
      </c>
      <c r="W166" s="183">
        <f t="shared" si="17"/>
        <v>0</v>
      </c>
    </row>
    <row r="167" spans="1:23" x14ac:dyDescent="0.3">
      <c r="A167" s="184"/>
      <c r="B167" s="194">
        <v>7</v>
      </c>
      <c r="C167" s="195">
        <v>45699</v>
      </c>
      <c r="D167" s="196" t="s">
        <v>23</v>
      </c>
      <c r="E167" s="222" t="s">
        <v>28</v>
      </c>
      <c r="F167" s="222">
        <v>266.5</v>
      </c>
      <c r="G167" s="222">
        <v>265.5</v>
      </c>
      <c r="H167" s="274">
        <v>1</v>
      </c>
      <c r="I167" s="218">
        <v>5000</v>
      </c>
      <c r="J167" s="268">
        <f t="shared" si="18"/>
        <v>5000</v>
      </c>
      <c r="K167" s="185"/>
      <c r="V167" s="183">
        <f t="shared" si="16"/>
        <v>1</v>
      </c>
      <c r="W167" s="183">
        <f t="shared" si="17"/>
        <v>0</v>
      </c>
    </row>
    <row r="168" spans="1:23" x14ac:dyDescent="0.3">
      <c r="A168" s="184"/>
      <c r="B168" s="194">
        <v>8</v>
      </c>
      <c r="C168" s="195">
        <v>45700</v>
      </c>
      <c r="D168" s="196" t="s">
        <v>23</v>
      </c>
      <c r="E168" s="222" t="s">
        <v>28</v>
      </c>
      <c r="F168" s="222">
        <v>268.2</v>
      </c>
      <c r="G168" s="222">
        <v>267.2</v>
      </c>
      <c r="H168" s="222">
        <v>1</v>
      </c>
      <c r="I168" s="218">
        <v>5000</v>
      </c>
      <c r="J168" s="268">
        <f t="shared" si="18"/>
        <v>5000</v>
      </c>
      <c r="K168" s="185"/>
      <c r="V168" s="183">
        <f t="shared" si="16"/>
        <v>1</v>
      </c>
      <c r="W168" s="183">
        <f t="shared" si="17"/>
        <v>0</v>
      </c>
    </row>
    <row r="169" spans="1:23" x14ac:dyDescent="0.3">
      <c r="A169" s="184"/>
      <c r="B169" s="194">
        <v>9</v>
      </c>
      <c r="C169" s="195">
        <v>45701</v>
      </c>
      <c r="D169" s="196" t="s">
        <v>23</v>
      </c>
      <c r="E169" s="222" t="s">
        <v>28</v>
      </c>
      <c r="F169" s="222">
        <v>268</v>
      </c>
      <c r="G169" s="222">
        <v>267</v>
      </c>
      <c r="H169" s="222">
        <v>1</v>
      </c>
      <c r="I169" s="218">
        <v>5000</v>
      </c>
      <c r="J169" s="268">
        <f t="shared" si="18"/>
        <v>5000</v>
      </c>
      <c r="K169" s="185"/>
      <c r="V169" s="183">
        <f t="shared" si="16"/>
        <v>1</v>
      </c>
      <c r="W169" s="183">
        <f t="shared" si="17"/>
        <v>0</v>
      </c>
    </row>
    <row r="170" spans="1:23" x14ac:dyDescent="0.3">
      <c r="A170" s="184"/>
      <c r="B170" s="194">
        <v>10</v>
      </c>
      <c r="C170" s="195">
        <v>45702</v>
      </c>
      <c r="D170" s="196" t="s">
        <v>23</v>
      </c>
      <c r="E170" s="222" t="s">
        <v>28</v>
      </c>
      <c r="F170" s="222">
        <v>270.5</v>
      </c>
      <c r="G170" s="222">
        <v>268.5</v>
      </c>
      <c r="H170" s="222">
        <v>2</v>
      </c>
      <c r="I170" s="218">
        <v>5000</v>
      </c>
      <c r="J170" s="268">
        <f t="shared" si="18"/>
        <v>10000</v>
      </c>
      <c r="K170" s="185"/>
      <c r="V170" s="183">
        <f t="shared" si="16"/>
        <v>1</v>
      </c>
      <c r="W170" s="183">
        <f t="shared" si="17"/>
        <v>0</v>
      </c>
    </row>
    <row r="171" spans="1:23" x14ac:dyDescent="0.3">
      <c r="A171" s="184"/>
      <c r="B171" s="194">
        <v>11</v>
      </c>
      <c r="C171" s="195">
        <v>45705</v>
      </c>
      <c r="D171" s="196" t="s">
        <v>23</v>
      </c>
      <c r="E171" s="222" t="s">
        <v>28</v>
      </c>
      <c r="F171" s="222">
        <v>267.10000000000002</v>
      </c>
      <c r="G171" s="222">
        <v>266.7</v>
      </c>
      <c r="H171" s="274">
        <f>267.1-266.7</f>
        <v>0.40000000000003411</v>
      </c>
      <c r="I171" s="218">
        <v>5000</v>
      </c>
      <c r="J171" s="268">
        <f t="shared" si="18"/>
        <v>2000.0000000001705</v>
      </c>
      <c r="K171" s="185"/>
      <c r="V171" s="183">
        <f t="shared" si="16"/>
        <v>1</v>
      </c>
      <c r="W171" s="183">
        <f t="shared" si="17"/>
        <v>0</v>
      </c>
    </row>
    <row r="172" spans="1:23" x14ac:dyDescent="0.3">
      <c r="A172" s="184"/>
      <c r="B172" s="194">
        <v>12</v>
      </c>
      <c r="C172" s="195">
        <v>45706</v>
      </c>
      <c r="D172" s="196" t="s">
        <v>23</v>
      </c>
      <c r="E172" s="222" t="s">
        <v>28</v>
      </c>
      <c r="F172" s="222">
        <v>269.10000000000002</v>
      </c>
      <c r="G172" s="222">
        <v>270.10000000000002</v>
      </c>
      <c r="H172" s="274">
        <v>-1</v>
      </c>
      <c r="I172" s="218">
        <v>5000</v>
      </c>
      <c r="J172" s="268">
        <f t="shared" si="18"/>
        <v>-5000</v>
      </c>
      <c r="K172" s="185"/>
      <c r="V172" s="183">
        <f t="shared" si="16"/>
        <v>0</v>
      </c>
      <c r="W172" s="183">
        <f t="shared" si="17"/>
        <v>1</v>
      </c>
    </row>
    <row r="173" spans="1:23" x14ac:dyDescent="0.3">
      <c r="A173" s="184"/>
      <c r="B173" s="194">
        <v>13</v>
      </c>
      <c r="C173" s="195">
        <v>45707</v>
      </c>
      <c r="D173" s="196" t="s">
        <v>23</v>
      </c>
      <c r="E173" s="222" t="s">
        <v>28</v>
      </c>
      <c r="F173" s="222">
        <v>269.60000000000002</v>
      </c>
      <c r="G173" s="222">
        <v>270.60000000000002</v>
      </c>
      <c r="H173" s="274">
        <v>1</v>
      </c>
      <c r="I173" s="218">
        <v>5000</v>
      </c>
      <c r="J173" s="268">
        <f t="shared" si="18"/>
        <v>5000</v>
      </c>
      <c r="K173" s="185"/>
      <c r="V173" s="183">
        <f t="shared" si="16"/>
        <v>1</v>
      </c>
      <c r="W173" s="183">
        <f t="shared" si="17"/>
        <v>0</v>
      </c>
    </row>
    <row r="174" spans="1:23" x14ac:dyDescent="0.3">
      <c r="A174" s="184"/>
      <c r="B174" s="194">
        <v>14</v>
      </c>
      <c r="C174" s="195">
        <v>45708</v>
      </c>
      <c r="D174" s="196" t="s">
        <v>23</v>
      </c>
      <c r="E174" s="222" t="s">
        <v>28</v>
      </c>
      <c r="F174" s="222">
        <v>272.10000000000002</v>
      </c>
      <c r="G174" s="222">
        <v>271.10000000000002</v>
      </c>
      <c r="H174" s="274">
        <v>1</v>
      </c>
      <c r="I174" s="218">
        <v>5000</v>
      </c>
      <c r="J174" s="268">
        <f t="shared" si="18"/>
        <v>5000</v>
      </c>
      <c r="K174" s="185"/>
      <c r="V174" s="183">
        <f t="shared" si="16"/>
        <v>1</v>
      </c>
      <c r="W174" s="183">
        <f t="shared" si="17"/>
        <v>0</v>
      </c>
    </row>
    <row r="175" spans="1:23" x14ac:dyDescent="0.3">
      <c r="A175" s="184"/>
      <c r="B175" s="194">
        <v>15</v>
      </c>
      <c r="C175" s="195">
        <v>45709</v>
      </c>
      <c r="D175" s="196" t="s">
        <v>23</v>
      </c>
      <c r="E175" s="196" t="s">
        <v>28</v>
      </c>
      <c r="F175" s="222">
        <v>270</v>
      </c>
      <c r="G175" s="222">
        <v>271</v>
      </c>
      <c r="H175" s="222">
        <v>-1</v>
      </c>
      <c r="I175" s="218">
        <v>5000</v>
      </c>
      <c r="J175" s="268">
        <f t="shared" si="18"/>
        <v>-5000</v>
      </c>
      <c r="K175" s="185"/>
      <c r="V175" s="183">
        <f t="shared" si="16"/>
        <v>0</v>
      </c>
      <c r="W175" s="183">
        <f t="shared" si="17"/>
        <v>1</v>
      </c>
    </row>
    <row r="176" spans="1:23" x14ac:dyDescent="0.3">
      <c r="A176" s="184"/>
      <c r="B176" s="194">
        <v>16</v>
      </c>
      <c r="C176" s="195">
        <v>45712</v>
      </c>
      <c r="D176" s="196" t="s">
        <v>23</v>
      </c>
      <c r="E176" s="196" t="s">
        <v>28</v>
      </c>
      <c r="F176" s="222">
        <v>272.7</v>
      </c>
      <c r="G176" s="274">
        <v>270.7</v>
      </c>
      <c r="H176" s="274">
        <f>272.7-270.7</f>
        <v>2</v>
      </c>
      <c r="I176" s="218">
        <v>5000</v>
      </c>
      <c r="J176" s="268">
        <f t="shared" si="18"/>
        <v>10000</v>
      </c>
      <c r="K176" s="185"/>
      <c r="V176" s="183">
        <f t="shared" si="16"/>
        <v>1</v>
      </c>
      <c r="W176" s="183">
        <f t="shared" si="17"/>
        <v>0</v>
      </c>
    </row>
    <row r="177" spans="1:23" x14ac:dyDescent="0.3">
      <c r="A177" s="184"/>
      <c r="B177" s="194">
        <v>17</v>
      </c>
      <c r="C177" s="195">
        <v>45713</v>
      </c>
      <c r="D177" s="196" t="s">
        <v>23</v>
      </c>
      <c r="E177" s="196" t="s">
        <v>28</v>
      </c>
      <c r="F177" s="222">
        <v>268.5</v>
      </c>
      <c r="G177" s="222">
        <v>268.5</v>
      </c>
      <c r="H177" s="274">
        <v>0.45</v>
      </c>
      <c r="I177" s="218">
        <v>5000</v>
      </c>
      <c r="J177" s="268">
        <f t="shared" si="18"/>
        <v>2250</v>
      </c>
      <c r="K177" s="185"/>
      <c r="V177" s="183">
        <f t="shared" si="16"/>
        <v>1</v>
      </c>
      <c r="W177" s="183">
        <f t="shared" si="17"/>
        <v>0</v>
      </c>
    </row>
    <row r="178" spans="1:23" x14ac:dyDescent="0.3">
      <c r="A178" s="184"/>
      <c r="B178" s="194">
        <v>18</v>
      </c>
      <c r="C178" s="195">
        <v>45715</v>
      </c>
      <c r="D178" s="196" t="s">
        <v>23</v>
      </c>
      <c r="E178" s="196" t="s">
        <v>28</v>
      </c>
      <c r="F178" s="222">
        <v>269.5</v>
      </c>
      <c r="G178" s="222">
        <v>267.7</v>
      </c>
      <c r="H178" s="274">
        <v>3.7</v>
      </c>
      <c r="I178" s="218">
        <v>5000</v>
      </c>
      <c r="J178" s="268">
        <f t="shared" si="18"/>
        <v>18500</v>
      </c>
      <c r="K178" s="185"/>
      <c r="V178" s="183">
        <f t="shared" si="16"/>
        <v>1</v>
      </c>
      <c r="W178" s="183">
        <f t="shared" si="17"/>
        <v>0</v>
      </c>
    </row>
    <row r="179" spans="1:23" ht="15" thickBot="1" x14ac:dyDescent="0.35">
      <c r="A179" s="184"/>
      <c r="B179" s="194">
        <v>19</v>
      </c>
      <c r="C179" s="195">
        <v>45716</v>
      </c>
      <c r="D179" s="196" t="s">
        <v>23</v>
      </c>
      <c r="E179" s="196" t="s">
        <v>28</v>
      </c>
      <c r="F179" s="222">
        <v>266.3</v>
      </c>
      <c r="G179" s="222">
        <v>267.3</v>
      </c>
      <c r="H179" s="274">
        <v>-1</v>
      </c>
      <c r="I179" s="218">
        <v>5000</v>
      </c>
      <c r="J179" s="268">
        <f t="shared" si="18"/>
        <v>-5000</v>
      </c>
      <c r="K179" s="185"/>
      <c r="V179" s="183">
        <f t="shared" si="16"/>
        <v>0</v>
      </c>
      <c r="W179" s="183">
        <f t="shared" si="17"/>
        <v>1</v>
      </c>
    </row>
    <row r="180" spans="1:23" hidden="1" x14ac:dyDescent="0.3">
      <c r="A180" s="184"/>
      <c r="B180" s="194">
        <v>20</v>
      </c>
      <c r="C180" s="195"/>
      <c r="D180" s="196"/>
      <c r="E180" s="222"/>
      <c r="F180" s="222"/>
      <c r="G180" s="222"/>
      <c r="H180" s="274"/>
      <c r="I180" s="218"/>
      <c r="J180" s="268">
        <f t="shared" si="18"/>
        <v>0</v>
      </c>
      <c r="K180" s="185"/>
      <c r="V180" s="183">
        <f t="shared" si="16"/>
        <v>0</v>
      </c>
      <c r="W180" s="183">
        <f t="shared" si="17"/>
        <v>0</v>
      </c>
    </row>
    <row r="181" spans="1:23" hidden="1" x14ac:dyDescent="0.3">
      <c r="A181" s="184"/>
      <c r="B181" s="194">
        <v>21</v>
      </c>
      <c r="C181" s="195"/>
      <c r="D181" s="196"/>
      <c r="E181" s="222"/>
      <c r="F181" s="222"/>
      <c r="G181" s="222"/>
      <c r="H181" s="274"/>
      <c r="I181" s="218"/>
      <c r="J181" s="268">
        <f t="shared" si="18"/>
        <v>0</v>
      </c>
      <c r="K181" s="185"/>
      <c r="V181" s="183">
        <f t="shared" si="16"/>
        <v>0</v>
      </c>
      <c r="W181" s="183">
        <f t="shared" si="17"/>
        <v>0</v>
      </c>
    </row>
    <row r="182" spans="1:23" hidden="1" x14ac:dyDescent="0.3">
      <c r="A182" s="184"/>
      <c r="B182" s="194">
        <v>22</v>
      </c>
      <c r="C182" s="195"/>
      <c r="D182" s="196"/>
      <c r="E182" s="222"/>
      <c r="F182" s="222"/>
      <c r="G182" s="222"/>
      <c r="H182" s="222"/>
      <c r="I182" s="218"/>
      <c r="J182" s="268">
        <f>I182*H182</f>
        <v>0</v>
      </c>
      <c r="K182" s="185"/>
      <c r="V182" s="183">
        <f t="shared" si="16"/>
        <v>0</v>
      </c>
      <c r="W182" s="183">
        <f t="shared" si="17"/>
        <v>0</v>
      </c>
    </row>
    <row r="183" spans="1:23" ht="15" hidden="1" thickBot="1" x14ac:dyDescent="0.35">
      <c r="A183" s="184"/>
      <c r="B183" s="199">
        <v>23</v>
      </c>
      <c r="C183" s="200"/>
      <c r="D183" s="201"/>
      <c r="E183" s="201"/>
      <c r="F183" s="284"/>
      <c r="G183" s="284"/>
      <c r="H183" s="284"/>
      <c r="I183" s="285"/>
      <c r="J183" s="269">
        <f>I183*H183</f>
        <v>0</v>
      </c>
      <c r="K183" s="185"/>
      <c r="V183" s="183">
        <f t="shared" si="16"/>
        <v>0</v>
      </c>
      <c r="W183" s="183">
        <f t="shared" si="17"/>
        <v>0</v>
      </c>
    </row>
    <row r="184" spans="1:23" ht="24" thickBot="1" x14ac:dyDescent="0.5">
      <c r="A184" s="184"/>
      <c r="B184" s="304" t="s">
        <v>879</v>
      </c>
      <c r="C184" s="305"/>
      <c r="D184" s="305"/>
      <c r="E184" s="305"/>
      <c r="F184" s="305"/>
      <c r="G184" s="305"/>
      <c r="H184" s="306"/>
      <c r="I184" s="203" t="s">
        <v>880</v>
      </c>
      <c r="J184" s="204">
        <f>SUM(J161:J183)</f>
        <v>66749.999999999942</v>
      </c>
      <c r="K184" s="185"/>
      <c r="V184" s="183">
        <f>SUM(V161:V183)</f>
        <v>15</v>
      </c>
      <c r="W184" s="183">
        <f>SUM(W161:W183)</f>
        <v>4</v>
      </c>
    </row>
    <row r="185" spans="1:23" ht="15" thickBot="1" x14ac:dyDescent="0.35">
      <c r="A185" s="205"/>
      <c r="B185" s="286"/>
      <c r="C185" s="286"/>
      <c r="D185" s="286"/>
      <c r="E185" s="286"/>
      <c r="F185" s="286"/>
      <c r="G185" s="286"/>
      <c r="H185" s="287"/>
      <c r="I185" s="286"/>
      <c r="J185" s="287"/>
      <c r="K185" s="207"/>
    </row>
  </sheetData>
  <mergeCells count="7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N14:N15"/>
    <mergeCell ref="O14:O15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12:R13"/>
    <mergeCell ref="M10:M11"/>
    <mergeCell ref="N10:N11"/>
    <mergeCell ref="O10:O11"/>
    <mergeCell ref="P10:P11"/>
    <mergeCell ref="Q10:Q11"/>
    <mergeCell ref="R10:R11"/>
    <mergeCell ref="M12:M13"/>
    <mergeCell ref="N12:N13"/>
    <mergeCell ref="O12:O13"/>
    <mergeCell ref="P12:P13"/>
    <mergeCell ref="Q12:Q13"/>
    <mergeCell ref="P14:P15"/>
    <mergeCell ref="Q14:Q15"/>
    <mergeCell ref="B35:J35"/>
    <mergeCell ref="M16:M17"/>
    <mergeCell ref="N16:N17"/>
    <mergeCell ref="O16:O17"/>
    <mergeCell ref="P16:P17"/>
    <mergeCell ref="M18:O20"/>
    <mergeCell ref="P18:R20"/>
    <mergeCell ref="B29:H29"/>
    <mergeCell ref="B33:J33"/>
    <mergeCell ref="B34:J34"/>
    <mergeCell ref="Q16:Q17"/>
    <mergeCell ref="R16:R17"/>
    <mergeCell ref="R14:R15"/>
    <mergeCell ref="M14:M15"/>
    <mergeCell ref="B128:J128"/>
    <mergeCell ref="B60:H60"/>
    <mergeCell ref="B64:J64"/>
    <mergeCell ref="B65:J65"/>
    <mergeCell ref="B66:J66"/>
    <mergeCell ref="B91:H91"/>
    <mergeCell ref="B95:J95"/>
    <mergeCell ref="B96:J96"/>
    <mergeCell ref="B97:J97"/>
    <mergeCell ref="B122:H122"/>
    <mergeCell ref="B126:J126"/>
    <mergeCell ref="B127:J127"/>
    <mergeCell ref="B153:H153"/>
    <mergeCell ref="B157:J157"/>
    <mergeCell ref="B158:J158"/>
    <mergeCell ref="B159:J159"/>
    <mergeCell ref="B184:H184"/>
  </mergeCells>
  <hyperlinks>
    <hyperlink ref="B29" r:id="rId1" xr:uid="{D34DD861-A987-4DFD-A34C-E46DAB9B16A2}"/>
    <hyperlink ref="B60" r:id="rId2" xr:uid="{D70AF32A-F3FF-45C4-9950-1D892DB537DD}"/>
    <hyperlink ref="M4:M5" location="'FEB 2025'!A1" display="GOLDM OPTION" xr:uid="{8BBB13EF-1048-475D-A9D6-3019E799F484}"/>
    <hyperlink ref="B91" r:id="rId3" xr:uid="{D00E2CB2-2688-41A7-8DFA-71FBF935AEFE}"/>
    <hyperlink ref="M8:M9" location="'FEB 2025'!A75" display="CRUDEOIL" xr:uid="{FA431A24-D5B8-4CD1-B927-59FF9CCB1685}"/>
    <hyperlink ref="M1" location="MASTER!A1" display="Back" xr:uid="{43FB716C-37FB-41D8-BE25-D599792AE5A5}"/>
    <hyperlink ref="M6:M7" location="'FEB 2025'!A33" display="SILVERM OPTION" xr:uid="{2F2006E8-9663-43DA-B581-AA739B31D2D1}"/>
    <hyperlink ref="B122" r:id="rId4" xr:uid="{171A588A-CD7E-400F-AEE2-E66C8EB80927}"/>
    <hyperlink ref="M10:M11" location="'FEB 2025'!A110" display="CRUDEOIL OPTION" xr:uid="{FBC7B7D3-51A7-46D0-AD6F-627E6D59369A}"/>
    <hyperlink ref="B153" r:id="rId5" xr:uid="{78E1C725-CFB0-49C4-AB0E-DC0C2EB67B87}"/>
    <hyperlink ref="B184" r:id="rId6" xr:uid="{6F4F0613-14BC-442C-9AED-B2A2A603302B}"/>
    <hyperlink ref="M12:M13" location="'FEB 2025'!A140" display="NATURALGAS OPTION" xr:uid="{4E5F6020-65D3-41A2-A936-D9BD0D9F8B57}"/>
    <hyperlink ref="M14:M15" location="'FEB 2025'!A170" display="BASE METAL" xr:uid="{386F27E0-A8F7-4ED0-844C-497D42D2D805}"/>
  </hyperlinks>
  <pageMargins left="0" right="0" top="0" bottom="0" header="0" footer="0"/>
  <pageSetup paperSize="9" orientation="portrait" r:id="rId7"/>
  <ignoredErrors>
    <ignoredError sqref="R4 R6 R8 R10 R12 R14 R16" evalError="1"/>
  </ignoredErrors>
  <drawing r:id="rId8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21578-CA13-4AF2-8093-A3C39B73560A}">
  <dimension ref="A1:X185"/>
  <sheetViews>
    <sheetView topLeftCell="A93" zoomScaleNormal="100" workbookViewId="0">
      <selection activeCell="G111" sqref="G11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8.44140625" style="183" customWidth="1"/>
    <col min="6" max="6" width="13" style="183" customWidth="1"/>
    <col min="7" max="7" width="11.6640625" style="183" customWidth="1"/>
    <col min="8" max="8" width="10.886718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6" style="183" customWidth="1"/>
    <col min="14" max="14" width="11" style="183" customWidth="1"/>
    <col min="15" max="17" width="9.109375" style="183"/>
    <col min="18" max="18" width="10.6640625" style="183" bestFit="1" customWidth="1"/>
    <col min="19" max="20" width="9.109375" style="183" customWidth="1"/>
    <col min="21" max="21" width="9.109375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25" width="9.109375" style="183" customWidth="1"/>
    <col min="26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45717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950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960</v>
      </c>
      <c r="N4" s="354">
        <f>COUNT(C6:C28)</f>
        <v>19</v>
      </c>
      <c r="O4" s="369">
        <f>V29</f>
        <v>11</v>
      </c>
      <c r="P4" s="369">
        <f>W29</f>
        <v>8</v>
      </c>
      <c r="Q4" s="349">
        <f>N4-O4-P4</f>
        <v>0</v>
      </c>
      <c r="R4" s="343">
        <f>O4/N4</f>
        <v>0.57894736842105265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1017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45719</v>
      </c>
      <c r="D6" s="192" t="s">
        <v>16</v>
      </c>
      <c r="E6" s="192" t="s">
        <v>1011</v>
      </c>
      <c r="F6" s="193">
        <v>980</v>
      </c>
      <c r="G6" s="193">
        <v>1180</v>
      </c>
      <c r="H6" s="192">
        <f>1180-980</f>
        <v>200</v>
      </c>
      <c r="I6" s="193">
        <v>10</v>
      </c>
      <c r="J6" s="267">
        <f>H6*I6</f>
        <v>2000</v>
      </c>
      <c r="K6" s="185"/>
      <c r="M6" s="364" t="s">
        <v>959</v>
      </c>
      <c r="N6" s="347">
        <f>COUNT(C37:C59)</f>
        <v>18</v>
      </c>
      <c r="O6" s="348">
        <f>V60</f>
        <v>10</v>
      </c>
      <c r="P6" s="348">
        <f>W60</f>
        <v>8</v>
      </c>
      <c r="Q6" s="349">
        <f>N6-O6-P6</f>
        <v>0</v>
      </c>
      <c r="R6" s="345">
        <f t="shared" ref="R6" si="0">O6/N6</f>
        <v>0.55555555555555558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45720</v>
      </c>
      <c r="D7" s="196" t="s">
        <v>16</v>
      </c>
      <c r="E7" s="196" t="s">
        <v>1003</v>
      </c>
      <c r="F7" s="197">
        <v>820</v>
      </c>
      <c r="G7" s="197">
        <v>720</v>
      </c>
      <c r="H7" s="196">
        <v>-100</v>
      </c>
      <c r="I7" s="197">
        <v>10</v>
      </c>
      <c r="J7" s="268">
        <f t="shared" ref="J7:J28" si="1">H7*I7</f>
        <v>-1000</v>
      </c>
      <c r="K7" s="185"/>
      <c r="M7" s="365"/>
      <c r="N7" s="347"/>
      <c r="O7" s="348"/>
      <c r="P7" s="348"/>
      <c r="Q7" s="350"/>
      <c r="R7" s="345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v>3</v>
      </c>
      <c r="C8" s="195">
        <v>45721</v>
      </c>
      <c r="D8" s="196" t="s">
        <v>16</v>
      </c>
      <c r="E8" s="196" t="s">
        <v>1021</v>
      </c>
      <c r="F8" s="197">
        <v>1150</v>
      </c>
      <c r="G8" s="197">
        <v>1241</v>
      </c>
      <c r="H8" s="196">
        <f>1241-1150</f>
        <v>91</v>
      </c>
      <c r="I8" s="197">
        <v>10</v>
      </c>
      <c r="J8" s="268">
        <f t="shared" si="1"/>
        <v>910</v>
      </c>
      <c r="K8" s="185"/>
      <c r="M8" s="362" t="s">
        <v>125</v>
      </c>
      <c r="N8" s="347">
        <f>COUNT(C68:C90)</f>
        <v>18</v>
      </c>
      <c r="O8" s="348">
        <f>V91</f>
        <v>16</v>
      </c>
      <c r="P8" s="348">
        <f>W91</f>
        <v>2</v>
      </c>
      <c r="Q8" s="349">
        <f>N8-O8-P8</f>
        <v>0</v>
      </c>
      <c r="R8" s="345">
        <f>O8/N8</f>
        <v>0.88888888888888884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45722</v>
      </c>
      <c r="D9" s="196" t="s">
        <v>16</v>
      </c>
      <c r="E9" s="196" t="s">
        <v>1021</v>
      </c>
      <c r="F9" s="197">
        <v>1110</v>
      </c>
      <c r="G9" s="197">
        <v>1010</v>
      </c>
      <c r="H9" s="196">
        <v>-100</v>
      </c>
      <c r="I9" s="197">
        <v>10</v>
      </c>
      <c r="J9" s="268">
        <f t="shared" si="1"/>
        <v>-1000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45723</v>
      </c>
      <c r="D10" s="196" t="s">
        <v>16</v>
      </c>
      <c r="E10" s="196" t="s">
        <v>1013</v>
      </c>
      <c r="F10" s="197">
        <v>1120</v>
      </c>
      <c r="G10" s="197">
        <v>1170</v>
      </c>
      <c r="H10" s="196">
        <v>50</v>
      </c>
      <c r="I10" s="197">
        <v>10</v>
      </c>
      <c r="J10" s="268">
        <f t="shared" si="1"/>
        <v>500</v>
      </c>
      <c r="K10" s="185"/>
      <c r="M10" s="364" t="s">
        <v>906</v>
      </c>
      <c r="N10" s="347">
        <f>COUNT(C99:C121)</f>
        <v>19</v>
      </c>
      <c r="O10" s="348">
        <f>V122</f>
        <v>15</v>
      </c>
      <c r="P10" s="348">
        <f>W122</f>
        <v>4</v>
      </c>
      <c r="Q10" s="349">
        <f>N10-O10-P10</f>
        <v>0</v>
      </c>
      <c r="R10" s="345">
        <f>O10/N10</f>
        <v>0.78947368421052633</v>
      </c>
      <c r="V10" s="183">
        <f t="shared" si="2"/>
        <v>1</v>
      </c>
      <c r="W10" s="183">
        <f t="shared" si="3"/>
        <v>0</v>
      </c>
    </row>
    <row r="11" spans="1:23" x14ac:dyDescent="0.3">
      <c r="A11" s="184"/>
      <c r="B11" s="194">
        <v>6</v>
      </c>
      <c r="C11" s="195">
        <v>45726</v>
      </c>
      <c r="D11" s="196" t="s">
        <v>16</v>
      </c>
      <c r="E11" s="196" t="s">
        <v>1021</v>
      </c>
      <c r="F11" s="197">
        <v>1030</v>
      </c>
      <c r="G11" s="197">
        <v>930</v>
      </c>
      <c r="H11" s="196">
        <v>-100</v>
      </c>
      <c r="I11" s="197">
        <v>10</v>
      </c>
      <c r="J11" s="268">
        <f t="shared" si="1"/>
        <v>-1000</v>
      </c>
      <c r="K11" s="185"/>
      <c r="M11" s="365"/>
      <c r="N11" s="347"/>
      <c r="O11" s="348"/>
      <c r="P11" s="348"/>
      <c r="Q11" s="350"/>
      <c r="R11" s="345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45727</v>
      </c>
      <c r="D12" s="196" t="s">
        <v>16</v>
      </c>
      <c r="E12" s="196" t="s">
        <v>1013</v>
      </c>
      <c r="F12" s="197">
        <v>1060</v>
      </c>
      <c r="G12" s="197">
        <v>960</v>
      </c>
      <c r="H12" s="196">
        <v>-100</v>
      </c>
      <c r="I12" s="197">
        <v>10</v>
      </c>
      <c r="J12" s="268">
        <f t="shared" si="1"/>
        <v>-1000</v>
      </c>
      <c r="K12" s="185"/>
      <c r="M12" s="362" t="s">
        <v>998</v>
      </c>
      <c r="N12" s="347">
        <f>COUNT(C130:C152)</f>
        <v>19</v>
      </c>
      <c r="O12" s="348">
        <f>V153</f>
        <v>17</v>
      </c>
      <c r="P12" s="348">
        <f>W153</f>
        <v>2</v>
      </c>
      <c r="Q12" s="349">
        <f>N12-O12-P12</f>
        <v>0</v>
      </c>
      <c r="R12" s="345">
        <f>O12/N12</f>
        <v>0.89473684210526316</v>
      </c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45728</v>
      </c>
      <c r="D13" s="196" t="s">
        <v>16</v>
      </c>
      <c r="E13" s="196" t="s">
        <v>1013</v>
      </c>
      <c r="F13" s="197">
        <v>900</v>
      </c>
      <c r="G13" s="197">
        <v>980</v>
      </c>
      <c r="H13" s="196">
        <v>80</v>
      </c>
      <c r="I13" s="197">
        <v>10</v>
      </c>
      <c r="J13" s="268">
        <f t="shared" si="1"/>
        <v>800</v>
      </c>
      <c r="K13" s="185"/>
      <c r="M13" s="362"/>
      <c r="N13" s="347"/>
      <c r="O13" s="348"/>
      <c r="P13" s="348"/>
      <c r="Q13" s="350"/>
      <c r="R13" s="345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45729</v>
      </c>
      <c r="D14" s="196" t="s">
        <v>16</v>
      </c>
      <c r="E14" s="196" t="s">
        <v>1013</v>
      </c>
      <c r="F14" s="197">
        <v>620</v>
      </c>
      <c r="G14" s="197">
        <v>520</v>
      </c>
      <c r="H14" s="196">
        <v>-100</v>
      </c>
      <c r="I14" s="197">
        <v>10</v>
      </c>
      <c r="J14" s="268">
        <f t="shared" si="1"/>
        <v>-1000</v>
      </c>
      <c r="K14" s="185"/>
      <c r="M14" s="364" t="s">
        <v>877</v>
      </c>
      <c r="N14" s="383">
        <f>COUNT(C161:C183)</f>
        <v>19</v>
      </c>
      <c r="O14" s="374">
        <f>V184</f>
        <v>16</v>
      </c>
      <c r="P14" s="374">
        <f>W184</f>
        <v>3</v>
      </c>
      <c r="Q14" s="366">
        <f>N14-O14-P14</f>
        <v>0</v>
      </c>
      <c r="R14" s="381">
        <f>O14/N14</f>
        <v>0.84210526315789469</v>
      </c>
      <c r="V14" s="183">
        <f t="shared" si="2"/>
        <v>0</v>
      </c>
      <c r="W14" s="183">
        <f t="shared" si="3"/>
        <v>1</v>
      </c>
    </row>
    <row r="15" spans="1:23" ht="15" thickBot="1" x14ac:dyDescent="0.35">
      <c r="A15" s="184"/>
      <c r="B15" s="194">
        <v>10</v>
      </c>
      <c r="C15" s="195">
        <v>45733</v>
      </c>
      <c r="D15" s="196" t="s">
        <v>16</v>
      </c>
      <c r="E15" s="196" t="s">
        <v>1028</v>
      </c>
      <c r="F15" s="197">
        <v>970</v>
      </c>
      <c r="G15" s="197">
        <v>870</v>
      </c>
      <c r="H15" s="196">
        <v>-100</v>
      </c>
      <c r="I15" s="197">
        <v>10</v>
      </c>
      <c r="J15" s="268">
        <f t="shared" si="1"/>
        <v>-1000</v>
      </c>
      <c r="K15" s="185"/>
      <c r="M15" s="382"/>
      <c r="N15" s="384"/>
      <c r="O15" s="375"/>
      <c r="P15" s="375"/>
      <c r="Q15" s="376"/>
      <c r="R15" s="380"/>
      <c r="V15" s="183">
        <f t="shared" si="2"/>
        <v>0</v>
      </c>
      <c r="W15" s="183">
        <f t="shared" si="3"/>
        <v>1</v>
      </c>
    </row>
    <row r="16" spans="1:23" x14ac:dyDescent="0.3">
      <c r="A16" s="184"/>
      <c r="B16" s="194">
        <v>11</v>
      </c>
      <c r="C16" s="195">
        <v>45734</v>
      </c>
      <c r="D16" s="196" t="s">
        <v>16</v>
      </c>
      <c r="E16" s="196" t="s">
        <v>1026</v>
      </c>
      <c r="F16" s="197">
        <v>1030</v>
      </c>
      <c r="G16" s="197">
        <v>1230</v>
      </c>
      <c r="H16" s="196">
        <v>200</v>
      </c>
      <c r="I16" s="197">
        <v>10</v>
      </c>
      <c r="J16" s="268">
        <f t="shared" si="1"/>
        <v>2000</v>
      </c>
      <c r="K16" s="185"/>
      <c r="M16" s="377" t="s">
        <v>300</v>
      </c>
      <c r="N16" s="371">
        <f>SUM(N4:N11)</f>
        <v>74</v>
      </c>
      <c r="O16" s="371">
        <f>SUM(O4:O11)</f>
        <v>52</v>
      </c>
      <c r="P16" s="371">
        <f>SUM(P4:P11)</f>
        <v>22</v>
      </c>
      <c r="Q16" s="371">
        <f>SUM(Q4:Q11)</f>
        <v>0</v>
      </c>
      <c r="R16" s="379">
        <f>O16/N16</f>
        <v>0.70270270270270274</v>
      </c>
      <c r="V16" s="183">
        <f t="shared" si="2"/>
        <v>1</v>
      </c>
      <c r="W16" s="183">
        <f t="shared" si="3"/>
        <v>0</v>
      </c>
    </row>
    <row r="17" spans="1:23" ht="15" thickBot="1" x14ac:dyDescent="0.35">
      <c r="A17" s="184"/>
      <c r="B17" s="194">
        <v>12</v>
      </c>
      <c r="C17" s="195">
        <v>45735</v>
      </c>
      <c r="D17" s="196" t="s">
        <v>16</v>
      </c>
      <c r="E17" s="196" t="s">
        <v>1027</v>
      </c>
      <c r="F17" s="197">
        <v>630</v>
      </c>
      <c r="G17" s="197">
        <v>530</v>
      </c>
      <c r="H17" s="196">
        <v>-100</v>
      </c>
      <c r="I17" s="197">
        <v>10</v>
      </c>
      <c r="J17" s="268">
        <f t="shared" si="1"/>
        <v>-1000</v>
      </c>
      <c r="K17" s="185"/>
      <c r="M17" s="378"/>
      <c r="N17" s="372"/>
      <c r="O17" s="372"/>
      <c r="P17" s="372"/>
      <c r="Q17" s="372"/>
      <c r="R17" s="380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45736</v>
      </c>
      <c r="D18" s="196" t="s">
        <v>16</v>
      </c>
      <c r="E18" s="196" t="s">
        <v>974</v>
      </c>
      <c r="F18" s="197">
        <v>750</v>
      </c>
      <c r="G18" s="197">
        <v>950</v>
      </c>
      <c r="H18" s="196">
        <v>200</v>
      </c>
      <c r="I18" s="197">
        <v>10</v>
      </c>
      <c r="J18" s="268">
        <f t="shared" si="1"/>
        <v>2000</v>
      </c>
      <c r="K18" s="185"/>
      <c r="M18" s="323" t="s">
        <v>878</v>
      </c>
      <c r="N18" s="324"/>
      <c r="O18" s="325"/>
      <c r="P18" s="332">
        <f>R16</f>
        <v>0.70270270270270274</v>
      </c>
      <c r="Q18" s="333"/>
      <c r="R18" s="334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45737</v>
      </c>
      <c r="D19" s="196" t="s">
        <v>16</v>
      </c>
      <c r="E19" s="196" t="s">
        <v>1029</v>
      </c>
      <c r="F19" s="197">
        <v>600</v>
      </c>
      <c r="G19" s="197">
        <v>700</v>
      </c>
      <c r="H19" s="196">
        <v>100</v>
      </c>
      <c r="I19" s="197">
        <v>10</v>
      </c>
      <c r="J19" s="268">
        <f t="shared" si="1"/>
        <v>1000</v>
      </c>
      <c r="K19" s="185"/>
      <c r="M19" s="326"/>
      <c r="N19" s="327"/>
      <c r="O19" s="328"/>
      <c r="P19" s="335"/>
      <c r="Q19" s="336"/>
      <c r="R19" s="337"/>
      <c r="V19" s="183">
        <f t="shared" si="2"/>
        <v>1</v>
      </c>
      <c r="W19" s="183">
        <f t="shared" si="3"/>
        <v>0</v>
      </c>
    </row>
    <row r="20" spans="1:23" ht="15" thickBot="1" x14ac:dyDescent="0.35">
      <c r="A20" s="184"/>
      <c r="B20" s="194">
        <v>15</v>
      </c>
      <c r="C20" s="195">
        <v>45740</v>
      </c>
      <c r="D20" s="196" t="s">
        <v>16</v>
      </c>
      <c r="E20" s="196" t="s">
        <v>1026</v>
      </c>
      <c r="F20" s="197">
        <v>1300</v>
      </c>
      <c r="G20" s="197">
        <v>1400</v>
      </c>
      <c r="H20" s="196">
        <v>100</v>
      </c>
      <c r="I20" s="197">
        <v>10</v>
      </c>
      <c r="J20" s="268">
        <f t="shared" si="1"/>
        <v>1000</v>
      </c>
      <c r="K20" s="185"/>
      <c r="M20" s="329"/>
      <c r="N20" s="330"/>
      <c r="O20" s="331"/>
      <c r="P20" s="338"/>
      <c r="Q20" s="339"/>
      <c r="R20" s="340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45741</v>
      </c>
      <c r="D21" s="196" t="s">
        <v>16</v>
      </c>
      <c r="E21" s="196" t="s">
        <v>1026</v>
      </c>
      <c r="F21" s="197">
        <v>1160</v>
      </c>
      <c r="G21" s="197">
        <v>1260</v>
      </c>
      <c r="H21" s="196">
        <v>100</v>
      </c>
      <c r="I21" s="197">
        <v>10</v>
      </c>
      <c r="J21" s="268">
        <f t="shared" si="1"/>
        <v>1000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45742</v>
      </c>
      <c r="D22" s="196" t="s">
        <v>16</v>
      </c>
      <c r="E22" s="196" t="s">
        <v>1026</v>
      </c>
      <c r="F22" s="197">
        <v>1300</v>
      </c>
      <c r="G22" s="197">
        <v>1200</v>
      </c>
      <c r="H22" s="196">
        <v>-100</v>
      </c>
      <c r="I22" s="197">
        <v>10</v>
      </c>
      <c r="J22" s="268">
        <f t="shared" si="1"/>
        <v>-1000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45743</v>
      </c>
      <c r="D23" s="196" t="s">
        <v>16</v>
      </c>
      <c r="E23" s="196" t="s">
        <v>1026</v>
      </c>
      <c r="F23" s="197">
        <v>1370</v>
      </c>
      <c r="G23" s="197">
        <v>1570</v>
      </c>
      <c r="H23" s="196">
        <v>200</v>
      </c>
      <c r="I23" s="197">
        <v>10</v>
      </c>
      <c r="J23" s="268">
        <f t="shared" si="1"/>
        <v>2000</v>
      </c>
      <c r="K23" s="185"/>
      <c r="V23" s="183">
        <f t="shared" si="2"/>
        <v>1</v>
      </c>
      <c r="W23" s="183">
        <f t="shared" si="3"/>
        <v>0</v>
      </c>
    </row>
    <row r="24" spans="1:23" ht="15" thickBot="1" x14ac:dyDescent="0.35">
      <c r="A24" s="184"/>
      <c r="B24" s="194">
        <v>19</v>
      </c>
      <c r="C24" s="195">
        <v>45744</v>
      </c>
      <c r="D24" s="196" t="s">
        <v>16</v>
      </c>
      <c r="E24" s="196" t="s">
        <v>974</v>
      </c>
      <c r="F24" s="197">
        <v>1200</v>
      </c>
      <c r="G24" s="197">
        <v>1289</v>
      </c>
      <c r="H24" s="196">
        <v>89</v>
      </c>
      <c r="I24" s="197">
        <v>10</v>
      </c>
      <c r="J24" s="268">
        <f t="shared" si="1"/>
        <v>890</v>
      </c>
      <c r="K24" s="185"/>
      <c r="V24" s="183">
        <f t="shared" si="2"/>
        <v>1</v>
      </c>
      <c r="W24" s="183">
        <f t="shared" si="3"/>
        <v>0</v>
      </c>
    </row>
    <row r="25" spans="1:23" ht="15" hidden="1" thickBot="1" x14ac:dyDescent="0.35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ht="15" hidden="1" thickBot="1" x14ac:dyDescent="0.35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ht="15" hidden="1" thickBot="1" x14ac:dyDescent="0.35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hidden="1" thickBot="1" x14ac:dyDescent="0.35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6100</v>
      </c>
      <c r="K29" s="185"/>
      <c r="V29" s="183">
        <f>SUM(V6:V28)</f>
        <v>11</v>
      </c>
      <c r="W29" s="183">
        <f>SUM(W6:W28)</f>
        <v>8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45717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949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1017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45719</v>
      </c>
      <c r="D37" s="192" t="s">
        <v>16</v>
      </c>
      <c r="E37" s="192" t="s">
        <v>1007</v>
      </c>
      <c r="F37" s="193">
        <v>3000</v>
      </c>
      <c r="G37" s="193">
        <v>3400</v>
      </c>
      <c r="H37" s="192">
        <v>400</v>
      </c>
      <c r="I37" s="193">
        <v>5</v>
      </c>
      <c r="J37" s="267">
        <f t="shared" ref="J37:J59" si="4">I37*H37</f>
        <v>2000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45720</v>
      </c>
      <c r="D38" s="196" t="s">
        <v>16</v>
      </c>
      <c r="E38" s="196" t="s">
        <v>1005</v>
      </c>
      <c r="F38" s="222">
        <v>2550</v>
      </c>
      <c r="G38" s="222">
        <v>2350</v>
      </c>
      <c r="H38" s="222">
        <v>-200</v>
      </c>
      <c r="I38" s="197">
        <v>5</v>
      </c>
      <c r="J38" s="268">
        <f t="shared" si="4"/>
        <v>-1000</v>
      </c>
      <c r="K38" s="185"/>
      <c r="V38" s="183">
        <f t="shared" ref="V38:V59" si="5">IF($J38&gt;0,1,0)</f>
        <v>0</v>
      </c>
      <c r="W38" s="183">
        <f t="shared" ref="W38:W59" si="6">IF($J38&lt;0,1,0)</f>
        <v>1</v>
      </c>
    </row>
    <row r="39" spans="1:23" x14ac:dyDescent="0.3">
      <c r="A39" s="184"/>
      <c r="B39" s="194">
        <v>3</v>
      </c>
      <c r="C39" s="195">
        <v>45721</v>
      </c>
      <c r="D39" s="196" t="s">
        <v>16</v>
      </c>
      <c r="E39" s="196" t="s">
        <v>1030</v>
      </c>
      <c r="F39" s="197">
        <v>3200</v>
      </c>
      <c r="G39" s="197">
        <v>3386</v>
      </c>
      <c r="H39" s="222">
        <f>3386-3200</f>
        <v>186</v>
      </c>
      <c r="I39" s="197">
        <v>5</v>
      </c>
      <c r="J39" s="268">
        <f t="shared" si="4"/>
        <v>930</v>
      </c>
      <c r="K39" s="185"/>
      <c r="V39" s="183">
        <f t="shared" si="5"/>
        <v>1</v>
      </c>
      <c r="W39" s="183">
        <f t="shared" si="6"/>
        <v>0</v>
      </c>
    </row>
    <row r="40" spans="1:23" x14ac:dyDescent="0.3">
      <c r="A40" s="184"/>
      <c r="B40" s="194">
        <v>4</v>
      </c>
      <c r="C40" s="195">
        <v>45722</v>
      </c>
      <c r="D40" s="196" t="s">
        <v>16</v>
      </c>
      <c r="E40" s="196" t="s">
        <v>1031</v>
      </c>
      <c r="F40" s="222">
        <v>3140</v>
      </c>
      <c r="G40" s="222">
        <v>2940</v>
      </c>
      <c r="H40" s="222">
        <v>-200</v>
      </c>
      <c r="I40" s="197">
        <v>5</v>
      </c>
      <c r="J40" s="268">
        <f t="shared" si="4"/>
        <v>-1000</v>
      </c>
      <c r="K40" s="185"/>
      <c r="V40" s="183">
        <f t="shared" si="5"/>
        <v>0</v>
      </c>
      <c r="W40" s="183">
        <f t="shared" si="6"/>
        <v>1</v>
      </c>
    </row>
    <row r="41" spans="1:23" x14ac:dyDescent="0.3">
      <c r="A41" s="184"/>
      <c r="B41" s="194">
        <v>5</v>
      </c>
      <c r="C41" s="195">
        <v>45723</v>
      </c>
      <c r="D41" s="196" t="s">
        <v>16</v>
      </c>
      <c r="E41" s="196" t="s">
        <v>1020</v>
      </c>
      <c r="F41" s="197">
        <v>2650</v>
      </c>
      <c r="G41" s="197">
        <v>2850</v>
      </c>
      <c r="H41" s="196">
        <v>200</v>
      </c>
      <c r="I41" s="197">
        <v>5</v>
      </c>
      <c r="J41" s="268">
        <f t="shared" si="4"/>
        <v>1000</v>
      </c>
      <c r="K41" s="185"/>
      <c r="V41" s="183">
        <f t="shared" si="5"/>
        <v>1</v>
      </c>
      <c r="W41" s="183">
        <f t="shared" si="6"/>
        <v>0</v>
      </c>
    </row>
    <row r="42" spans="1:23" x14ac:dyDescent="0.3">
      <c r="A42" s="184"/>
      <c r="B42" s="194">
        <v>6</v>
      </c>
      <c r="C42" s="195">
        <v>45726</v>
      </c>
      <c r="D42" s="196" t="s">
        <v>16</v>
      </c>
      <c r="E42" s="196" t="s">
        <v>1031</v>
      </c>
      <c r="F42" s="222">
        <v>2900</v>
      </c>
      <c r="G42" s="222">
        <v>2700</v>
      </c>
      <c r="H42" s="196">
        <v>-200</v>
      </c>
      <c r="I42" s="197">
        <v>5</v>
      </c>
      <c r="J42" s="268">
        <f t="shared" si="4"/>
        <v>-1000</v>
      </c>
      <c r="K42" s="185"/>
      <c r="V42" s="183">
        <f t="shared" si="5"/>
        <v>0</v>
      </c>
      <c r="W42" s="183">
        <f t="shared" si="6"/>
        <v>1</v>
      </c>
    </row>
    <row r="43" spans="1:23" x14ac:dyDescent="0.3">
      <c r="A43" s="184"/>
      <c r="B43" s="194">
        <v>7</v>
      </c>
      <c r="C43" s="195">
        <v>45727</v>
      </c>
      <c r="D43" s="196" t="s">
        <v>16</v>
      </c>
      <c r="E43" s="196" t="s">
        <v>1020</v>
      </c>
      <c r="F43" s="222">
        <v>2700</v>
      </c>
      <c r="G43" s="222">
        <v>2500</v>
      </c>
      <c r="H43" s="222">
        <v>-200</v>
      </c>
      <c r="I43" s="197">
        <v>5</v>
      </c>
      <c r="J43" s="268">
        <f t="shared" si="4"/>
        <v>-1000</v>
      </c>
      <c r="K43" s="185"/>
      <c r="V43" s="183">
        <f t="shared" si="5"/>
        <v>0</v>
      </c>
      <c r="W43" s="183">
        <f t="shared" si="6"/>
        <v>1</v>
      </c>
    </row>
    <row r="44" spans="1:23" x14ac:dyDescent="0.3">
      <c r="A44" s="184"/>
      <c r="B44" s="194">
        <v>8</v>
      </c>
      <c r="C44" s="195">
        <v>45728</v>
      </c>
      <c r="D44" s="196" t="s">
        <v>16</v>
      </c>
      <c r="E44" s="196" t="s">
        <v>1020</v>
      </c>
      <c r="F44" s="197">
        <v>2240</v>
      </c>
      <c r="G44" s="197">
        <v>2040</v>
      </c>
      <c r="H44" s="196">
        <v>-200</v>
      </c>
      <c r="I44" s="197">
        <v>5</v>
      </c>
      <c r="J44" s="268">
        <f t="shared" si="4"/>
        <v>-1000</v>
      </c>
      <c r="K44" s="185"/>
      <c r="V44" s="183">
        <f t="shared" si="5"/>
        <v>0</v>
      </c>
      <c r="W44" s="183">
        <f t="shared" si="6"/>
        <v>1</v>
      </c>
    </row>
    <row r="45" spans="1:23" x14ac:dyDescent="0.3">
      <c r="A45" s="184"/>
      <c r="B45" s="194">
        <v>9</v>
      </c>
      <c r="C45" s="195">
        <v>45729</v>
      </c>
      <c r="D45" s="196" t="s">
        <v>16</v>
      </c>
      <c r="E45" s="196" t="s">
        <v>1014</v>
      </c>
      <c r="F45" s="222">
        <v>2600</v>
      </c>
      <c r="G45" s="222">
        <v>2680</v>
      </c>
      <c r="H45" s="222">
        <v>80</v>
      </c>
      <c r="I45" s="197">
        <v>5</v>
      </c>
      <c r="J45" s="268">
        <f t="shared" si="4"/>
        <v>400</v>
      </c>
      <c r="K45" s="185"/>
      <c r="V45" s="183">
        <f t="shared" si="5"/>
        <v>1</v>
      </c>
      <c r="W45" s="183">
        <f t="shared" si="6"/>
        <v>0</v>
      </c>
    </row>
    <row r="46" spans="1:23" x14ac:dyDescent="0.3">
      <c r="A46" s="184"/>
      <c r="B46" s="194">
        <v>10</v>
      </c>
      <c r="C46" s="195">
        <v>45733</v>
      </c>
      <c r="D46" s="196" t="s">
        <v>16</v>
      </c>
      <c r="E46" s="196" t="s">
        <v>1032</v>
      </c>
      <c r="F46" s="197">
        <v>2900</v>
      </c>
      <c r="G46" s="222">
        <v>2700</v>
      </c>
      <c r="H46" s="196">
        <v>-200</v>
      </c>
      <c r="I46" s="197">
        <v>5</v>
      </c>
      <c r="J46" s="268">
        <f t="shared" si="4"/>
        <v>-1000</v>
      </c>
      <c r="K46" s="185"/>
      <c r="V46" s="183">
        <f t="shared" si="5"/>
        <v>0</v>
      </c>
      <c r="W46" s="183">
        <f t="shared" si="6"/>
        <v>1</v>
      </c>
    </row>
    <row r="47" spans="1:23" x14ac:dyDescent="0.3">
      <c r="A47" s="184"/>
      <c r="B47" s="194">
        <v>11</v>
      </c>
      <c r="C47" s="195">
        <v>45734</v>
      </c>
      <c r="D47" s="196" t="s">
        <v>16</v>
      </c>
      <c r="E47" s="196" t="s">
        <v>1022</v>
      </c>
      <c r="F47" s="222">
        <v>3750</v>
      </c>
      <c r="G47" s="222">
        <v>4150</v>
      </c>
      <c r="H47" s="222">
        <f>4150-3750</f>
        <v>400</v>
      </c>
      <c r="I47" s="197">
        <v>5</v>
      </c>
      <c r="J47" s="268">
        <f t="shared" si="4"/>
        <v>2000</v>
      </c>
      <c r="K47" s="185"/>
      <c r="V47" s="183">
        <f t="shared" si="5"/>
        <v>1</v>
      </c>
      <c r="W47" s="183">
        <f t="shared" si="6"/>
        <v>0</v>
      </c>
    </row>
    <row r="48" spans="1:23" x14ac:dyDescent="0.3">
      <c r="A48" s="184"/>
      <c r="B48" s="194">
        <v>12</v>
      </c>
      <c r="C48" s="195">
        <v>45735</v>
      </c>
      <c r="D48" s="196" t="s">
        <v>16</v>
      </c>
      <c r="E48" s="196" t="s">
        <v>1022</v>
      </c>
      <c r="F48" s="197">
        <v>3400</v>
      </c>
      <c r="G48" s="222">
        <v>3200</v>
      </c>
      <c r="H48" s="196">
        <v>-200</v>
      </c>
      <c r="I48" s="197">
        <v>5</v>
      </c>
      <c r="J48" s="268">
        <f t="shared" si="4"/>
        <v>-1000</v>
      </c>
      <c r="K48" s="185"/>
      <c r="V48" s="183">
        <f t="shared" si="5"/>
        <v>0</v>
      </c>
      <c r="W48" s="183">
        <f t="shared" si="6"/>
        <v>1</v>
      </c>
    </row>
    <row r="49" spans="1:23" x14ac:dyDescent="0.3">
      <c r="A49" s="184"/>
      <c r="B49" s="194">
        <v>13</v>
      </c>
      <c r="C49" s="195">
        <v>45736</v>
      </c>
      <c r="D49" s="196" t="s">
        <v>16</v>
      </c>
      <c r="E49" s="196" t="s">
        <v>1032</v>
      </c>
      <c r="F49" s="222">
        <v>2700</v>
      </c>
      <c r="G49" s="222">
        <v>3100</v>
      </c>
      <c r="H49" s="196">
        <f>3100-2700</f>
        <v>400</v>
      </c>
      <c r="I49" s="197">
        <v>5</v>
      </c>
      <c r="J49" s="268">
        <f t="shared" si="4"/>
        <v>2000</v>
      </c>
      <c r="K49" s="185"/>
      <c r="V49" s="183">
        <f t="shared" si="5"/>
        <v>1</v>
      </c>
      <c r="W49" s="183">
        <f t="shared" si="6"/>
        <v>0</v>
      </c>
    </row>
    <row r="50" spans="1:23" x14ac:dyDescent="0.3">
      <c r="A50" s="184"/>
      <c r="B50" s="194">
        <v>14</v>
      </c>
      <c r="C50" s="195">
        <v>45740</v>
      </c>
      <c r="D50" s="196" t="s">
        <v>16</v>
      </c>
      <c r="E50" s="196" t="s">
        <v>1022</v>
      </c>
      <c r="F50" s="197">
        <v>1720</v>
      </c>
      <c r="G50" s="222">
        <v>1520</v>
      </c>
      <c r="H50" s="196">
        <v>-200</v>
      </c>
      <c r="I50" s="197">
        <v>5</v>
      </c>
      <c r="J50" s="268">
        <f t="shared" si="4"/>
        <v>-1000</v>
      </c>
      <c r="K50" s="185"/>
      <c r="V50" s="183">
        <f t="shared" si="5"/>
        <v>0</v>
      </c>
      <c r="W50" s="183">
        <f t="shared" si="6"/>
        <v>1</v>
      </c>
    </row>
    <row r="51" spans="1:23" x14ac:dyDescent="0.3">
      <c r="A51" s="184"/>
      <c r="B51" s="194">
        <v>15</v>
      </c>
      <c r="C51" s="195">
        <v>45741</v>
      </c>
      <c r="D51" s="196" t="s">
        <v>16</v>
      </c>
      <c r="E51" s="196" t="s">
        <v>1022</v>
      </c>
      <c r="F51" s="222">
        <v>1550</v>
      </c>
      <c r="G51" s="222">
        <v>1950</v>
      </c>
      <c r="H51" s="196">
        <v>400</v>
      </c>
      <c r="I51" s="197">
        <v>5</v>
      </c>
      <c r="J51" s="268">
        <f t="shared" si="4"/>
        <v>2000</v>
      </c>
      <c r="K51" s="185"/>
      <c r="V51" s="183">
        <f t="shared" si="5"/>
        <v>1</v>
      </c>
      <c r="W51" s="183">
        <f t="shared" si="6"/>
        <v>0</v>
      </c>
    </row>
    <row r="52" spans="1:23" x14ac:dyDescent="0.3">
      <c r="A52" s="184"/>
      <c r="B52" s="194">
        <v>16</v>
      </c>
      <c r="C52" s="195">
        <v>45742</v>
      </c>
      <c r="D52" s="196" t="s">
        <v>16</v>
      </c>
      <c r="E52" s="196" t="s">
        <v>1031</v>
      </c>
      <c r="F52" s="197">
        <v>3100</v>
      </c>
      <c r="G52" s="197">
        <v>3289</v>
      </c>
      <c r="H52" s="196">
        <f>3289-3100</f>
        <v>189</v>
      </c>
      <c r="I52" s="197">
        <v>5</v>
      </c>
      <c r="J52" s="268">
        <f t="shared" si="4"/>
        <v>945</v>
      </c>
      <c r="K52" s="185"/>
      <c r="V52" s="183">
        <f t="shared" si="5"/>
        <v>1</v>
      </c>
      <c r="W52" s="183">
        <f t="shared" si="6"/>
        <v>0</v>
      </c>
    </row>
    <row r="53" spans="1:23" x14ac:dyDescent="0.3">
      <c r="A53" s="184"/>
      <c r="B53" s="194">
        <v>17</v>
      </c>
      <c r="C53" s="195">
        <v>45743</v>
      </c>
      <c r="D53" s="196" t="s">
        <v>16</v>
      </c>
      <c r="E53" s="196" t="s">
        <v>1022</v>
      </c>
      <c r="F53" s="222">
        <v>2130</v>
      </c>
      <c r="G53" s="222">
        <v>2530</v>
      </c>
      <c r="H53" s="222">
        <f>2530-2130</f>
        <v>400</v>
      </c>
      <c r="I53" s="197">
        <v>5</v>
      </c>
      <c r="J53" s="268">
        <f t="shared" si="4"/>
        <v>2000</v>
      </c>
      <c r="K53" s="185"/>
      <c r="V53" s="183">
        <f t="shared" si="5"/>
        <v>1</v>
      </c>
      <c r="W53" s="183">
        <f t="shared" si="6"/>
        <v>0</v>
      </c>
    </row>
    <row r="54" spans="1:23" ht="15" thickBot="1" x14ac:dyDescent="0.35">
      <c r="A54" s="184"/>
      <c r="B54" s="194">
        <v>18</v>
      </c>
      <c r="C54" s="195">
        <v>45744</v>
      </c>
      <c r="D54" s="196" t="s">
        <v>16</v>
      </c>
      <c r="E54" s="196" t="s">
        <v>1032</v>
      </c>
      <c r="F54" s="197">
        <v>1820</v>
      </c>
      <c r="G54" s="197">
        <v>2220</v>
      </c>
      <c r="H54" s="196">
        <f>2220-1820</f>
        <v>400</v>
      </c>
      <c r="I54" s="197">
        <v>5</v>
      </c>
      <c r="J54" s="268">
        <f t="shared" si="4"/>
        <v>2000</v>
      </c>
      <c r="K54" s="185"/>
      <c r="V54" s="183">
        <f t="shared" si="5"/>
        <v>1</v>
      </c>
      <c r="W54" s="183">
        <f t="shared" si="6"/>
        <v>0</v>
      </c>
    </row>
    <row r="55" spans="1:23" ht="15" hidden="1" thickBot="1" x14ac:dyDescent="0.35">
      <c r="A55" s="184"/>
      <c r="B55" s="194">
        <v>19</v>
      </c>
      <c r="C55" s="195"/>
      <c r="D55" s="196" t="s">
        <v>16</v>
      </c>
      <c r="E55" s="196"/>
      <c r="F55" s="222"/>
      <c r="G55" s="222"/>
      <c r="H55" s="196"/>
      <c r="I55" s="197">
        <v>5</v>
      </c>
      <c r="J55" s="268">
        <f t="shared" si="4"/>
        <v>0</v>
      </c>
      <c r="K55" s="185"/>
      <c r="V55" s="183">
        <f t="shared" si="5"/>
        <v>0</v>
      </c>
      <c r="W55" s="183">
        <f t="shared" si="6"/>
        <v>0</v>
      </c>
    </row>
    <row r="56" spans="1:23" ht="15" hidden="1" thickBot="1" x14ac:dyDescent="0.35">
      <c r="A56" s="184"/>
      <c r="B56" s="194">
        <v>20</v>
      </c>
      <c r="C56" s="195"/>
      <c r="D56" s="196"/>
      <c r="E56" s="196"/>
      <c r="F56" s="197"/>
      <c r="G56" s="197"/>
      <c r="H56" s="196"/>
      <c r="I56" s="197"/>
      <c r="J56" s="268">
        <f t="shared" si="4"/>
        <v>0</v>
      </c>
      <c r="K56" s="185"/>
      <c r="V56" s="183">
        <f t="shared" si="5"/>
        <v>0</v>
      </c>
      <c r="W56" s="183">
        <f t="shared" si="6"/>
        <v>0</v>
      </c>
    </row>
    <row r="57" spans="1:23" ht="15" hidden="1" thickBot="1" x14ac:dyDescent="0.35">
      <c r="A57" s="184"/>
      <c r="B57" s="194">
        <v>21</v>
      </c>
      <c r="C57" s="195"/>
      <c r="D57" s="196"/>
      <c r="E57" s="196"/>
      <c r="F57" s="197"/>
      <c r="G57" s="222"/>
      <c r="H57" s="222"/>
      <c r="I57" s="197"/>
      <c r="J57" s="268">
        <f t="shared" si="4"/>
        <v>0</v>
      </c>
      <c r="K57" s="185"/>
      <c r="V57" s="183">
        <f t="shared" si="5"/>
        <v>0</v>
      </c>
      <c r="W57" s="183">
        <f t="shared" si="6"/>
        <v>0</v>
      </c>
    </row>
    <row r="58" spans="1:23" ht="15" hidden="1" thickBot="1" x14ac:dyDescent="0.35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4"/>
        <v>0</v>
      </c>
      <c r="K58" s="185"/>
      <c r="V58" s="183">
        <f t="shared" si="5"/>
        <v>0</v>
      </c>
      <c r="W58" s="183">
        <f t="shared" si="6"/>
        <v>0</v>
      </c>
    </row>
    <row r="59" spans="1:23" ht="15" hidden="1" thickBot="1" x14ac:dyDescent="0.35">
      <c r="A59" s="184"/>
      <c r="B59" s="194">
        <v>23</v>
      </c>
      <c r="C59" s="195"/>
      <c r="D59" s="196"/>
      <c r="E59" s="196"/>
      <c r="F59" s="197"/>
      <c r="G59" s="222"/>
      <c r="H59" s="222"/>
      <c r="I59" s="197"/>
      <c r="J59" s="268">
        <f t="shared" si="4"/>
        <v>0</v>
      </c>
      <c r="K59" s="185"/>
      <c r="V59" s="183">
        <f t="shared" si="5"/>
        <v>0</v>
      </c>
      <c r="W59" s="183">
        <f t="shared" si="6"/>
        <v>0</v>
      </c>
    </row>
    <row r="60" spans="1:23" ht="24" thickBot="1" x14ac:dyDescent="0.5">
      <c r="A60" s="184"/>
      <c r="B60" s="368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7275</v>
      </c>
      <c r="K60" s="185"/>
      <c r="V60" s="183">
        <f>SUM(V37:V59)</f>
        <v>10</v>
      </c>
      <c r="W60" s="183">
        <f>SUM(W37:W59)</f>
        <v>8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45717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997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1017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45719</v>
      </c>
      <c r="D68" s="216" t="s">
        <v>23</v>
      </c>
      <c r="E68" s="256" t="s">
        <v>25</v>
      </c>
      <c r="F68" s="256">
        <v>6105</v>
      </c>
      <c r="G68" s="256">
        <v>6068</v>
      </c>
      <c r="H68" s="256">
        <v>37</v>
      </c>
      <c r="I68" s="218">
        <v>100</v>
      </c>
      <c r="J68" s="273">
        <f>I68*H68</f>
        <v>3700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45720</v>
      </c>
      <c r="D69" s="196" t="s">
        <v>23</v>
      </c>
      <c r="E69" s="222" t="s">
        <v>25</v>
      </c>
      <c r="F69" s="222">
        <v>5950</v>
      </c>
      <c r="G69" s="222">
        <v>5880</v>
      </c>
      <c r="H69" s="222">
        <f>5950-5880</f>
        <v>70</v>
      </c>
      <c r="I69" s="218">
        <v>100</v>
      </c>
      <c r="J69" s="268">
        <f t="shared" ref="J69:J90" si="7">I69*H69</f>
        <v>7000</v>
      </c>
      <c r="K69" s="185"/>
      <c r="V69" s="183">
        <f t="shared" ref="V69:V90" si="8">IF($J69&gt;0,1,0)</f>
        <v>1</v>
      </c>
      <c r="W69" s="183">
        <f t="shared" ref="W69:W90" si="9">IF($J69&lt;0,1,0)</f>
        <v>0</v>
      </c>
    </row>
    <row r="70" spans="1:23" x14ac:dyDescent="0.3">
      <c r="A70" s="184"/>
      <c r="B70" s="194">
        <v>3</v>
      </c>
      <c r="C70" s="195">
        <v>45721</v>
      </c>
      <c r="D70" s="196" t="s">
        <v>23</v>
      </c>
      <c r="E70" s="222" t="s">
        <v>25</v>
      </c>
      <c r="F70" s="222">
        <v>5935</v>
      </c>
      <c r="G70" s="222">
        <v>5865</v>
      </c>
      <c r="H70" s="222">
        <f>5935-5865</f>
        <v>70</v>
      </c>
      <c r="I70" s="218">
        <v>100</v>
      </c>
      <c r="J70" s="268">
        <f t="shared" si="7"/>
        <v>7000</v>
      </c>
      <c r="K70" s="185"/>
      <c r="M70" s="183" t="s">
        <v>870</v>
      </c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4</v>
      </c>
      <c r="C71" s="195">
        <v>45722</v>
      </c>
      <c r="D71" s="196" t="s">
        <v>23</v>
      </c>
      <c r="E71" s="222" t="s">
        <v>25</v>
      </c>
      <c r="F71" s="222">
        <v>5815</v>
      </c>
      <c r="G71" s="222">
        <v>5745</v>
      </c>
      <c r="H71" s="222">
        <f>5815-5745</f>
        <v>70</v>
      </c>
      <c r="I71" s="218">
        <v>100</v>
      </c>
      <c r="J71" s="268">
        <f t="shared" si="7"/>
        <v>7000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5</v>
      </c>
      <c r="C72" s="195">
        <v>45723</v>
      </c>
      <c r="D72" s="196" t="s">
        <v>23</v>
      </c>
      <c r="E72" s="222" t="s">
        <v>25</v>
      </c>
      <c r="F72" s="222">
        <v>5830</v>
      </c>
      <c r="G72" s="222">
        <v>5870</v>
      </c>
      <c r="H72" s="222">
        <v>-40</v>
      </c>
      <c r="I72" s="218">
        <v>100</v>
      </c>
      <c r="J72" s="268">
        <f t="shared" si="7"/>
        <v>-4000</v>
      </c>
      <c r="K72" s="185"/>
      <c r="V72" s="183">
        <f t="shared" si="8"/>
        <v>0</v>
      </c>
      <c r="W72" s="183">
        <f t="shared" si="9"/>
        <v>1</v>
      </c>
    </row>
    <row r="73" spans="1:23" x14ac:dyDescent="0.3">
      <c r="A73" s="184"/>
      <c r="B73" s="194">
        <v>6</v>
      </c>
      <c r="C73" s="195">
        <v>45726</v>
      </c>
      <c r="D73" s="196" t="s">
        <v>16</v>
      </c>
      <c r="E73" s="222" t="s">
        <v>25</v>
      </c>
      <c r="F73" s="222">
        <v>5855</v>
      </c>
      <c r="G73" s="222">
        <v>5900</v>
      </c>
      <c r="H73" s="222">
        <f>5900-5855</f>
        <v>45</v>
      </c>
      <c r="I73" s="218">
        <v>100</v>
      </c>
      <c r="J73" s="268">
        <f t="shared" si="7"/>
        <v>4500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7</v>
      </c>
      <c r="C74" s="195">
        <v>45727</v>
      </c>
      <c r="D74" s="196" t="s">
        <v>23</v>
      </c>
      <c r="E74" s="222" t="s">
        <v>25</v>
      </c>
      <c r="F74" s="222">
        <v>5795</v>
      </c>
      <c r="G74" s="222">
        <v>5835</v>
      </c>
      <c r="H74" s="274">
        <v>-40</v>
      </c>
      <c r="I74" s="218">
        <v>100</v>
      </c>
      <c r="J74" s="268">
        <f t="shared" si="7"/>
        <v>-4000</v>
      </c>
      <c r="K74" s="185"/>
      <c r="V74" s="183">
        <f t="shared" si="8"/>
        <v>0</v>
      </c>
      <c r="W74" s="183">
        <f t="shared" si="9"/>
        <v>1</v>
      </c>
    </row>
    <row r="75" spans="1:23" x14ac:dyDescent="0.3">
      <c r="A75" s="184"/>
      <c r="B75" s="194">
        <v>8</v>
      </c>
      <c r="C75" s="195">
        <v>45728</v>
      </c>
      <c r="D75" s="196" t="s">
        <v>23</v>
      </c>
      <c r="E75" s="222" t="s">
        <v>25</v>
      </c>
      <c r="F75" s="222">
        <v>5820</v>
      </c>
      <c r="G75" s="222">
        <v>5804</v>
      </c>
      <c r="H75" s="222">
        <f>5820-5804</f>
        <v>16</v>
      </c>
      <c r="I75" s="197">
        <v>100</v>
      </c>
      <c r="J75" s="268">
        <f t="shared" si="7"/>
        <v>1600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9</v>
      </c>
      <c r="C76" s="195">
        <v>45729</v>
      </c>
      <c r="D76" s="196" t="s">
        <v>23</v>
      </c>
      <c r="E76" s="222" t="s">
        <v>25</v>
      </c>
      <c r="F76" s="222">
        <v>5900</v>
      </c>
      <c r="G76" s="222">
        <v>5855</v>
      </c>
      <c r="H76" s="222">
        <f>5900-5855</f>
        <v>45</v>
      </c>
      <c r="I76" s="197">
        <v>100</v>
      </c>
      <c r="J76" s="268">
        <f t="shared" si="7"/>
        <v>4500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10</v>
      </c>
      <c r="C77" s="195">
        <v>45733</v>
      </c>
      <c r="D77" s="196" t="s">
        <v>16</v>
      </c>
      <c r="E77" s="222" t="s">
        <v>25</v>
      </c>
      <c r="F77" s="222">
        <v>5875</v>
      </c>
      <c r="G77" s="222">
        <v>5921</v>
      </c>
      <c r="H77" s="222">
        <f>5921-5875</f>
        <v>46</v>
      </c>
      <c r="I77" s="197">
        <v>100</v>
      </c>
      <c r="J77" s="268">
        <f t="shared" si="7"/>
        <v>4600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11</v>
      </c>
      <c r="C78" s="195">
        <v>45734</v>
      </c>
      <c r="D78" s="196" t="s">
        <v>23</v>
      </c>
      <c r="E78" s="222" t="s">
        <v>25</v>
      </c>
      <c r="F78" s="222">
        <v>5930</v>
      </c>
      <c r="G78" s="222">
        <v>5865</v>
      </c>
      <c r="H78" s="274">
        <f>5930-5865</f>
        <v>65</v>
      </c>
      <c r="I78" s="197">
        <v>100</v>
      </c>
      <c r="J78" s="268">
        <f t="shared" si="7"/>
        <v>6500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12</v>
      </c>
      <c r="C79" s="195">
        <v>45735</v>
      </c>
      <c r="D79" s="196" t="s">
        <v>23</v>
      </c>
      <c r="E79" s="222" t="s">
        <v>25</v>
      </c>
      <c r="F79" s="222">
        <v>5770</v>
      </c>
      <c r="G79" s="222">
        <v>5745</v>
      </c>
      <c r="H79" s="274">
        <f>5770-5745</f>
        <v>25</v>
      </c>
      <c r="I79" s="197">
        <v>100</v>
      </c>
      <c r="J79" s="268">
        <f t="shared" si="7"/>
        <v>2500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13</v>
      </c>
      <c r="C80" s="195">
        <v>45736</v>
      </c>
      <c r="D80" s="196" t="s">
        <v>23</v>
      </c>
      <c r="E80" s="222" t="s">
        <v>25</v>
      </c>
      <c r="F80" s="222">
        <v>5850</v>
      </c>
      <c r="G80" s="222">
        <v>5785</v>
      </c>
      <c r="H80" s="274">
        <f>5850-5785</f>
        <v>65</v>
      </c>
      <c r="I80" s="197">
        <v>100</v>
      </c>
      <c r="J80" s="268">
        <f t="shared" si="7"/>
        <v>6500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14</v>
      </c>
      <c r="C81" s="195">
        <v>45740</v>
      </c>
      <c r="D81" s="196" t="s">
        <v>23</v>
      </c>
      <c r="E81" s="222" t="s">
        <v>25</v>
      </c>
      <c r="F81" s="222">
        <v>5875</v>
      </c>
      <c r="G81" s="222">
        <v>5852</v>
      </c>
      <c r="H81" s="274">
        <f>5875-5852</f>
        <v>23</v>
      </c>
      <c r="I81" s="197">
        <v>100</v>
      </c>
      <c r="J81" s="268">
        <f t="shared" si="7"/>
        <v>2300</v>
      </c>
      <c r="K81" s="185"/>
      <c r="V81" s="183">
        <f t="shared" si="8"/>
        <v>1</v>
      </c>
      <c r="W81" s="183">
        <f t="shared" si="9"/>
        <v>0</v>
      </c>
    </row>
    <row r="82" spans="1:23" x14ac:dyDescent="0.3">
      <c r="A82" s="184"/>
      <c r="B82" s="194">
        <v>15</v>
      </c>
      <c r="C82" s="195">
        <v>45741</v>
      </c>
      <c r="D82" s="196" t="s">
        <v>23</v>
      </c>
      <c r="E82" s="196" t="s">
        <v>25</v>
      </c>
      <c r="F82" s="222">
        <v>5980</v>
      </c>
      <c r="G82" s="222">
        <v>5950</v>
      </c>
      <c r="H82" s="222">
        <v>30</v>
      </c>
      <c r="I82" s="197">
        <v>100</v>
      </c>
      <c r="J82" s="268">
        <f t="shared" si="7"/>
        <v>3000</v>
      </c>
      <c r="K82" s="185"/>
      <c r="V82" s="183">
        <f t="shared" si="8"/>
        <v>1</v>
      </c>
      <c r="W82" s="183">
        <f t="shared" si="9"/>
        <v>0</v>
      </c>
    </row>
    <row r="83" spans="1:23" x14ac:dyDescent="0.3">
      <c r="A83" s="184"/>
      <c r="B83" s="194">
        <v>16</v>
      </c>
      <c r="C83" s="195">
        <v>45742</v>
      </c>
      <c r="D83" s="196" t="s">
        <v>23</v>
      </c>
      <c r="E83" s="196" t="s">
        <v>25</v>
      </c>
      <c r="F83" s="222">
        <v>5970</v>
      </c>
      <c r="G83" s="222">
        <v>5954</v>
      </c>
      <c r="H83" s="222">
        <f>5970-5954</f>
        <v>16</v>
      </c>
      <c r="I83" s="197">
        <v>100</v>
      </c>
      <c r="J83" s="268">
        <f t="shared" si="7"/>
        <v>1600</v>
      </c>
      <c r="K83" s="185"/>
      <c r="V83" s="183">
        <f t="shared" si="8"/>
        <v>1</v>
      </c>
      <c r="W83" s="183">
        <f t="shared" si="9"/>
        <v>0</v>
      </c>
    </row>
    <row r="84" spans="1:23" x14ac:dyDescent="0.3">
      <c r="A84" s="184"/>
      <c r="B84" s="194">
        <v>17</v>
      </c>
      <c r="C84" s="195">
        <v>45743</v>
      </c>
      <c r="D84" s="196" t="s">
        <v>23</v>
      </c>
      <c r="E84" s="196" t="s">
        <v>25</v>
      </c>
      <c r="F84" s="222">
        <v>5980</v>
      </c>
      <c r="G84" s="274">
        <v>5959</v>
      </c>
      <c r="H84" s="274">
        <f>5980-5959</f>
        <v>21</v>
      </c>
      <c r="I84" s="197">
        <v>100</v>
      </c>
      <c r="J84" s="268">
        <f t="shared" si="7"/>
        <v>2100</v>
      </c>
      <c r="K84" s="185"/>
      <c r="V84" s="183">
        <f t="shared" si="8"/>
        <v>1</v>
      </c>
      <c r="W84" s="183">
        <f t="shared" si="9"/>
        <v>0</v>
      </c>
    </row>
    <row r="85" spans="1:23" x14ac:dyDescent="0.3">
      <c r="A85" s="184"/>
      <c r="B85" s="194">
        <v>18</v>
      </c>
      <c r="C85" s="195">
        <v>45744</v>
      </c>
      <c r="D85" s="196" t="s">
        <v>23</v>
      </c>
      <c r="E85" s="196" t="s">
        <v>25</v>
      </c>
      <c r="F85" s="222">
        <v>5970</v>
      </c>
      <c r="G85" s="222">
        <v>5940</v>
      </c>
      <c r="H85" s="274">
        <v>30</v>
      </c>
      <c r="I85" s="197">
        <v>100</v>
      </c>
      <c r="J85" s="268">
        <f t="shared" si="7"/>
        <v>3000</v>
      </c>
      <c r="K85" s="185"/>
      <c r="V85" s="183">
        <f t="shared" si="8"/>
        <v>1</v>
      </c>
      <c r="W85" s="183">
        <f t="shared" si="9"/>
        <v>0</v>
      </c>
    </row>
    <row r="86" spans="1:23" hidden="1" x14ac:dyDescent="0.3">
      <c r="A86" s="184"/>
      <c r="B86" s="194">
        <v>19</v>
      </c>
      <c r="C86" s="195"/>
      <c r="D86" s="196"/>
      <c r="E86" s="196" t="s">
        <v>25</v>
      </c>
      <c r="F86" s="222"/>
      <c r="G86" s="222"/>
      <c r="H86" s="274"/>
      <c r="I86" s="197">
        <v>100</v>
      </c>
      <c r="J86" s="268">
        <f t="shared" si="7"/>
        <v>0</v>
      </c>
      <c r="K86" s="185"/>
      <c r="V86" s="183">
        <f t="shared" si="8"/>
        <v>0</v>
      </c>
      <c r="W86" s="183">
        <f t="shared" si="9"/>
        <v>0</v>
      </c>
    </row>
    <row r="87" spans="1:23" hidden="1" x14ac:dyDescent="0.3">
      <c r="A87" s="184"/>
      <c r="B87" s="194">
        <v>20</v>
      </c>
      <c r="C87" s="195"/>
      <c r="D87" s="196"/>
      <c r="E87" s="196"/>
      <c r="F87" s="222"/>
      <c r="G87" s="222"/>
      <c r="H87" s="274"/>
      <c r="I87" s="197"/>
      <c r="J87" s="268">
        <f t="shared" si="7"/>
        <v>0</v>
      </c>
      <c r="K87" s="185"/>
      <c r="V87" s="183">
        <f t="shared" si="8"/>
        <v>0</v>
      </c>
      <c r="W87" s="183">
        <f t="shared" si="9"/>
        <v>0</v>
      </c>
    </row>
    <row r="88" spans="1:23" hidden="1" x14ac:dyDescent="0.3">
      <c r="A88" s="184"/>
      <c r="B88" s="194">
        <v>21</v>
      </c>
      <c r="C88" s="195"/>
      <c r="D88" s="196"/>
      <c r="E88" s="196"/>
      <c r="F88" s="222"/>
      <c r="G88" s="222"/>
      <c r="H88" s="274"/>
      <c r="I88" s="197"/>
      <c r="J88" s="268">
        <f t="shared" si="7"/>
        <v>0</v>
      </c>
      <c r="K88" s="185"/>
      <c r="V88" s="183">
        <f t="shared" si="8"/>
        <v>0</v>
      </c>
      <c r="W88" s="183">
        <f t="shared" si="9"/>
        <v>0</v>
      </c>
    </row>
    <row r="89" spans="1:23" hidden="1" x14ac:dyDescent="0.3">
      <c r="A89" s="184"/>
      <c r="B89" s="194">
        <v>22</v>
      </c>
      <c r="C89" s="195"/>
      <c r="D89" s="196"/>
      <c r="E89" s="196"/>
      <c r="F89" s="222"/>
      <c r="G89" s="222"/>
      <c r="H89" s="274"/>
      <c r="I89" s="197"/>
      <c r="J89" s="268">
        <f t="shared" si="7"/>
        <v>0</v>
      </c>
      <c r="K89" s="185"/>
      <c r="V89" s="183">
        <f t="shared" si="8"/>
        <v>0</v>
      </c>
      <c r="W89" s="183">
        <f t="shared" si="9"/>
        <v>0</v>
      </c>
    </row>
    <row r="90" spans="1:23" hidden="1" x14ac:dyDescent="0.3">
      <c r="A90" s="184"/>
      <c r="B90" s="194">
        <v>23</v>
      </c>
      <c r="C90" s="195"/>
      <c r="D90" s="196"/>
      <c r="E90" s="196"/>
      <c r="F90" s="222"/>
      <c r="G90" s="222"/>
      <c r="H90" s="274"/>
      <c r="I90" s="197"/>
      <c r="J90" s="268">
        <f t="shared" si="7"/>
        <v>0</v>
      </c>
      <c r="K90" s="185"/>
      <c r="V90" s="183">
        <f t="shared" si="8"/>
        <v>0</v>
      </c>
      <c r="W90" s="183">
        <f t="shared" si="9"/>
        <v>0</v>
      </c>
    </row>
    <row r="91" spans="1:23" ht="24" thickBot="1" x14ac:dyDescent="0.5">
      <c r="A91" s="184"/>
      <c r="B91" s="373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59400</v>
      </c>
      <c r="K91" s="185"/>
      <c r="V91" s="183">
        <f>SUM(V68:V90)</f>
        <v>16</v>
      </c>
      <c r="W91" s="183">
        <f>SUM(W68:W90)</f>
        <v>2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  <c r="L92" s="183" t="s">
        <v>926</v>
      </c>
    </row>
    <row r="93" spans="1:23" ht="15" thickBot="1" x14ac:dyDescent="0.35"/>
    <row r="94" spans="1:23" ht="30" customHeight="1" thickBot="1" x14ac:dyDescent="0.35">
      <c r="A94" s="180"/>
      <c r="B94" s="181"/>
      <c r="C94" s="181"/>
      <c r="D94" s="181"/>
      <c r="E94" s="181"/>
      <c r="F94" s="181"/>
      <c r="G94" s="181"/>
      <c r="H94" s="259"/>
      <c r="I94" s="181"/>
      <c r="J94" s="259"/>
      <c r="K94" s="182"/>
    </row>
    <row r="95" spans="1:23" ht="25.2" thickBot="1" x14ac:dyDescent="0.35">
      <c r="A95" s="184" t="s">
        <v>0</v>
      </c>
      <c r="B95" s="307" t="s">
        <v>873</v>
      </c>
      <c r="C95" s="308"/>
      <c r="D95" s="308"/>
      <c r="E95" s="308"/>
      <c r="F95" s="308"/>
      <c r="G95" s="308"/>
      <c r="H95" s="308"/>
      <c r="I95" s="308"/>
      <c r="J95" s="309"/>
      <c r="K95" s="185"/>
    </row>
    <row r="96" spans="1:23" ht="16.2" thickBot="1" x14ac:dyDescent="0.35">
      <c r="A96" s="184"/>
      <c r="B96" s="310">
        <v>45717</v>
      </c>
      <c r="C96" s="311"/>
      <c r="D96" s="311"/>
      <c r="E96" s="311"/>
      <c r="F96" s="311"/>
      <c r="G96" s="311"/>
      <c r="H96" s="311"/>
      <c r="I96" s="311"/>
      <c r="J96" s="312"/>
      <c r="K96" s="185"/>
    </row>
    <row r="97" spans="1:23" ht="16.2" thickBot="1" x14ac:dyDescent="0.35">
      <c r="A97" s="184"/>
      <c r="B97" s="313" t="s">
        <v>905</v>
      </c>
      <c r="C97" s="314"/>
      <c r="D97" s="314"/>
      <c r="E97" s="314"/>
      <c r="F97" s="314"/>
      <c r="G97" s="314"/>
      <c r="H97" s="314"/>
      <c r="I97" s="314"/>
      <c r="J97" s="315"/>
      <c r="K97" s="185"/>
    </row>
    <row r="98" spans="1:23" ht="15" thickBot="1" x14ac:dyDescent="0.35">
      <c r="A98" s="208"/>
      <c r="B98" s="186" t="s">
        <v>876</v>
      </c>
      <c r="C98" s="187" t="s">
        <v>1</v>
      </c>
      <c r="D98" s="188" t="s">
        <v>2</v>
      </c>
      <c r="E98" s="188" t="s">
        <v>3</v>
      </c>
      <c r="F98" s="189" t="s">
        <v>4</v>
      </c>
      <c r="G98" s="189" t="s">
        <v>5</v>
      </c>
      <c r="H98" s="260" t="s">
        <v>720</v>
      </c>
      <c r="I98" s="189" t="s">
        <v>1017</v>
      </c>
      <c r="J98" s="266" t="s">
        <v>7</v>
      </c>
      <c r="K98" s="209"/>
      <c r="L98" s="198"/>
      <c r="V98" s="183" t="s">
        <v>254</v>
      </c>
      <c r="W98" s="183" t="s">
        <v>255</v>
      </c>
    </row>
    <row r="99" spans="1:23" x14ac:dyDescent="0.3">
      <c r="A99" s="184"/>
      <c r="B99" s="214">
        <v>1</v>
      </c>
      <c r="C99" s="215">
        <v>45719</v>
      </c>
      <c r="D99" s="216" t="s">
        <v>16</v>
      </c>
      <c r="E99" s="256" t="s">
        <v>908</v>
      </c>
      <c r="F99" s="256">
        <v>205</v>
      </c>
      <c r="G99" s="256">
        <v>221</v>
      </c>
      <c r="H99" s="256">
        <f>221-205</f>
        <v>16</v>
      </c>
      <c r="I99" s="218">
        <v>100</v>
      </c>
      <c r="J99" s="273">
        <f>I99*H99</f>
        <v>1600</v>
      </c>
      <c r="K99" s="185"/>
      <c r="V99" s="183">
        <f>IF($J99&gt;0,1,0)</f>
        <v>1</v>
      </c>
      <c r="W99" s="183">
        <f>IF($J99&lt;0,1,0)</f>
        <v>0</v>
      </c>
    </row>
    <row r="100" spans="1:23" x14ac:dyDescent="0.3">
      <c r="A100" s="184"/>
      <c r="B100" s="194">
        <v>2</v>
      </c>
      <c r="C100" s="195">
        <v>45720</v>
      </c>
      <c r="D100" s="196" t="s">
        <v>16</v>
      </c>
      <c r="E100" s="222" t="s">
        <v>916</v>
      </c>
      <c r="F100" s="222">
        <v>180</v>
      </c>
      <c r="G100" s="222">
        <v>220</v>
      </c>
      <c r="H100" s="222">
        <f>220-180</f>
        <v>40</v>
      </c>
      <c r="I100" s="218">
        <v>100</v>
      </c>
      <c r="J100" s="268">
        <f t="shared" ref="J100:J119" si="10">I100*H100</f>
        <v>4000</v>
      </c>
      <c r="K100" s="185"/>
      <c r="V100" s="183">
        <f t="shared" ref="V100:V121" si="11">IF($J100&gt;0,1,0)</f>
        <v>1</v>
      </c>
      <c r="W100" s="183">
        <f t="shared" ref="W100:W121" si="12">IF($J100&lt;0,1,0)</f>
        <v>0</v>
      </c>
    </row>
    <row r="101" spans="1:23" x14ac:dyDescent="0.3">
      <c r="A101" s="184"/>
      <c r="B101" s="194">
        <v>3</v>
      </c>
      <c r="C101" s="195">
        <v>45721</v>
      </c>
      <c r="D101" s="196" t="s">
        <v>16</v>
      </c>
      <c r="E101" s="222" t="s">
        <v>916</v>
      </c>
      <c r="F101" s="222">
        <v>175</v>
      </c>
      <c r="G101" s="222">
        <v>215</v>
      </c>
      <c r="H101" s="222">
        <f>215-175</f>
        <v>40</v>
      </c>
      <c r="I101" s="218">
        <v>100</v>
      </c>
      <c r="J101" s="268">
        <f t="shared" si="10"/>
        <v>4000</v>
      </c>
      <c r="K101" s="185"/>
      <c r="M101" s="183" t="s">
        <v>870</v>
      </c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4</v>
      </c>
      <c r="C102" s="195">
        <v>45722</v>
      </c>
      <c r="D102" s="196" t="s">
        <v>16</v>
      </c>
      <c r="E102" s="222" t="s">
        <v>924</v>
      </c>
      <c r="F102" s="222">
        <v>180</v>
      </c>
      <c r="G102" s="222">
        <v>220</v>
      </c>
      <c r="H102" s="222">
        <f>220-180</f>
        <v>40</v>
      </c>
      <c r="I102" s="218">
        <v>100</v>
      </c>
      <c r="J102" s="268">
        <f t="shared" si="10"/>
        <v>4000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5</v>
      </c>
      <c r="C103" s="195">
        <v>45723</v>
      </c>
      <c r="D103" s="196" t="s">
        <v>16</v>
      </c>
      <c r="E103" s="222" t="s">
        <v>916</v>
      </c>
      <c r="F103" s="222">
        <v>210</v>
      </c>
      <c r="G103" s="222">
        <v>218</v>
      </c>
      <c r="H103" s="222">
        <v>8</v>
      </c>
      <c r="I103" s="218">
        <v>100</v>
      </c>
      <c r="J103" s="268">
        <f t="shared" si="10"/>
        <v>800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6</v>
      </c>
      <c r="C104" s="195">
        <v>45726</v>
      </c>
      <c r="D104" s="196" t="s">
        <v>16</v>
      </c>
      <c r="E104" s="222" t="s">
        <v>948</v>
      </c>
      <c r="F104" s="222">
        <v>150</v>
      </c>
      <c r="G104" s="222">
        <v>165</v>
      </c>
      <c r="H104" s="222">
        <v>15</v>
      </c>
      <c r="I104" s="218">
        <v>100</v>
      </c>
      <c r="J104" s="268">
        <f t="shared" si="10"/>
        <v>1500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7</v>
      </c>
      <c r="C105" s="195">
        <v>45727</v>
      </c>
      <c r="D105" s="196" t="s">
        <v>16</v>
      </c>
      <c r="E105" s="222" t="s">
        <v>916</v>
      </c>
      <c r="F105" s="222">
        <v>225</v>
      </c>
      <c r="G105" s="222">
        <v>205</v>
      </c>
      <c r="H105" s="274">
        <v>-20</v>
      </c>
      <c r="I105" s="218">
        <v>100</v>
      </c>
      <c r="J105" s="268">
        <f t="shared" si="10"/>
        <v>-2000</v>
      </c>
      <c r="K105" s="185"/>
      <c r="M105" s="183" t="s">
        <v>942</v>
      </c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8</v>
      </c>
      <c r="C106" s="195">
        <v>45728</v>
      </c>
      <c r="D106" s="196" t="s">
        <v>16</v>
      </c>
      <c r="E106" s="222" t="s">
        <v>916</v>
      </c>
      <c r="F106" s="222">
        <v>210</v>
      </c>
      <c r="G106" s="222">
        <v>190</v>
      </c>
      <c r="H106" s="222">
        <v>-20</v>
      </c>
      <c r="I106" s="218">
        <v>100</v>
      </c>
      <c r="J106" s="268">
        <f t="shared" si="10"/>
        <v>-2000</v>
      </c>
      <c r="K106" s="185"/>
      <c r="V106" s="183">
        <f t="shared" si="11"/>
        <v>0</v>
      </c>
      <c r="W106" s="183">
        <f t="shared" si="12"/>
        <v>1</v>
      </c>
    </row>
    <row r="107" spans="1:23" x14ac:dyDescent="0.3">
      <c r="A107" s="184"/>
      <c r="B107" s="194">
        <v>9</v>
      </c>
      <c r="C107" s="195">
        <v>45729</v>
      </c>
      <c r="D107" s="196" t="s">
        <v>16</v>
      </c>
      <c r="E107" s="222" t="s">
        <v>915</v>
      </c>
      <c r="F107" s="222">
        <v>210</v>
      </c>
      <c r="G107" s="222">
        <v>250</v>
      </c>
      <c r="H107" s="222">
        <v>40</v>
      </c>
      <c r="I107" s="218">
        <v>100</v>
      </c>
      <c r="J107" s="268">
        <f t="shared" si="10"/>
        <v>4000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10</v>
      </c>
      <c r="C108" s="195">
        <v>45733</v>
      </c>
      <c r="D108" s="196" t="s">
        <v>16</v>
      </c>
      <c r="E108" s="222" t="s">
        <v>1033</v>
      </c>
      <c r="F108" s="222">
        <v>135</v>
      </c>
      <c r="G108" s="222">
        <v>165</v>
      </c>
      <c r="H108" s="222">
        <v>30</v>
      </c>
      <c r="I108" s="218">
        <v>100</v>
      </c>
      <c r="J108" s="268">
        <f t="shared" si="10"/>
        <v>3000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11</v>
      </c>
      <c r="C109" s="195">
        <v>45734</v>
      </c>
      <c r="D109" s="196" t="s">
        <v>16</v>
      </c>
      <c r="E109" s="222" t="s">
        <v>924</v>
      </c>
      <c r="F109" s="222">
        <v>185</v>
      </c>
      <c r="G109" s="222">
        <v>225</v>
      </c>
      <c r="H109" s="274">
        <v>20</v>
      </c>
      <c r="I109" s="218">
        <v>100</v>
      </c>
      <c r="J109" s="268">
        <f t="shared" si="10"/>
        <v>2000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12</v>
      </c>
      <c r="C110" s="195">
        <v>45735</v>
      </c>
      <c r="D110" s="196" t="s">
        <v>16</v>
      </c>
      <c r="E110" s="222" t="s">
        <v>923</v>
      </c>
      <c r="F110" s="222">
        <v>220</v>
      </c>
      <c r="G110" s="222">
        <v>230</v>
      </c>
      <c r="H110" s="274">
        <v>10</v>
      </c>
      <c r="I110" s="218">
        <v>100</v>
      </c>
      <c r="J110" s="268">
        <f t="shared" si="10"/>
        <v>1000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13</v>
      </c>
      <c r="C111" s="195">
        <v>45736</v>
      </c>
      <c r="D111" s="196" t="s">
        <v>16</v>
      </c>
      <c r="E111" s="222" t="s">
        <v>923</v>
      </c>
      <c r="F111" s="222">
        <v>170</v>
      </c>
      <c r="G111" s="222">
        <v>200</v>
      </c>
      <c r="H111" s="274">
        <v>30</v>
      </c>
      <c r="I111" s="218">
        <v>100</v>
      </c>
      <c r="J111" s="268">
        <f t="shared" si="10"/>
        <v>3000</v>
      </c>
      <c r="K111" s="185"/>
      <c r="V111" s="183">
        <f t="shared" si="11"/>
        <v>1</v>
      </c>
      <c r="W111" s="183">
        <f t="shared" si="12"/>
        <v>0</v>
      </c>
    </row>
    <row r="112" spans="1:23" x14ac:dyDescent="0.3">
      <c r="A112" s="184"/>
      <c r="B112" s="194">
        <v>14</v>
      </c>
      <c r="C112" s="195">
        <v>45737</v>
      </c>
      <c r="D112" s="196" t="s">
        <v>16</v>
      </c>
      <c r="E112" s="222" t="s">
        <v>924</v>
      </c>
      <c r="F112" s="222">
        <v>195</v>
      </c>
      <c r="G112" s="222">
        <v>204.5</v>
      </c>
      <c r="H112" s="274">
        <f>204.5-195</f>
        <v>9.5</v>
      </c>
      <c r="I112" s="218">
        <v>100</v>
      </c>
      <c r="J112" s="268">
        <f t="shared" si="10"/>
        <v>950</v>
      </c>
      <c r="K112" s="185"/>
      <c r="V112" s="183">
        <f t="shared" si="11"/>
        <v>1</v>
      </c>
      <c r="W112" s="183">
        <f t="shared" si="12"/>
        <v>0</v>
      </c>
    </row>
    <row r="113" spans="1:23" x14ac:dyDescent="0.3">
      <c r="A113" s="184"/>
      <c r="B113" s="194">
        <v>15</v>
      </c>
      <c r="C113" s="195">
        <v>45740</v>
      </c>
      <c r="D113" s="196" t="s">
        <v>16</v>
      </c>
      <c r="E113" s="196" t="s">
        <v>1043</v>
      </c>
      <c r="F113" s="222">
        <v>170</v>
      </c>
      <c r="G113" s="222">
        <v>150</v>
      </c>
      <c r="H113" s="222">
        <v>-20</v>
      </c>
      <c r="I113" s="218">
        <v>100</v>
      </c>
      <c r="J113" s="268">
        <f t="shared" si="10"/>
        <v>-2000</v>
      </c>
      <c r="K113" s="185"/>
      <c r="V113" s="183">
        <f t="shared" si="11"/>
        <v>0</v>
      </c>
      <c r="W113" s="183">
        <f t="shared" si="12"/>
        <v>1</v>
      </c>
    </row>
    <row r="114" spans="1:23" x14ac:dyDescent="0.3">
      <c r="A114" s="184"/>
      <c r="B114" s="194">
        <v>16</v>
      </c>
      <c r="C114" s="195">
        <v>45741</v>
      </c>
      <c r="D114" s="196" t="s">
        <v>16</v>
      </c>
      <c r="E114" s="196" t="s">
        <v>916</v>
      </c>
      <c r="F114" s="222">
        <v>175</v>
      </c>
      <c r="G114" s="274">
        <v>195</v>
      </c>
      <c r="H114" s="274">
        <v>20</v>
      </c>
      <c r="I114" s="218">
        <v>100</v>
      </c>
      <c r="J114" s="268">
        <f t="shared" si="10"/>
        <v>2000</v>
      </c>
      <c r="K114" s="185"/>
      <c r="V114" s="183">
        <f t="shared" si="11"/>
        <v>1</v>
      </c>
      <c r="W114" s="183">
        <f t="shared" si="12"/>
        <v>0</v>
      </c>
    </row>
    <row r="115" spans="1:23" x14ac:dyDescent="0.3">
      <c r="A115" s="184"/>
      <c r="B115" s="194">
        <v>17</v>
      </c>
      <c r="C115" s="195">
        <v>45742</v>
      </c>
      <c r="D115" s="196" t="s">
        <v>16</v>
      </c>
      <c r="E115" s="196" t="s">
        <v>916</v>
      </c>
      <c r="F115" s="222">
        <v>175</v>
      </c>
      <c r="G115" s="222">
        <v>182</v>
      </c>
      <c r="H115" s="263">
        <f>182-175</f>
        <v>7</v>
      </c>
      <c r="I115" s="218">
        <v>100</v>
      </c>
      <c r="J115" s="268">
        <f t="shared" si="10"/>
        <v>700</v>
      </c>
      <c r="K115" s="185"/>
      <c r="V115" s="183">
        <f t="shared" si="11"/>
        <v>1</v>
      </c>
      <c r="W115" s="183">
        <f t="shared" si="12"/>
        <v>0</v>
      </c>
    </row>
    <row r="116" spans="1:23" x14ac:dyDescent="0.3">
      <c r="A116" s="184"/>
      <c r="B116" s="194">
        <v>18</v>
      </c>
      <c r="C116" s="195">
        <v>45743</v>
      </c>
      <c r="D116" s="196" t="s">
        <v>16</v>
      </c>
      <c r="E116" s="196" t="s">
        <v>916</v>
      </c>
      <c r="F116" s="222">
        <v>170</v>
      </c>
      <c r="G116" s="222">
        <v>179</v>
      </c>
      <c r="H116" s="274">
        <v>9</v>
      </c>
      <c r="I116" s="218">
        <v>100</v>
      </c>
      <c r="J116" s="268">
        <f t="shared" si="10"/>
        <v>900</v>
      </c>
      <c r="K116" s="185"/>
      <c r="V116" s="183">
        <f t="shared" si="11"/>
        <v>1</v>
      </c>
      <c r="W116" s="183">
        <f t="shared" si="12"/>
        <v>0</v>
      </c>
    </row>
    <row r="117" spans="1:23" ht="15" thickBot="1" x14ac:dyDescent="0.35">
      <c r="A117" s="184"/>
      <c r="B117" s="194">
        <v>19</v>
      </c>
      <c r="C117" s="195">
        <v>45744</v>
      </c>
      <c r="D117" s="196" t="s">
        <v>16</v>
      </c>
      <c r="E117" s="196" t="s">
        <v>916</v>
      </c>
      <c r="F117" s="222">
        <v>165</v>
      </c>
      <c r="G117" s="222">
        <v>145</v>
      </c>
      <c r="H117" s="274">
        <v>-20</v>
      </c>
      <c r="I117" s="218">
        <v>100</v>
      </c>
      <c r="J117" s="268">
        <f t="shared" si="10"/>
        <v>-2000</v>
      </c>
      <c r="K117" s="185"/>
      <c r="V117" s="183">
        <f t="shared" si="11"/>
        <v>0</v>
      </c>
      <c r="W117" s="183">
        <f t="shared" si="12"/>
        <v>1</v>
      </c>
    </row>
    <row r="118" spans="1:23" ht="15" hidden="1" thickBot="1" x14ac:dyDescent="0.35">
      <c r="A118" s="184"/>
      <c r="B118" s="194">
        <v>20</v>
      </c>
      <c r="C118" s="195"/>
      <c r="D118" s="196"/>
      <c r="E118" s="222"/>
      <c r="F118" s="222"/>
      <c r="G118" s="222"/>
      <c r="H118" s="274"/>
      <c r="I118" s="218"/>
      <c r="J118" s="268">
        <f t="shared" si="10"/>
        <v>0</v>
      </c>
      <c r="K118" s="185"/>
      <c r="V118" s="183">
        <f t="shared" si="11"/>
        <v>0</v>
      </c>
      <c r="W118" s="183">
        <f t="shared" si="12"/>
        <v>0</v>
      </c>
    </row>
    <row r="119" spans="1:23" ht="15" hidden="1" thickBot="1" x14ac:dyDescent="0.35">
      <c r="A119" s="184"/>
      <c r="B119" s="194">
        <v>21</v>
      </c>
      <c r="C119" s="195"/>
      <c r="D119" s="196"/>
      <c r="E119" s="222"/>
      <c r="F119" s="222"/>
      <c r="G119" s="222"/>
      <c r="H119" s="274"/>
      <c r="I119" s="218"/>
      <c r="J119" s="268">
        <f t="shared" si="10"/>
        <v>0</v>
      </c>
      <c r="K119" s="185"/>
      <c r="V119" s="183">
        <f t="shared" si="11"/>
        <v>0</v>
      </c>
      <c r="W119" s="183">
        <f t="shared" si="12"/>
        <v>0</v>
      </c>
    </row>
    <row r="120" spans="1:23" ht="15" hidden="1" thickBot="1" x14ac:dyDescent="0.35">
      <c r="A120" s="184"/>
      <c r="B120" s="194">
        <v>22</v>
      </c>
      <c r="C120" s="195"/>
      <c r="D120" s="196"/>
      <c r="E120" s="222"/>
      <c r="F120" s="222"/>
      <c r="G120" s="222"/>
      <c r="H120" s="222"/>
      <c r="I120" s="218"/>
      <c r="J120" s="268">
        <f>I120*H120</f>
        <v>0</v>
      </c>
      <c r="K120" s="185"/>
      <c r="V120" s="183">
        <f t="shared" si="11"/>
        <v>0</v>
      </c>
      <c r="W120" s="183">
        <f t="shared" si="12"/>
        <v>0</v>
      </c>
    </row>
    <row r="121" spans="1:23" ht="15" hidden="1" thickBot="1" x14ac:dyDescent="0.35">
      <c r="A121" s="184"/>
      <c r="B121" s="199">
        <v>23</v>
      </c>
      <c r="C121" s="200"/>
      <c r="D121" s="201"/>
      <c r="E121" s="201"/>
      <c r="F121" s="284"/>
      <c r="G121" s="284"/>
      <c r="H121" s="284"/>
      <c r="I121" s="285"/>
      <c r="J121" s="269">
        <f>I121*H121</f>
        <v>0</v>
      </c>
      <c r="K121" s="185"/>
      <c r="V121" s="183">
        <f t="shared" si="11"/>
        <v>0</v>
      </c>
      <c r="W121" s="183">
        <f t="shared" si="12"/>
        <v>0</v>
      </c>
    </row>
    <row r="122" spans="1:23" ht="24" thickBot="1" x14ac:dyDescent="0.5">
      <c r="A122" s="184"/>
      <c r="B122" s="304" t="s">
        <v>879</v>
      </c>
      <c r="C122" s="305"/>
      <c r="D122" s="305"/>
      <c r="E122" s="305"/>
      <c r="F122" s="305"/>
      <c r="G122" s="305"/>
      <c r="H122" s="306"/>
      <c r="I122" s="203" t="s">
        <v>880</v>
      </c>
      <c r="J122" s="204">
        <f>SUM(J99:J121)</f>
        <v>25450</v>
      </c>
      <c r="K122" s="185"/>
      <c r="V122" s="183">
        <f>SUM(V99:V121)</f>
        <v>15</v>
      </c>
      <c r="W122" s="183">
        <f>SUM(W99:W121)</f>
        <v>4</v>
      </c>
    </row>
    <row r="123" spans="1:23" ht="30" customHeight="1" thickBot="1" x14ac:dyDescent="0.35">
      <c r="A123" s="205"/>
      <c r="B123" s="286"/>
      <c r="C123" s="286"/>
      <c r="D123" s="286"/>
      <c r="E123" s="286"/>
      <c r="F123" s="286"/>
      <c r="G123" s="286"/>
      <c r="H123" s="287"/>
      <c r="I123" s="286"/>
      <c r="J123" s="287"/>
      <c r="K123" s="207"/>
    </row>
    <row r="124" spans="1:23" ht="15" thickBot="1" x14ac:dyDescent="0.35"/>
    <row r="125" spans="1:23" ht="15" thickBot="1" x14ac:dyDescent="0.35">
      <c r="A125" s="180"/>
      <c r="B125" s="181"/>
      <c r="C125" s="181"/>
      <c r="D125" s="181"/>
      <c r="E125" s="181"/>
      <c r="F125" s="181"/>
      <c r="G125" s="181"/>
      <c r="H125" s="259"/>
      <c r="I125" s="181"/>
      <c r="J125" s="259"/>
      <c r="K125" s="182"/>
    </row>
    <row r="126" spans="1:23" ht="25.2" thickBot="1" x14ac:dyDescent="0.35">
      <c r="A126" s="184" t="s">
        <v>0</v>
      </c>
      <c r="B126" s="307" t="s">
        <v>873</v>
      </c>
      <c r="C126" s="308"/>
      <c r="D126" s="308"/>
      <c r="E126" s="308"/>
      <c r="F126" s="308"/>
      <c r="G126" s="308"/>
      <c r="H126" s="308"/>
      <c r="I126" s="308"/>
      <c r="J126" s="309"/>
      <c r="K126" s="185"/>
    </row>
    <row r="127" spans="1:23" ht="16.2" thickBot="1" x14ac:dyDescent="0.35">
      <c r="A127" s="184"/>
      <c r="B127" s="310">
        <v>45717</v>
      </c>
      <c r="C127" s="311"/>
      <c r="D127" s="311"/>
      <c r="E127" s="311"/>
      <c r="F127" s="311"/>
      <c r="G127" s="311"/>
      <c r="H127" s="311"/>
      <c r="I127" s="311"/>
      <c r="J127" s="312"/>
      <c r="K127" s="185"/>
    </row>
    <row r="128" spans="1:23" ht="16.2" thickBot="1" x14ac:dyDescent="0.35">
      <c r="A128" s="184"/>
      <c r="B128" s="313" t="s">
        <v>995</v>
      </c>
      <c r="C128" s="314"/>
      <c r="D128" s="314"/>
      <c r="E128" s="314"/>
      <c r="F128" s="314"/>
      <c r="G128" s="314"/>
      <c r="H128" s="314"/>
      <c r="I128" s="314"/>
      <c r="J128" s="315"/>
      <c r="K128" s="185"/>
    </row>
    <row r="129" spans="1:23" ht="15" thickBot="1" x14ac:dyDescent="0.35">
      <c r="A129" s="208"/>
      <c r="B129" s="186" t="s">
        <v>876</v>
      </c>
      <c r="C129" s="187" t="s">
        <v>1</v>
      </c>
      <c r="D129" s="188" t="s">
        <v>2</v>
      </c>
      <c r="E129" s="188" t="s">
        <v>3</v>
      </c>
      <c r="F129" s="189" t="s">
        <v>4</v>
      </c>
      <c r="G129" s="189" t="s">
        <v>5</v>
      </c>
      <c r="H129" s="260" t="s">
        <v>720</v>
      </c>
      <c r="I129" s="189" t="s">
        <v>1017</v>
      </c>
      <c r="J129" s="266" t="s">
        <v>7</v>
      </c>
      <c r="K129" s="209"/>
    </row>
    <row r="130" spans="1:23" x14ac:dyDescent="0.3">
      <c r="A130" s="184"/>
      <c r="B130" s="214">
        <v>1</v>
      </c>
      <c r="C130" s="215">
        <v>45719</v>
      </c>
      <c r="D130" s="216" t="s">
        <v>16</v>
      </c>
      <c r="E130" s="256" t="s">
        <v>1034</v>
      </c>
      <c r="F130" s="256">
        <v>16</v>
      </c>
      <c r="G130" s="256">
        <v>13</v>
      </c>
      <c r="H130" s="256">
        <v>-3</v>
      </c>
      <c r="I130" s="218">
        <v>2500</v>
      </c>
      <c r="J130" s="273">
        <f>I130*H130</f>
        <v>-7500</v>
      </c>
      <c r="K130" s="185"/>
      <c r="V130" s="183">
        <f t="shared" ref="V130:V152" si="13">IF($J130&gt;0,1,0)</f>
        <v>0</v>
      </c>
      <c r="W130" s="183">
        <f t="shared" ref="W130:W152" si="14">IF($J130&lt;0,1,0)</f>
        <v>1</v>
      </c>
    </row>
    <row r="131" spans="1:23" x14ac:dyDescent="0.3">
      <c r="A131" s="184"/>
      <c r="B131" s="194">
        <v>2</v>
      </c>
      <c r="C131" s="195">
        <v>45720</v>
      </c>
      <c r="D131" s="196" t="s">
        <v>16</v>
      </c>
      <c r="E131" s="222" t="s">
        <v>1019</v>
      </c>
      <c r="F131" s="222">
        <v>16.5</v>
      </c>
      <c r="G131" s="222">
        <v>17.5</v>
      </c>
      <c r="H131" s="222">
        <v>1</v>
      </c>
      <c r="I131" s="218">
        <v>2500</v>
      </c>
      <c r="J131" s="268">
        <f t="shared" ref="J131:J150" si="15">I131*H131</f>
        <v>2500</v>
      </c>
      <c r="K131" s="185"/>
      <c r="V131" s="183">
        <f t="shared" si="13"/>
        <v>1</v>
      </c>
      <c r="W131" s="183">
        <f t="shared" si="14"/>
        <v>0</v>
      </c>
    </row>
    <row r="132" spans="1:23" x14ac:dyDescent="0.3">
      <c r="A132" s="184"/>
      <c r="B132" s="194">
        <v>3</v>
      </c>
      <c r="C132" s="195">
        <v>45721</v>
      </c>
      <c r="D132" s="196" t="s">
        <v>16</v>
      </c>
      <c r="E132" s="222" t="s">
        <v>1023</v>
      </c>
      <c r="F132" s="222">
        <v>20</v>
      </c>
      <c r="G132" s="222">
        <v>22.8</v>
      </c>
      <c r="H132" s="222">
        <v>2.8</v>
      </c>
      <c r="I132" s="218">
        <v>2500</v>
      </c>
      <c r="J132" s="268">
        <f t="shared" si="15"/>
        <v>7000</v>
      </c>
      <c r="K132" s="185"/>
      <c r="V132" s="183">
        <f t="shared" si="13"/>
        <v>1</v>
      </c>
      <c r="W132" s="183">
        <f t="shared" si="14"/>
        <v>0</v>
      </c>
    </row>
    <row r="133" spans="1:23" x14ac:dyDescent="0.3">
      <c r="A133" s="184"/>
      <c r="B133" s="194">
        <v>4</v>
      </c>
      <c r="C133" s="195">
        <v>45722</v>
      </c>
      <c r="D133" s="196" t="s">
        <v>16</v>
      </c>
      <c r="E133" s="222" t="s">
        <v>1035</v>
      </c>
      <c r="F133" s="222">
        <v>19</v>
      </c>
      <c r="G133" s="222">
        <v>23</v>
      </c>
      <c r="H133" s="222">
        <v>4</v>
      </c>
      <c r="I133" s="218">
        <v>2500</v>
      </c>
      <c r="J133" s="268">
        <f t="shared" si="15"/>
        <v>10000</v>
      </c>
      <c r="K133" s="185"/>
      <c r="V133" s="183">
        <f t="shared" si="13"/>
        <v>1</v>
      </c>
      <c r="W133" s="183">
        <f t="shared" si="14"/>
        <v>0</v>
      </c>
    </row>
    <row r="134" spans="1:23" x14ac:dyDescent="0.3">
      <c r="A134" s="184"/>
      <c r="B134" s="194">
        <v>5</v>
      </c>
      <c r="C134" s="195">
        <v>45723</v>
      </c>
      <c r="D134" s="196" t="s">
        <v>16</v>
      </c>
      <c r="E134" s="222" t="s">
        <v>1023</v>
      </c>
      <c r="F134" s="222">
        <v>20</v>
      </c>
      <c r="G134" s="222">
        <v>22.25</v>
      </c>
      <c r="H134" s="222">
        <v>2.25</v>
      </c>
      <c r="I134" s="218">
        <v>2500</v>
      </c>
      <c r="J134" s="268">
        <f t="shared" si="15"/>
        <v>5625</v>
      </c>
      <c r="K134" s="185"/>
      <c r="V134" s="183">
        <f t="shared" si="13"/>
        <v>1</v>
      </c>
      <c r="W134" s="183">
        <f t="shared" si="14"/>
        <v>0</v>
      </c>
    </row>
    <row r="135" spans="1:23" x14ac:dyDescent="0.3">
      <c r="A135" s="184"/>
      <c r="B135" s="194">
        <v>6</v>
      </c>
      <c r="C135" s="195">
        <v>45726</v>
      </c>
      <c r="D135" s="196" t="s">
        <v>16</v>
      </c>
      <c r="E135" s="222" t="s">
        <v>1036</v>
      </c>
      <c r="F135" s="222">
        <v>23.5</v>
      </c>
      <c r="G135" s="222">
        <v>24.4</v>
      </c>
      <c r="H135" s="222">
        <f>24.4-23.5</f>
        <v>0.89999999999999858</v>
      </c>
      <c r="I135" s="218">
        <v>2500</v>
      </c>
      <c r="J135" s="268">
        <f t="shared" si="15"/>
        <v>2249.9999999999964</v>
      </c>
      <c r="K135" s="185"/>
      <c r="V135" s="183">
        <f t="shared" si="13"/>
        <v>1</v>
      </c>
      <c r="W135" s="183">
        <f t="shared" si="14"/>
        <v>0</v>
      </c>
    </row>
    <row r="136" spans="1:23" x14ac:dyDescent="0.3">
      <c r="A136" s="184"/>
      <c r="B136" s="194">
        <v>7</v>
      </c>
      <c r="C136" s="195">
        <v>45727</v>
      </c>
      <c r="D136" s="196" t="s">
        <v>16</v>
      </c>
      <c r="E136" s="222" t="s">
        <v>1037</v>
      </c>
      <c r="F136" s="222">
        <v>20</v>
      </c>
      <c r="G136" s="222">
        <v>23</v>
      </c>
      <c r="H136" s="274">
        <v>3</v>
      </c>
      <c r="I136" s="218">
        <v>2500</v>
      </c>
      <c r="J136" s="268">
        <f t="shared" si="15"/>
        <v>7500</v>
      </c>
      <c r="K136" s="185"/>
      <c r="V136" s="183">
        <f t="shared" si="13"/>
        <v>1</v>
      </c>
      <c r="W136" s="183">
        <f t="shared" si="14"/>
        <v>0</v>
      </c>
    </row>
    <row r="137" spans="1:23" x14ac:dyDescent="0.3">
      <c r="A137" s="184"/>
      <c r="B137" s="194">
        <v>8</v>
      </c>
      <c r="C137" s="195">
        <v>45728</v>
      </c>
      <c r="D137" s="196" t="s">
        <v>16</v>
      </c>
      <c r="E137" s="222" t="s">
        <v>1024</v>
      </c>
      <c r="F137" s="222">
        <v>16</v>
      </c>
      <c r="G137" s="222">
        <v>20</v>
      </c>
      <c r="H137" s="222">
        <v>4</v>
      </c>
      <c r="I137" s="218">
        <v>2500</v>
      </c>
      <c r="J137" s="268">
        <f t="shared" si="15"/>
        <v>10000</v>
      </c>
      <c r="K137" s="185"/>
      <c r="V137" s="183">
        <f t="shared" si="13"/>
        <v>1</v>
      </c>
      <c r="W137" s="183">
        <f t="shared" si="14"/>
        <v>0</v>
      </c>
    </row>
    <row r="138" spans="1:23" x14ac:dyDescent="0.3">
      <c r="A138" s="184"/>
      <c r="B138" s="194">
        <v>9</v>
      </c>
      <c r="C138" s="195">
        <v>45729</v>
      </c>
      <c r="D138" s="196" t="s">
        <v>16</v>
      </c>
      <c r="E138" s="222" t="s">
        <v>1038</v>
      </c>
      <c r="F138" s="222">
        <v>15</v>
      </c>
      <c r="G138" s="222">
        <v>17.350000000000001</v>
      </c>
      <c r="H138" s="222">
        <v>2.35</v>
      </c>
      <c r="I138" s="218">
        <v>2500</v>
      </c>
      <c r="J138" s="268">
        <f t="shared" si="15"/>
        <v>5875</v>
      </c>
      <c r="K138" s="185"/>
      <c r="V138" s="183">
        <f t="shared" si="13"/>
        <v>1</v>
      </c>
      <c r="W138" s="183">
        <f t="shared" si="14"/>
        <v>0</v>
      </c>
    </row>
    <row r="139" spans="1:23" x14ac:dyDescent="0.3">
      <c r="A139" s="184"/>
      <c r="B139" s="194">
        <v>10</v>
      </c>
      <c r="C139" s="195">
        <v>45733</v>
      </c>
      <c r="D139" s="196" t="s">
        <v>16</v>
      </c>
      <c r="E139" s="222" t="s">
        <v>1039</v>
      </c>
      <c r="F139" s="222">
        <v>15</v>
      </c>
      <c r="G139" s="222">
        <v>17.75</v>
      </c>
      <c r="H139" s="222">
        <v>2.75</v>
      </c>
      <c r="I139" s="218">
        <v>2500</v>
      </c>
      <c r="J139" s="268">
        <f t="shared" si="15"/>
        <v>6875</v>
      </c>
      <c r="K139" s="185"/>
      <c r="V139" s="183">
        <f t="shared" si="13"/>
        <v>1</v>
      </c>
      <c r="W139" s="183">
        <f t="shared" si="14"/>
        <v>0</v>
      </c>
    </row>
    <row r="140" spans="1:23" x14ac:dyDescent="0.3">
      <c r="A140" s="184"/>
      <c r="B140" s="194">
        <v>11</v>
      </c>
      <c r="C140" s="195">
        <v>45734</v>
      </c>
      <c r="D140" s="196" t="s">
        <v>16</v>
      </c>
      <c r="E140" s="222" t="s">
        <v>1019</v>
      </c>
      <c r="F140" s="222">
        <v>14.5</v>
      </c>
      <c r="G140" s="222">
        <v>11.5</v>
      </c>
      <c r="H140" s="274">
        <v>-3</v>
      </c>
      <c r="I140" s="218">
        <v>2500</v>
      </c>
      <c r="J140" s="268">
        <f t="shared" si="15"/>
        <v>-7500</v>
      </c>
      <c r="K140" s="185"/>
      <c r="V140" s="183">
        <f t="shared" si="13"/>
        <v>0</v>
      </c>
      <c r="W140" s="183">
        <f t="shared" si="14"/>
        <v>1</v>
      </c>
    </row>
    <row r="141" spans="1:23" x14ac:dyDescent="0.3">
      <c r="A141" s="184"/>
      <c r="B141" s="194">
        <v>12</v>
      </c>
      <c r="C141" s="195">
        <v>45735</v>
      </c>
      <c r="D141" s="196" t="s">
        <v>16</v>
      </c>
      <c r="E141" s="222" t="s">
        <v>1038</v>
      </c>
      <c r="F141" s="222">
        <v>12</v>
      </c>
      <c r="G141" s="222">
        <v>15</v>
      </c>
      <c r="H141" s="274">
        <v>3</v>
      </c>
      <c r="I141" s="218">
        <v>2500</v>
      </c>
      <c r="J141" s="268">
        <f t="shared" si="15"/>
        <v>7500</v>
      </c>
      <c r="K141" s="185"/>
      <c r="V141" s="183">
        <f t="shared" si="13"/>
        <v>1</v>
      </c>
      <c r="W141" s="183">
        <f t="shared" si="14"/>
        <v>0</v>
      </c>
    </row>
    <row r="142" spans="1:23" x14ac:dyDescent="0.3">
      <c r="A142" s="184"/>
      <c r="B142" s="194">
        <v>13</v>
      </c>
      <c r="C142" s="195">
        <v>45736</v>
      </c>
      <c r="D142" s="196" t="s">
        <v>16</v>
      </c>
      <c r="E142" s="222" t="s">
        <v>1040</v>
      </c>
      <c r="F142" s="222">
        <v>12</v>
      </c>
      <c r="G142" s="222">
        <v>13</v>
      </c>
      <c r="H142" s="274">
        <v>1</v>
      </c>
      <c r="I142" s="218">
        <v>2500</v>
      </c>
      <c r="J142" s="268">
        <f t="shared" si="15"/>
        <v>2500</v>
      </c>
      <c r="K142" s="185"/>
      <c r="V142" s="183">
        <f t="shared" si="13"/>
        <v>1</v>
      </c>
      <c r="W142" s="183">
        <f t="shared" si="14"/>
        <v>0</v>
      </c>
    </row>
    <row r="143" spans="1:23" x14ac:dyDescent="0.3">
      <c r="A143" s="184"/>
      <c r="B143" s="194">
        <v>14</v>
      </c>
      <c r="C143" s="195">
        <v>45737</v>
      </c>
      <c r="D143" s="196" t="s">
        <v>16</v>
      </c>
      <c r="E143" s="222" t="s">
        <v>1041</v>
      </c>
      <c r="F143" s="222">
        <v>8.5</v>
      </c>
      <c r="G143" s="222">
        <v>10.8</v>
      </c>
      <c r="H143" s="274">
        <f>10.8-8.5</f>
        <v>2.3000000000000007</v>
      </c>
      <c r="I143" s="218">
        <v>2500</v>
      </c>
      <c r="J143" s="268">
        <f t="shared" si="15"/>
        <v>5750.0000000000018</v>
      </c>
      <c r="K143" s="185"/>
      <c r="V143" s="183">
        <f t="shared" si="13"/>
        <v>1</v>
      </c>
      <c r="W143" s="183">
        <f t="shared" si="14"/>
        <v>0</v>
      </c>
    </row>
    <row r="144" spans="1:23" x14ac:dyDescent="0.3">
      <c r="A144" s="184"/>
      <c r="B144" s="194">
        <v>15</v>
      </c>
      <c r="C144" s="195">
        <v>45740</v>
      </c>
      <c r="D144" s="196" t="s">
        <v>16</v>
      </c>
      <c r="E144" s="196" t="s">
        <v>1019</v>
      </c>
      <c r="F144" s="222">
        <v>12.5</v>
      </c>
      <c r="G144" s="222">
        <v>15.4</v>
      </c>
      <c r="H144" s="222">
        <f>15.4-12.5</f>
        <v>2.9000000000000004</v>
      </c>
      <c r="I144" s="218">
        <v>2500</v>
      </c>
      <c r="J144" s="268">
        <f t="shared" si="15"/>
        <v>7250.0000000000009</v>
      </c>
      <c r="K144" s="185"/>
      <c r="V144" s="183">
        <f t="shared" si="13"/>
        <v>1</v>
      </c>
      <c r="W144" s="183">
        <f t="shared" si="14"/>
        <v>0</v>
      </c>
    </row>
    <row r="145" spans="1:23" x14ac:dyDescent="0.3">
      <c r="A145" s="184"/>
      <c r="B145" s="194">
        <v>16</v>
      </c>
      <c r="C145" s="195">
        <v>45741</v>
      </c>
      <c r="D145" s="196" t="s">
        <v>16</v>
      </c>
      <c r="E145" s="196" t="s">
        <v>1041</v>
      </c>
      <c r="F145" s="222">
        <v>22.5</v>
      </c>
      <c r="G145" s="274">
        <v>23.5</v>
      </c>
      <c r="H145" s="274">
        <v>1</v>
      </c>
      <c r="I145" s="218">
        <v>2500</v>
      </c>
      <c r="J145" s="268">
        <f t="shared" si="15"/>
        <v>2500</v>
      </c>
      <c r="K145" s="185"/>
      <c r="V145" s="183">
        <f t="shared" si="13"/>
        <v>1</v>
      </c>
      <c r="W145" s="183">
        <f t="shared" si="14"/>
        <v>0</v>
      </c>
    </row>
    <row r="146" spans="1:23" x14ac:dyDescent="0.3">
      <c r="A146" s="184"/>
      <c r="B146" s="194">
        <v>17</v>
      </c>
      <c r="C146" s="195">
        <v>45742</v>
      </c>
      <c r="D146" s="196" t="s">
        <v>16</v>
      </c>
      <c r="E146" s="196" t="s">
        <v>1041</v>
      </c>
      <c r="F146" s="222">
        <v>23</v>
      </c>
      <c r="G146" s="222">
        <v>27</v>
      </c>
      <c r="H146" s="263">
        <v>4</v>
      </c>
      <c r="I146" s="218">
        <v>2500</v>
      </c>
      <c r="J146" s="268">
        <f t="shared" si="15"/>
        <v>10000</v>
      </c>
      <c r="K146" s="185"/>
      <c r="V146" s="183">
        <f t="shared" si="13"/>
        <v>1</v>
      </c>
      <c r="W146" s="183">
        <f t="shared" si="14"/>
        <v>0</v>
      </c>
    </row>
    <row r="147" spans="1:23" x14ac:dyDescent="0.3">
      <c r="A147" s="184"/>
      <c r="B147" s="194">
        <v>18</v>
      </c>
      <c r="C147" s="195">
        <v>45743</v>
      </c>
      <c r="D147" s="196" t="s">
        <v>16</v>
      </c>
      <c r="E147" s="196" t="s">
        <v>1042</v>
      </c>
      <c r="F147" s="222">
        <v>21</v>
      </c>
      <c r="G147" s="222">
        <v>22.5</v>
      </c>
      <c r="H147" s="274">
        <v>1.5</v>
      </c>
      <c r="I147" s="218">
        <v>2500</v>
      </c>
      <c r="J147" s="268">
        <f t="shared" si="15"/>
        <v>3750</v>
      </c>
      <c r="K147" s="185"/>
      <c r="V147" s="183">
        <f t="shared" si="13"/>
        <v>1</v>
      </c>
      <c r="W147" s="183">
        <f t="shared" si="14"/>
        <v>0</v>
      </c>
    </row>
    <row r="148" spans="1:23" ht="15" thickBot="1" x14ac:dyDescent="0.35">
      <c r="A148" s="184"/>
      <c r="B148" s="194">
        <v>19</v>
      </c>
      <c r="C148" s="195">
        <v>45744</v>
      </c>
      <c r="D148" s="196" t="s">
        <v>16</v>
      </c>
      <c r="E148" s="196" t="s">
        <v>1034</v>
      </c>
      <c r="F148" s="222">
        <v>18</v>
      </c>
      <c r="G148" s="222">
        <v>20</v>
      </c>
      <c r="H148" s="274">
        <v>2</v>
      </c>
      <c r="I148" s="218">
        <v>2500</v>
      </c>
      <c r="J148" s="268">
        <f t="shared" si="15"/>
        <v>5000</v>
      </c>
      <c r="K148" s="185"/>
      <c r="V148" s="183">
        <f t="shared" si="13"/>
        <v>1</v>
      </c>
      <c r="W148" s="183">
        <f t="shared" si="14"/>
        <v>0</v>
      </c>
    </row>
    <row r="149" spans="1:23" ht="15" hidden="1" thickBot="1" x14ac:dyDescent="0.35">
      <c r="A149" s="184"/>
      <c r="B149" s="194">
        <v>20</v>
      </c>
      <c r="C149" s="195"/>
      <c r="D149" s="196"/>
      <c r="E149" s="222"/>
      <c r="F149" s="222"/>
      <c r="G149" s="222"/>
      <c r="H149" s="274"/>
      <c r="I149" s="218"/>
      <c r="J149" s="268">
        <f t="shared" si="15"/>
        <v>0</v>
      </c>
      <c r="K149" s="185"/>
      <c r="V149" s="183">
        <f t="shared" si="13"/>
        <v>0</v>
      </c>
      <c r="W149" s="183">
        <f t="shared" si="14"/>
        <v>0</v>
      </c>
    </row>
    <row r="150" spans="1:23" ht="15" hidden="1" thickBot="1" x14ac:dyDescent="0.35">
      <c r="A150" s="184"/>
      <c r="B150" s="194">
        <v>21</v>
      </c>
      <c r="C150" s="195"/>
      <c r="D150" s="196"/>
      <c r="E150" s="222"/>
      <c r="F150" s="222"/>
      <c r="G150" s="222"/>
      <c r="H150" s="274"/>
      <c r="I150" s="218"/>
      <c r="J150" s="268">
        <f t="shared" si="15"/>
        <v>0</v>
      </c>
      <c r="K150" s="185"/>
      <c r="V150" s="183">
        <f t="shared" si="13"/>
        <v>0</v>
      </c>
      <c r="W150" s="183">
        <f t="shared" si="14"/>
        <v>0</v>
      </c>
    </row>
    <row r="151" spans="1:23" ht="15" hidden="1" thickBot="1" x14ac:dyDescent="0.35">
      <c r="A151" s="184"/>
      <c r="B151" s="194">
        <v>22</v>
      </c>
      <c r="C151" s="195"/>
      <c r="D151" s="196"/>
      <c r="E151" s="222"/>
      <c r="F151" s="222"/>
      <c r="G151" s="222"/>
      <c r="H151" s="222"/>
      <c r="I151" s="218"/>
      <c r="J151" s="268">
        <f>I151*H151</f>
        <v>0</v>
      </c>
      <c r="K151" s="185"/>
      <c r="V151" s="183">
        <f t="shared" si="13"/>
        <v>0</v>
      </c>
      <c r="W151" s="183">
        <f t="shared" si="14"/>
        <v>0</v>
      </c>
    </row>
    <row r="152" spans="1:23" ht="15" hidden="1" thickBot="1" x14ac:dyDescent="0.35">
      <c r="A152" s="184"/>
      <c r="B152" s="199">
        <v>23</v>
      </c>
      <c r="C152" s="200"/>
      <c r="D152" s="201"/>
      <c r="E152" s="201"/>
      <c r="F152" s="284"/>
      <c r="G152" s="284"/>
      <c r="H152" s="284"/>
      <c r="I152" s="285"/>
      <c r="J152" s="269">
        <f>I152*H152</f>
        <v>0</v>
      </c>
      <c r="K152" s="185"/>
      <c r="V152" s="183">
        <f t="shared" si="13"/>
        <v>0</v>
      </c>
      <c r="W152" s="183">
        <f t="shared" si="14"/>
        <v>0</v>
      </c>
    </row>
    <row r="153" spans="1:23" ht="24" thickBot="1" x14ac:dyDescent="0.5">
      <c r="A153" s="184"/>
      <c r="B153" s="304" t="s">
        <v>879</v>
      </c>
      <c r="C153" s="305"/>
      <c r="D153" s="305"/>
      <c r="E153" s="305"/>
      <c r="F153" s="305"/>
      <c r="G153" s="305"/>
      <c r="H153" s="306"/>
      <c r="I153" s="203" t="s">
        <v>880</v>
      </c>
      <c r="J153" s="204">
        <f>SUM(J130:J152)</f>
        <v>86875</v>
      </c>
      <c r="K153" s="185"/>
      <c r="V153" s="183">
        <f>SUM(V130:V152)</f>
        <v>17</v>
      </c>
      <c r="W153" s="183">
        <f>SUM(W130:W152)</f>
        <v>2</v>
      </c>
    </row>
    <row r="154" spans="1:23" ht="15" thickBot="1" x14ac:dyDescent="0.35">
      <c r="A154" s="205"/>
      <c r="B154" s="286"/>
      <c r="C154" s="286"/>
      <c r="D154" s="286"/>
      <c r="E154" s="286"/>
      <c r="F154" s="286"/>
      <c r="G154" s="286"/>
      <c r="H154" s="287"/>
      <c r="I154" s="286"/>
      <c r="J154" s="287"/>
      <c r="K154" s="207"/>
    </row>
    <row r="155" spans="1:23" ht="15" thickBot="1" x14ac:dyDescent="0.35"/>
    <row r="156" spans="1:23" ht="15" thickBot="1" x14ac:dyDescent="0.35">
      <c r="A156" s="180"/>
      <c r="B156" s="181"/>
      <c r="C156" s="181"/>
      <c r="D156" s="181"/>
      <c r="E156" s="181"/>
      <c r="F156" s="181"/>
      <c r="G156" s="181"/>
      <c r="H156" s="259"/>
      <c r="I156" s="181"/>
      <c r="J156" s="259"/>
      <c r="K156" s="182"/>
    </row>
    <row r="157" spans="1:23" ht="25.2" thickBot="1" x14ac:dyDescent="0.35">
      <c r="A157" s="184" t="s">
        <v>0</v>
      </c>
      <c r="B157" s="307" t="s">
        <v>873</v>
      </c>
      <c r="C157" s="308"/>
      <c r="D157" s="308"/>
      <c r="E157" s="308"/>
      <c r="F157" s="308"/>
      <c r="G157" s="308"/>
      <c r="H157" s="308"/>
      <c r="I157" s="308"/>
      <c r="J157" s="309"/>
      <c r="K157" s="185"/>
    </row>
    <row r="158" spans="1:23" ht="16.2" thickBot="1" x14ac:dyDescent="0.35">
      <c r="A158" s="184"/>
      <c r="B158" s="310">
        <v>45717</v>
      </c>
      <c r="C158" s="311"/>
      <c r="D158" s="311"/>
      <c r="E158" s="311"/>
      <c r="F158" s="311"/>
      <c r="G158" s="311"/>
      <c r="H158" s="311"/>
      <c r="I158" s="311"/>
      <c r="J158" s="312"/>
      <c r="K158" s="185"/>
    </row>
    <row r="159" spans="1:23" ht="16.2" thickBot="1" x14ac:dyDescent="0.35">
      <c r="A159" s="184"/>
      <c r="B159" s="313" t="s">
        <v>996</v>
      </c>
      <c r="C159" s="314"/>
      <c r="D159" s="314"/>
      <c r="E159" s="314"/>
      <c r="F159" s="314"/>
      <c r="G159" s="314"/>
      <c r="H159" s="314"/>
      <c r="I159" s="314"/>
      <c r="J159" s="315"/>
      <c r="K159" s="185"/>
    </row>
    <row r="160" spans="1:23" ht="15" thickBot="1" x14ac:dyDescent="0.35">
      <c r="A160" s="208"/>
      <c r="B160" s="186" t="s">
        <v>876</v>
      </c>
      <c r="C160" s="187" t="s">
        <v>1</v>
      </c>
      <c r="D160" s="188" t="s">
        <v>2</v>
      </c>
      <c r="E160" s="188" t="s">
        <v>3</v>
      </c>
      <c r="F160" s="189" t="s">
        <v>4</v>
      </c>
      <c r="G160" s="189" t="s">
        <v>5</v>
      </c>
      <c r="H160" s="260" t="s">
        <v>720</v>
      </c>
      <c r="I160" s="189" t="s">
        <v>1017</v>
      </c>
      <c r="J160" s="266" t="s">
        <v>7</v>
      </c>
      <c r="K160" s="209"/>
    </row>
    <row r="161" spans="1:23" x14ac:dyDescent="0.3">
      <c r="A161" s="184"/>
      <c r="B161" s="214">
        <v>1</v>
      </c>
      <c r="C161" s="215">
        <v>45719</v>
      </c>
      <c r="D161" s="216" t="s">
        <v>23</v>
      </c>
      <c r="E161" s="256" t="s">
        <v>28</v>
      </c>
      <c r="F161" s="256">
        <v>269</v>
      </c>
      <c r="G161" s="256">
        <v>268.45</v>
      </c>
      <c r="H161" s="256">
        <f>269-268.45</f>
        <v>0.55000000000001137</v>
      </c>
      <c r="I161" s="218">
        <v>5000</v>
      </c>
      <c r="J161" s="273">
        <f>I161*H161</f>
        <v>2750.0000000000568</v>
      </c>
      <c r="K161" s="185"/>
      <c r="V161" s="183">
        <f t="shared" ref="V161:V183" si="16">IF($J161&gt;0,1,0)</f>
        <v>1</v>
      </c>
      <c r="W161" s="183">
        <f t="shared" ref="W161:W183" si="17">IF($J161&lt;0,1,0)</f>
        <v>0</v>
      </c>
    </row>
    <row r="162" spans="1:23" x14ac:dyDescent="0.3">
      <c r="A162" s="184"/>
      <c r="B162" s="194">
        <v>2</v>
      </c>
      <c r="C162" s="195">
        <v>45720</v>
      </c>
      <c r="D162" s="196" t="s">
        <v>23</v>
      </c>
      <c r="E162" s="222" t="s">
        <v>28</v>
      </c>
      <c r="F162" s="222">
        <v>268.39999999999998</v>
      </c>
      <c r="G162" s="222">
        <v>267.89999999999998</v>
      </c>
      <c r="H162" s="222">
        <f>268.4-267.9</f>
        <v>0.5</v>
      </c>
      <c r="I162" s="218">
        <v>5000</v>
      </c>
      <c r="J162" s="268">
        <f t="shared" ref="J162:J181" si="18">I162*H162</f>
        <v>2500</v>
      </c>
      <c r="K162" s="185"/>
      <c r="V162" s="183">
        <f t="shared" si="16"/>
        <v>1</v>
      </c>
      <c r="W162" s="183">
        <f t="shared" si="17"/>
        <v>0</v>
      </c>
    </row>
    <row r="163" spans="1:23" x14ac:dyDescent="0.3">
      <c r="A163" s="184"/>
      <c r="B163" s="194">
        <v>3</v>
      </c>
      <c r="C163" s="195">
        <v>45721</v>
      </c>
      <c r="D163" s="196" t="s">
        <v>16</v>
      </c>
      <c r="E163" s="222" t="s">
        <v>28</v>
      </c>
      <c r="F163" s="222">
        <v>269.8</v>
      </c>
      <c r="G163" s="222">
        <v>271.8</v>
      </c>
      <c r="H163" s="222">
        <v>2</v>
      </c>
      <c r="I163" s="218">
        <v>5000</v>
      </c>
      <c r="J163" s="268">
        <f t="shared" si="18"/>
        <v>10000</v>
      </c>
      <c r="K163" s="185"/>
      <c r="V163" s="183">
        <f t="shared" si="16"/>
        <v>1</v>
      </c>
      <c r="W163" s="183">
        <f t="shared" si="17"/>
        <v>0</v>
      </c>
    </row>
    <row r="164" spans="1:23" x14ac:dyDescent="0.3">
      <c r="A164" s="184"/>
      <c r="B164" s="194">
        <v>4</v>
      </c>
      <c r="C164" s="195">
        <v>45722</v>
      </c>
      <c r="D164" s="196" t="s">
        <v>16</v>
      </c>
      <c r="E164" s="222" t="s">
        <v>28</v>
      </c>
      <c r="F164" s="222">
        <v>274</v>
      </c>
      <c r="G164" s="222">
        <v>276</v>
      </c>
      <c r="H164" s="222">
        <v>2</v>
      </c>
      <c r="I164" s="218">
        <v>5000</v>
      </c>
      <c r="J164" s="268">
        <f t="shared" si="18"/>
        <v>10000</v>
      </c>
      <c r="K164" s="185"/>
      <c r="V164" s="183">
        <f t="shared" si="16"/>
        <v>1</v>
      </c>
      <c r="W164" s="183">
        <f t="shared" si="17"/>
        <v>0</v>
      </c>
    </row>
    <row r="165" spans="1:23" x14ac:dyDescent="0.3">
      <c r="A165" s="184"/>
      <c r="B165" s="194">
        <v>5</v>
      </c>
      <c r="C165" s="195">
        <v>45723</v>
      </c>
      <c r="D165" s="196" t="s">
        <v>23</v>
      </c>
      <c r="E165" s="222" t="s">
        <v>28</v>
      </c>
      <c r="F165" s="222">
        <v>273.8</v>
      </c>
      <c r="G165" s="222">
        <v>274.8</v>
      </c>
      <c r="H165" s="222">
        <v>-1</v>
      </c>
      <c r="I165" s="218">
        <v>5000</v>
      </c>
      <c r="J165" s="268">
        <f t="shared" si="18"/>
        <v>-5000</v>
      </c>
      <c r="K165" s="185"/>
      <c r="V165" s="183">
        <f t="shared" si="16"/>
        <v>0</v>
      </c>
      <c r="W165" s="183">
        <f t="shared" si="17"/>
        <v>1</v>
      </c>
    </row>
    <row r="166" spans="1:23" x14ac:dyDescent="0.3">
      <c r="A166" s="184"/>
      <c r="B166" s="194">
        <v>6</v>
      </c>
      <c r="C166" s="195">
        <v>45726</v>
      </c>
      <c r="D166" s="196" t="s">
        <v>23</v>
      </c>
      <c r="E166" s="222" t="s">
        <v>28</v>
      </c>
      <c r="F166" s="222">
        <v>272.5</v>
      </c>
      <c r="G166" s="222">
        <v>271.75</v>
      </c>
      <c r="H166" s="222">
        <f>272.5-271.5</f>
        <v>1</v>
      </c>
      <c r="I166" s="218">
        <v>5000</v>
      </c>
      <c r="J166" s="268">
        <f t="shared" si="18"/>
        <v>5000</v>
      </c>
      <c r="K166" s="185"/>
      <c r="V166" s="183">
        <f t="shared" si="16"/>
        <v>1</v>
      </c>
      <c r="W166" s="183">
        <f t="shared" si="17"/>
        <v>0</v>
      </c>
    </row>
    <row r="167" spans="1:23" x14ac:dyDescent="0.3">
      <c r="A167" s="184"/>
      <c r="B167" s="194">
        <v>7</v>
      </c>
      <c r="C167" s="195">
        <v>45727</v>
      </c>
      <c r="D167" s="196" t="s">
        <v>23</v>
      </c>
      <c r="E167" s="222" t="s">
        <v>28</v>
      </c>
      <c r="F167" s="222">
        <v>273</v>
      </c>
      <c r="G167" s="222">
        <v>274</v>
      </c>
      <c r="H167" s="274">
        <v>-1</v>
      </c>
      <c r="I167" s="218">
        <v>5000</v>
      </c>
      <c r="J167" s="268">
        <f t="shared" si="18"/>
        <v>-5000</v>
      </c>
      <c r="K167" s="185"/>
      <c r="V167" s="183">
        <f t="shared" si="16"/>
        <v>0</v>
      </c>
      <c r="W167" s="183">
        <f t="shared" si="17"/>
        <v>1</v>
      </c>
    </row>
    <row r="168" spans="1:23" x14ac:dyDescent="0.3">
      <c r="A168" s="184"/>
      <c r="B168" s="194">
        <v>8</v>
      </c>
      <c r="C168" s="195">
        <v>45728</v>
      </c>
      <c r="D168" s="196" t="s">
        <v>23</v>
      </c>
      <c r="E168" s="222" t="s">
        <v>28</v>
      </c>
      <c r="F168" s="222">
        <v>278.5</v>
      </c>
      <c r="G168" s="222">
        <v>278.10000000000002</v>
      </c>
      <c r="H168" s="222">
        <f>278.5-278.1</f>
        <v>0.39999999999997726</v>
      </c>
      <c r="I168" s="218">
        <v>5000</v>
      </c>
      <c r="J168" s="268">
        <f t="shared" si="18"/>
        <v>1999.9999999998863</v>
      </c>
      <c r="K168" s="185"/>
      <c r="V168" s="183">
        <f t="shared" si="16"/>
        <v>1</v>
      </c>
      <c r="W168" s="183">
        <f t="shared" si="17"/>
        <v>0</v>
      </c>
    </row>
    <row r="169" spans="1:23" x14ac:dyDescent="0.3">
      <c r="A169" s="184"/>
      <c r="B169" s="194">
        <v>9</v>
      </c>
      <c r="C169" s="195">
        <v>45729</v>
      </c>
      <c r="D169" s="196" t="s">
        <v>23</v>
      </c>
      <c r="E169" s="222" t="s">
        <v>28</v>
      </c>
      <c r="F169" s="222">
        <v>277.39999999999998</v>
      </c>
      <c r="G169" s="222">
        <v>275.39999999999998</v>
      </c>
      <c r="H169" s="222">
        <v>2</v>
      </c>
      <c r="I169" s="218">
        <v>5000</v>
      </c>
      <c r="J169" s="268">
        <f t="shared" si="18"/>
        <v>10000</v>
      </c>
      <c r="K169" s="185"/>
      <c r="V169" s="183">
        <f t="shared" si="16"/>
        <v>1</v>
      </c>
      <c r="W169" s="183">
        <f t="shared" si="17"/>
        <v>0</v>
      </c>
    </row>
    <row r="170" spans="1:23" x14ac:dyDescent="0.3">
      <c r="A170" s="184"/>
      <c r="B170" s="194">
        <v>10</v>
      </c>
      <c r="C170" s="195">
        <v>45733</v>
      </c>
      <c r="D170" s="196" t="s">
        <v>16</v>
      </c>
      <c r="E170" s="222" t="s">
        <v>28</v>
      </c>
      <c r="F170" s="222">
        <v>280.25</v>
      </c>
      <c r="G170" s="222">
        <v>281.25</v>
      </c>
      <c r="H170" s="222">
        <v>1</v>
      </c>
      <c r="I170" s="218">
        <v>5000</v>
      </c>
      <c r="J170" s="268">
        <f t="shared" si="18"/>
        <v>5000</v>
      </c>
      <c r="K170" s="185"/>
      <c r="V170" s="183">
        <f t="shared" si="16"/>
        <v>1</v>
      </c>
      <c r="W170" s="183">
        <f t="shared" si="17"/>
        <v>0</v>
      </c>
    </row>
    <row r="171" spans="1:23" x14ac:dyDescent="0.3">
      <c r="A171" s="184"/>
      <c r="B171" s="194">
        <v>11</v>
      </c>
      <c r="C171" s="195">
        <v>45734</v>
      </c>
      <c r="D171" s="196" t="s">
        <v>23</v>
      </c>
      <c r="E171" s="222" t="s">
        <v>28</v>
      </c>
      <c r="F171" s="222">
        <v>275.8</v>
      </c>
      <c r="G171" s="222">
        <v>275.3</v>
      </c>
      <c r="H171" s="274">
        <f>275.8-275.3</f>
        <v>0.5</v>
      </c>
      <c r="I171" s="218">
        <v>5000</v>
      </c>
      <c r="J171" s="268">
        <f t="shared" si="18"/>
        <v>2500</v>
      </c>
      <c r="K171" s="185"/>
      <c r="V171" s="183">
        <f t="shared" si="16"/>
        <v>1</v>
      </c>
      <c r="W171" s="183">
        <f t="shared" si="17"/>
        <v>0</v>
      </c>
    </row>
    <row r="172" spans="1:23" x14ac:dyDescent="0.3">
      <c r="A172" s="184"/>
      <c r="B172" s="194">
        <v>12</v>
      </c>
      <c r="C172" s="195">
        <v>45735</v>
      </c>
      <c r="D172" s="196" t="s">
        <v>23</v>
      </c>
      <c r="E172" s="222" t="s">
        <v>28</v>
      </c>
      <c r="F172" s="222">
        <v>278.39999999999998</v>
      </c>
      <c r="G172" s="222">
        <v>277</v>
      </c>
      <c r="H172" s="274">
        <f>278.4-277</f>
        <v>1.3999999999999773</v>
      </c>
      <c r="I172" s="218">
        <v>5000</v>
      </c>
      <c r="J172" s="268">
        <f t="shared" si="18"/>
        <v>6999.9999999998863</v>
      </c>
      <c r="K172" s="185"/>
      <c r="V172" s="183">
        <f t="shared" si="16"/>
        <v>1</v>
      </c>
      <c r="W172" s="183">
        <f t="shared" si="17"/>
        <v>0</v>
      </c>
    </row>
    <row r="173" spans="1:23" x14ac:dyDescent="0.3">
      <c r="A173" s="184"/>
      <c r="B173" s="194">
        <v>13</v>
      </c>
      <c r="C173" s="195">
        <v>45736</v>
      </c>
      <c r="D173" s="196" t="s">
        <v>23</v>
      </c>
      <c r="E173" s="222" t="s">
        <v>28</v>
      </c>
      <c r="F173" s="222">
        <v>275.8</v>
      </c>
      <c r="G173" s="222">
        <v>276.8</v>
      </c>
      <c r="H173" s="274">
        <v>-1</v>
      </c>
      <c r="I173" s="218">
        <v>5000</v>
      </c>
      <c r="J173" s="268">
        <f t="shared" si="18"/>
        <v>-5000</v>
      </c>
      <c r="K173" s="185"/>
      <c r="V173" s="183">
        <f t="shared" si="16"/>
        <v>0</v>
      </c>
      <c r="W173" s="183">
        <f t="shared" si="17"/>
        <v>1</v>
      </c>
    </row>
    <row r="174" spans="1:23" x14ac:dyDescent="0.3">
      <c r="A174" s="184"/>
      <c r="B174" s="194">
        <v>14</v>
      </c>
      <c r="C174" s="195">
        <v>45737</v>
      </c>
      <c r="D174" s="196" t="s">
        <v>23</v>
      </c>
      <c r="E174" s="222" t="s">
        <v>28</v>
      </c>
      <c r="F174" s="222">
        <v>273.60000000000002</v>
      </c>
      <c r="G174" s="222">
        <v>273.14999999999998</v>
      </c>
      <c r="H174" s="274">
        <f>273.6-273.15</f>
        <v>0.45000000000004547</v>
      </c>
      <c r="I174" s="218">
        <v>5000</v>
      </c>
      <c r="J174" s="268">
        <f t="shared" si="18"/>
        <v>2250.0000000002274</v>
      </c>
      <c r="K174" s="185"/>
      <c r="V174" s="183">
        <f t="shared" si="16"/>
        <v>1</v>
      </c>
      <c r="W174" s="183">
        <f t="shared" si="17"/>
        <v>0</v>
      </c>
    </row>
    <row r="175" spans="1:23" x14ac:dyDescent="0.3">
      <c r="A175" s="184"/>
      <c r="B175" s="194">
        <v>15</v>
      </c>
      <c r="C175" s="195">
        <v>45740</v>
      </c>
      <c r="D175" s="196" t="s">
        <v>16</v>
      </c>
      <c r="E175" s="196" t="s">
        <v>28</v>
      </c>
      <c r="F175" s="222">
        <v>277</v>
      </c>
      <c r="G175" s="222">
        <v>277.8</v>
      </c>
      <c r="H175" s="222">
        <v>0.8</v>
      </c>
      <c r="I175" s="218">
        <v>5000</v>
      </c>
      <c r="J175" s="268">
        <f t="shared" si="18"/>
        <v>4000</v>
      </c>
      <c r="K175" s="185"/>
      <c r="V175" s="183">
        <f t="shared" si="16"/>
        <v>1</v>
      </c>
      <c r="W175" s="183">
        <f t="shared" si="17"/>
        <v>0</v>
      </c>
    </row>
    <row r="176" spans="1:23" x14ac:dyDescent="0.3">
      <c r="A176" s="184"/>
      <c r="B176" s="194">
        <v>16</v>
      </c>
      <c r="C176" s="195">
        <v>45741</v>
      </c>
      <c r="D176" s="196" t="s">
        <v>23</v>
      </c>
      <c r="E176" s="196" t="s">
        <v>28</v>
      </c>
      <c r="F176" s="222">
        <v>277</v>
      </c>
      <c r="G176" s="274">
        <v>276.3</v>
      </c>
      <c r="H176" s="274">
        <v>1.3</v>
      </c>
      <c r="I176" s="218">
        <v>5000</v>
      </c>
      <c r="J176" s="268">
        <f t="shared" si="18"/>
        <v>6500</v>
      </c>
      <c r="K176" s="185"/>
      <c r="V176" s="183">
        <f t="shared" si="16"/>
        <v>1</v>
      </c>
      <c r="W176" s="183">
        <f t="shared" si="17"/>
        <v>0</v>
      </c>
    </row>
    <row r="177" spans="1:23" x14ac:dyDescent="0.3">
      <c r="A177" s="184"/>
      <c r="B177" s="194">
        <v>17</v>
      </c>
      <c r="C177" s="195">
        <v>45742</v>
      </c>
      <c r="D177" s="196" t="s">
        <v>23</v>
      </c>
      <c r="E177" s="196" t="s">
        <v>28</v>
      </c>
      <c r="F177" s="222">
        <v>277.8</v>
      </c>
      <c r="G177" s="222">
        <v>276.8</v>
      </c>
      <c r="H177" s="274">
        <v>1</v>
      </c>
      <c r="I177" s="218">
        <v>5000</v>
      </c>
      <c r="J177" s="268">
        <f t="shared" si="18"/>
        <v>5000</v>
      </c>
      <c r="K177" s="185"/>
      <c r="V177" s="183">
        <f t="shared" si="16"/>
        <v>1</v>
      </c>
      <c r="W177" s="183">
        <f t="shared" si="17"/>
        <v>0</v>
      </c>
    </row>
    <row r="178" spans="1:23" x14ac:dyDescent="0.3">
      <c r="A178" s="184"/>
      <c r="B178" s="194">
        <v>18</v>
      </c>
      <c r="C178" s="195">
        <v>45743</v>
      </c>
      <c r="D178" s="196" t="s">
        <v>23</v>
      </c>
      <c r="E178" s="196" t="s">
        <v>28</v>
      </c>
      <c r="F178" s="222">
        <v>276.5</v>
      </c>
      <c r="G178" s="222">
        <v>274.5</v>
      </c>
      <c r="H178" s="274">
        <v>2</v>
      </c>
      <c r="I178" s="218">
        <v>5000</v>
      </c>
      <c r="J178" s="268">
        <f t="shared" si="18"/>
        <v>10000</v>
      </c>
      <c r="K178" s="185"/>
      <c r="V178" s="183">
        <f t="shared" si="16"/>
        <v>1</v>
      </c>
      <c r="W178" s="183">
        <f t="shared" si="17"/>
        <v>0</v>
      </c>
    </row>
    <row r="179" spans="1:23" ht="15" thickBot="1" x14ac:dyDescent="0.35">
      <c r="A179" s="184"/>
      <c r="B179" s="194">
        <v>19</v>
      </c>
      <c r="C179" s="195">
        <v>45744</v>
      </c>
      <c r="D179" s="196" t="s">
        <v>23</v>
      </c>
      <c r="E179" s="196" t="s">
        <v>28</v>
      </c>
      <c r="F179" s="222">
        <v>271.2</v>
      </c>
      <c r="G179" s="222">
        <v>269.85000000000002</v>
      </c>
      <c r="H179" s="274">
        <f>271.2-269.85</f>
        <v>1.3499999999999659</v>
      </c>
      <c r="I179" s="218">
        <v>5000</v>
      </c>
      <c r="J179" s="268">
        <f t="shared" si="18"/>
        <v>6749.999999999829</v>
      </c>
      <c r="K179" s="185"/>
      <c r="V179" s="183">
        <f t="shared" si="16"/>
        <v>1</v>
      </c>
      <c r="W179" s="183">
        <f t="shared" si="17"/>
        <v>0</v>
      </c>
    </row>
    <row r="180" spans="1:23" ht="15" hidden="1" thickBot="1" x14ac:dyDescent="0.35">
      <c r="A180" s="184"/>
      <c r="B180" s="194">
        <v>20</v>
      </c>
      <c r="C180" s="195"/>
      <c r="D180" s="196"/>
      <c r="E180" s="222"/>
      <c r="F180" s="222"/>
      <c r="G180" s="222"/>
      <c r="H180" s="274"/>
      <c r="I180" s="218"/>
      <c r="J180" s="268">
        <f t="shared" si="18"/>
        <v>0</v>
      </c>
      <c r="K180" s="185"/>
      <c r="V180" s="183">
        <f t="shared" si="16"/>
        <v>0</v>
      </c>
      <c r="W180" s="183">
        <f t="shared" si="17"/>
        <v>0</v>
      </c>
    </row>
    <row r="181" spans="1:23" ht="15" hidden="1" thickBot="1" x14ac:dyDescent="0.35">
      <c r="A181" s="184"/>
      <c r="B181" s="194">
        <v>21</v>
      </c>
      <c r="C181" s="195"/>
      <c r="D181" s="196"/>
      <c r="E181" s="222"/>
      <c r="F181" s="222"/>
      <c r="G181" s="222"/>
      <c r="H181" s="274"/>
      <c r="I181" s="218"/>
      <c r="J181" s="268">
        <f t="shared" si="18"/>
        <v>0</v>
      </c>
      <c r="K181" s="185"/>
      <c r="V181" s="183">
        <f t="shared" si="16"/>
        <v>0</v>
      </c>
      <c r="W181" s="183">
        <f t="shared" si="17"/>
        <v>0</v>
      </c>
    </row>
    <row r="182" spans="1:23" ht="15" hidden="1" thickBot="1" x14ac:dyDescent="0.35">
      <c r="A182" s="184"/>
      <c r="B182" s="194">
        <v>22</v>
      </c>
      <c r="C182" s="195"/>
      <c r="D182" s="196"/>
      <c r="E182" s="222"/>
      <c r="F182" s="222"/>
      <c r="G182" s="222"/>
      <c r="H182" s="222"/>
      <c r="I182" s="218"/>
      <c r="J182" s="268">
        <f>I182*H182</f>
        <v>0</v>
      </c>
      <c r="K182" s="185"/>
      <c r="V182" s="183">
        <f t="shared" si="16"/>
        <v>0</v>
      </c>
      <c r="W182" s="183">
        <f t="shared" si="17"/>
        <v>0</v>
      </c>
    </row>
    <row r="183" spans="1:23" ht="15" hidden="1" thickBot="1" x14ac:dyDescent="0.35">
      <c r="A183" s="184"/>
      <c r="B183" s="199">
        <v>23</v>
      </c>
      <c r="C183" s="200"/>
      <c r="D183" s="201"/>
      <c r="E183" s="201"/>
      <c r="F183" s="284"/>
      <c r="G183" s="284"/>
      <c r="H183" s="284"/>
      <c r="I183" s="285"/>
      <c r="J183" s="269">
        <f>I183*H183</f>
        <v>0</v>
      </c>
      <c r="K183" s="185"/>
      <c r="V183" s="183">
        <f t="shared" si="16"/>
        <v>0</v>
      </c>
      <c r="W183" s="183">
        <f t="shared" si="17"/>
        <v>0</v>
      </c>
    </row>
    <row r="184" spans="1:23" ht="24" thickBot="1" x14ac:dyDescent="0.5">
      <c r="A184" s="184"/>
      <c r="B184" s="304" t="s">
        <v>879</v>
      </c>
      <c r="C184" s="305"/>
      <c r="D184" s="305"/>
      <c r="E184" s="305"/>
      <c r="F184" s="305"/>
      <c r="G184" s="305"/>
      <c r="H184" s="306"/>
      <c r="I184" s="203" t="s">
        <v>880</v>
      </c>
      <c r="J184" s="204">
        <f>SUM(J161:J183)</f>
        <v>76249.999999999884</v>
      </c>
      <c r="K184" s="185"/>
      <c r="V184" s="183">
        <f>SUM(V161:V183)</f>
        <v>16</v>
      </c>
      <c r="W184" s="183">
        <f>SUM(W161:W183)</f>
        <v>3</v>
      </c>
    </row>
    <row r="185" spans="1:23" ht="15" thickBot="1" x14ac:dyDescent="0.35">
      <c r="A185" s="205"/>
      <c r="B185" s="286"/>
      <c r="C185" s="286"/>
      <c r="D185" s="286"/>
      <c r="E185" s="286"/>
      <c r="F185" s="286"/>
      <c r="G185" s="286"/>
      <c r="H185" s="287"/>
      <c r="I185" s="286"/>
      <c r="J185" s="287"/>
      <c r="K185" s="207"/>
    </row>
  </sheetData>
  <mergeCells count="7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N14:N15"/>
    <mergeCell ref="O14:O15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12:R13"/>
    <mergeCell ref="M10:M11"/>
    <mergeCell ref="N10:N11"/>
    <mergeCell ref="O10:O11"/>
    <mergeCell ref="P10:P11"/>
    <mergeCell ref="Q10:Q11"/>
    <mergeCell ref="R10:R11"/>
    <mergeCell ref="M12:M13"/>
    <mergeCell ref="N12:N13"/>
    <mergeCell ref="O12:O13"/>
    <mergeCell ref="P12:P13"/>
    <mergeCell ref="Q12:Q13"/>
    <mergeCell ref="P14:P15"/>
    <mergeCell ref="Q14:Q15"/>
    <mergeCell ref="B35:J35"/>
    <mergeCell ref="M16:M17"/>
    <mergeCell ref="N16:N17"/>
    <mergeCell ref="O16:O17"/>
    <mergeCell ref="P16:P17"/>
    <mergeCell ref="M18:O20"/>
    <mergeCell ref="P18:R20"/>
    <mergeCell ref="B29:H29"/>
    <mergeCell ref="B33:J33"/>
    <mergeCell ref="B34:J34"/>
    <mergeCell ref="Q16:Q17"/>
    <mergeCell ref="R16:R17"/>
    <mergeCell ref="R14:R15"/>
    <mergeCell ref="M14:M15"/>
    <mergeCell ref="B128:J128"/>
    <mergeCell ref="B60:H60"/>
    <mergeCell ref="B64:J64"/>
    <mergeCell ref="B65:J65"/>
    <mergeCell ref="B66:J66"/>
    <mergeCell ref="B91:H91"/>
    <mergeCell ref="B95:J95"/>
    <mergeCell ref="B96:J96"/>
    <mergeCell ref="B97:J97"/>
    <mergeCell ref="B122:H122"/>
    <mergeCell ref="B126:J126"/>
    <mergeCell ref="B127:J127"/>
    <mergeCell ref="B153:H153"/>
    <mergeCell ref="B157:J157"/>
    <mergeCell ref="B158:J158"/>
    <mergeCell ref="B159:J159"/>
    <mergeCell ref="B184:H184"/>
  </mergeCells>
  <hyperlinks>
    <hyperlink ref="B29" r:id="rId1" xr:uid="{66B72650-FD79-42D4-940E-7005712AA624}"/>
    <hyperlink ref="B60" r:id="rId2" xr:uid="{2425781B-A357-488C-A12B-8747988B719D}"/>
    <hyperlink ref="M4:M5" location="'FEB 2025'!A1" display="GOLDM OPTION" xr:uid="{7142ED83-EB96-4182-933A-EDDB2E098F80}"/>
    <hyperlink ref="B91" r:id="rId3" xr:uid="{F3AE8239-E94A-4F57-AE5D-6CB4B989836E}"/>
    <hyperlink ref="M8:M9" location="'FEB 2025'!A75" display="CRUDEOIL" xr:uid="{CB5F0341-FB6C-40CE-B2DB-AC915FCA7BEC}"/>
    <hyperlink ref="M1" location="MASTER!A1" display="Back" xr:uid="{F76EC46D-ED57-4165-9A7D-DBE8075FE86F}"/>
    <hyperlink ref="M6:M7" location="'FEB 2025'!A33" display="SILVERM OPTION" xr:uid="{C32A4E76-B17B-4E8A-BE43-68206A18C7EA}"/>
    <hyperlink ref="B122" r:id="rId4" xr:uid="{9B52F4CA-8CEC-4DBD-A25D-241D8147A736}"/>
    <hyperlink ref="M10:M11" location="'FEB 2025'!A110" display="CRUDEOIL OPTION" xr:uid="{A9FBEB3A-9218-4DD5-A356-67567B0246D6}"/>
    <hyperlink ref="B153" r:id="rId5" xr:uid="{332E9DA7-FE90-4A77-9AA0-38FC4EA72467}"/>
    <hyperlink ref="B184" r:id="rId6" xr:uid="{79485044-238E-45C6-93FE-BA9F5A052976}"/>
    <hyperlink ref="M12:M13" location="'FEB 2025'!A140" display="NATURALGAS OPTION" xr:uid="{16B5D03C-C82D-4D4C-BE99-2D73D9B5006F}"/>
    <hyperlink ref="M14:M15" location="'FEB 2025'!A170" display="BASE METAL" xr:uid="{E7F7BB05-1583-4F0E-AF84-F98FC48D95B2}"/>
  </hyperlinks>
  <pageMargins left="0" right="0" top="0" bottom="0" header="0" footer="0"/>
  <pageSetup paperSize="9" orientation="portrait" r:id="rId7"/>
  <drawing r:id="rId8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EFE07-7567-4552-8A7B-98522293D6E9}">
  <dimension ref="A1:X185"/>
  <sheetViews>
    <sheetView zoomScaleNormal="100" workbookViewId="0">
      <selection activeCell="N23" sqref="N2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8.44140625" style="183" customWidth="1"/>
    <col min="6" max="6" width="13" style="183" customWidth="1"/>
    <col min="7" max="7" width="11.6640625" style="183" customWidth="1"/>
    <col min="8" max="8" width="10.886718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6" style="183" customWidth="1"/>
    <col min="14" max="14" width="11" style="183" customWidth="1"/>
    <col min="15" max="17" width="9.109375" style="183"/>
    <col min="18" max="18" width="10.6640625" style="183" bestFit="1" customWidth="1"/>
    <col min="19" max="20" width="9.109375" style="183" customWidth="1"/>
    <col min="21" max="21" width="9.109375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25" width="9.109375" style="183" customWidth="1"/>
    <col min="26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45748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950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960</v>
      </c>
      <c r="N4" s="354">
        <f>COUNT(C6:C28)</f>
        <v>19</v>
      </c>
      <c r="O4" s="369">
        <f>V29</f>
        <v>17</v>
      </c>
      <c r="P4" s="369">
        <f>W29</f>
        <v>2</v>
      </c>
      <c r="Q4" s="349">
        <f>N4-O4-P4</f>
        <v>0</v>
      </c>
      <c r="R4" s="343">
        <f>O4/N4</f>
        <v>0.89473684210526316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1017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45748</v>
      </c>
      <c r="D6" s="192" t="s">
        <v>16</v>
      </c>
      <c r="E6" s="192" t="s">
        <v>962</v>
      </c>
      <c r="F6" s="193">
        <v>1020</v>
      </c>
      <c r="G6" s="193">
        <v>1220</v>
      </c>
      <c r="H6" s="192">
        <f>1220-1020</f>
        <v>200</v>
      </c>
      <c r="I6" s="193">
        <v>10</v>
      </c>
      <c r="J6" s="267">
        <f>H6*I6</f>
        <v>2000</v>
      </c>
      <c r="K6" s="185"/>
      <c r="M6" s="364" t="s">
        <v>959</v>
      </c>
      <c r="N6" s="347">
        <f>COUNT(C37:C59)</f>
        <v>19</v>
      </c>
      <c r="O6" s="348">
        <f>V60</f>
        <v>15</v>
      </c>
      <c r="P6" s="348">
        <f>W60</f>
        <v>4</v>
      </c>
      <c r="Q6" s="349">
        <f>N6-O6-P6</f>
        <v>0</v>
      </c>
      <c r="R6" s="345">
        <f t="shared" ref="R6" si="0">O6/N6</f>
        <v>0.78947368421052633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45749</v>
      </c>
      <c r="D7" s="196" t="s">
        <v>16</v>
      </c>
      <c r="E7" s="196" t="s">
        <v>962</v>
      </c>
      <c r="F7" s="197">
        <v>1110</v>
      </c>
      <c r="G7" s="197">
        <v>1275</v>
      </c>
      <c r="H7" s="196">
        <f>1275-1110</f>
        <v>165</v>
      </c>
      <c r="I7" s="197">
        <v>10</v>
      </c>
      <c r="J7" s="268">
        <f t="shared" ref="J7:J28" si="1">H7*I7</f>
        <v>1650</v>
      </c>
      <c r="K7" s="185"/>
      <c r="M7" s="365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45750</v>
      </c>
      <c r="D8" s="196" t="s">
        <v>16</v>
      </c>
      <c r="E8" s="196" t="s">
        <v>962</v>
      </c>
      <c r="F8" s="197">
        <v>1500</v>
      </c>
      <c r="G8" s="197">
        <v>1700</v>
      </c>
      <c r="H8" s="196">
        <v>200</v>
      </c>
      <c r="I8" s="197">
        <v>10</v>
      </c>
      <c r="J8" s="268">
        <f t="shared" si="1"/>
        <v>2000</v>
      </c>
      <c r="K8" s="185"/>
      <c r="M8" s="362" t="s">
        <v>125</v>
      </c>
      <c r="N8" s="347">
        <f>COUNT(C68:C90)</f>
        <v>19</v>
      </c>
      <c r="O8" s="348">
        <f>V91</f>
        <v>18</v>
      </c>
      <c r="P8" s="348">
        <f>W91</f>
        <v>1</v>
      </c>
      <c r="Q8" s="349">
        <f>N8-O8-P8</f>
        <v>0</v>
      </c>
      <c r="R8" s="345">
        <f>O8/N8</f>
        <v>0.94736842105263153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45751</v>
      </c>
      <c r="D9" s="196" t="s">
        <v>16</v>
      </c>
      <c r="E9" s="196" t="s">
        <v>974</v>
      </c>
      <c r="F9" s="197">
        <v>1220</v>
      </c>
      <c r="G9" s="197">
        <v>1270</v>
      </c>
      <c r="H9" s="196">
        <v>50</v>
      </c>
      <c r="I9" s="197">
        <v>10</v>
      </c>
      <c r="J9" s="268">
        <f t="shared" si="1"/>
        <v>500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45754</v>
      </c>
      <c r="D10" s="196" t="s">
        <v>16</v>
      </c>
      <c r="E10" s="196" t="s">
        <v>1026</v>
      </c>
      <c r="F10" s="197">
        <v>1330</v>
      </c>
      <c r="G10" s="197">
        <v>1530</v>
      </c>
      <c r="H10" s="196">
        <f>1530-1330</f>
        <v>200</v>
      </c>
      <c r="I10" s="197">
        <v>10</v>
      </c>
      <c r="J10" s="268">
        <f t="shared" si="1"/>
        <v>2000</v>
      </c>
      <c r="K10" s="185"/>
      <c r="M10" s="364" t="s">
        <v>906</v>
      </c>
      <c r="N10" s="347">
        <f>COUNT(C99:C121)</f>
        <v>19</v>
      </c>
      <c r="O10" s="348">
        <f>V122</f>
        <v>17</v>
      </c>
      <c r="P10" s="348">
        <f>W122</f>
        <v>2</v>
      </c>
      <c r="Q10" s="349">
        <f>N10-O10-P10</f>
        <v>0</v>
      </c>
      <c r="R10" s="345">
        <f>O10/N10</f>
        <v>0.89473684210526316</v>
      </c>
      <c r="V10" s="183">
        <f t="shared" si="2"/>
        <v>1</v>
      </c>
      <c r="W10" s="183">
        <f t="shared" si="3"/>
        <v>0</v>
      </c>
    </row>
    <row r="11" spans="1:23" x14ac:dyDescent="0.3">
      <c r="A11" s="184"/>
      <c r="B11" s="194">
        <v>6</v>
      </c>
      <c r="C11" s="195">
        <v>45755</v>
      </c>
      <c r="D11" s="196" t="s">
        <v>16</v>
      </c>
      <c r="E11" s="196" t="s">
        <v>1026</v>
      </c>
      <c r="F11" s="197">
        <v>1100</v>
      </c>
      <c r="G11" s="197">
        <v>1300</v>
      </c>
      <c r="H11" s="196">
        <v>200</v>
      </c>
      <c r="I11" s="197">
        <v>10</v>
      </c>
      <c r="J11" s="268">
        <f t="shared" si="1"/>
        <v>2000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45756</v>
      </c>
      <c r="D12" s="196" t="s">
        <v>16</v>
      </c>
      <c r="E12" s="196" t="s">
        <v>1027</v>
      </c>
      <c r="F12" s="197">
        <v>1370</v>
      </c>
      <c r="G12" s="197">
        <v>1440</v>
      </c>
      <c r="H12" s="196">
        <f>1440-1370</f>
        <v>70</v>
      </c>
      <c r="I12" s="197">
        <v>10</v>
      </c>
      <c r="J12" s="268">
        <f t="shared" si="1"/>
        <v>700</v>
      </c>
      <c r="K12" s="185"/>
      <c r="M12" s="362" t="s">
        <v>998</v>
      </c>
      <c r="N12" s="347">
        <f>COUNT(C130:C152)</f>
        <v>18</v>
      </c>
      <c r="O12" s="348">
        <f>V153</f>
        <v>13</v>
      </c>
      <c r="P12" s="348">
        <f>W153</f>
        <v>5</v>
      </c>
      <c r="Q12" s="349">
        <f>N12-O12-P12</f>
        <v>0</v>
      </c>
      <c r="R12" s="345">
        <f>O12/N12</f>
        <v>0.72222222222222221</v>
      </c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45758</v>
      </c>
      <c r="D13" s="196" t="s">
        <v>16</v>
      </c>
      <c r="E13" s="196" t="s">
        <v>985</v>
      </c>
      <c r="F13" s="197">
        <v>1600</v>
      </c>
      <c r="G13" s="197">
        <v>1810</v>
      </c>
      <c r="H13" s="196">
        <f>1810-1600</f>
        <v>210</v>
      </c>
      <c r="I13" s="197">
        <v>10</v>
      </c>
      <c r="J13" s="268">
        <f t="shared" si="1"/>
        <v>2100</v>
      </c>
      <c r="K13" s="185"/>
      <c r="M13" s="362"/>
      <c r="N13" s="347"/>
      <c r="O13" s="348"/>
      <c r="P13" s="348"/>
      <c r="Q13" s="350"/>
      <c r="R13" s="345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45762</v>
      </c>
      <c r="D14" s="196" t="s">
        <v>16</v>
      </c>
      <c r="E14" s="196" t="s">
        <v>985</v>
      </c>
      <c r="F14" s="197">
        <v>1200</v>
      </c>
      <c r="G14" s="197">
        <v>1100</v>
      </c>
      <c r="H14" s="196">
        <v>-100</v>
      </c>
      <c r="I14" s="197">
        <v>10</v>
      </c>
      <c r="J14" s="268">
        <f t="shared" si="1"/>
        <v>-1000</v>
      </c>
      <c r="K14" s="185"/>
      <c r="M14" s="364" t="s">
        <v>877</v>
      </c>
      <c r="N14" s="383">
        <f>COUNT(C161:C183)</f>
        <v>19</v>
      </c>
      <c r="O14" s="374">
        <f>V184</f>
        <v>16</v>
      </c>
      <c r="P14" s="374">
        <f>W184</f>
        <v>3</v>
      </c>
      <c r="Q14" s="366">
        <f>N14-O14-P14</f>
        <v>0</v>
      </c>
      <c r="R14" s="381">
        <f>O14/N14</f>
        <v>0.84210526315789469</v>
      </c>
      <c r="V14" s="183">
        <f t="shared" si="2"/>
        <v>0</v>
      </c>
      <c r="W14" s="183">
        <f t="shared" si="3"/>
        <v>1</v>
      </c>
    </row>
    <row r="15" spans="1:23" ht="15" thickBot="1" x14ac:dyDescent="0.35">
      <c r="A15" s="184"/>
      <c r="B15" s="194">
        <v>10</v>
      </c>
      <c r="C15" s="195">
        <v>45763</v>
      </c>
      <c r="D15" s="196" t="s">
        <v>16</v>
      </c>
      <c r="E15" s="196" t="s">
        <v>1007</v>
      </c>
      <c r="F15" s="197">
        <v>800</v>
      </c>
      <c r="G15" s="197">
        <v>1000</v>
      </c>
      <c r="H15" s="196">
        <v>200</v>
      </c>
      <c r="I15" s="197">
        <v>10</v>
      </c>
      <c r="J15" s="268">
        <f t="shared" si="1"/>
        <v>2000</v>
      </c>
      <c r="K15" s="185"/>
      <c r="M15" s="382"/>
      <c r="N15" s="384"/>
      <c r="O15" s="375"/>
      <c r="P15" s="375"/>
      <c r="Q15" s="376"/>
      <c r="R15" s="380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45764</v>
      </c>
      <c r="D16" s="196" t="s">
        <v>16</v>
      </c>
      <c r="E16" s="196" t="s">
        <v>1005</v>
      </c>
      <c r="F16" s="197">
        <v>1110</v>
      </c>
      <c r="G16" s="197">
        <v>1260</v>
      </c>
      <c r="H16" s="196">
        <f>1260-1110</f>
        <v>150</v>
      </c>
      <c r="I16" s="197">
        <v>10</v>
      </c>
      <c r="J16" s="268">
        <f t="shared" si="1"/>
        <v>1500</v>
      </c>
      <c r="K16" s="185"/>
      <c r="M16" s="377" t="s">
        <v>300</v>
      </c>
      <c r="N16" s="371">
        <f>SUM(N4:N11)</f>
        <v>76</v>
      </c>
      <c r="O16" s="371">
        <f>SUM(O4:O11)</f>
        <v>67</v>
      </c>
      <c r="P16" s="371">
        <f>SUM(P4:P11)</f>
        <v>9</v>
      </c>
      <c r="Q16" s="371">
        <f>SUM(Q4:Q11)</f>
        <v>0</v>
      </c>
      <c r="R16" s="379">
        <f>O16/N16</f>
        <v>0.88157894736842102</v>
      </c>
      <c r="V16" s="183">
        <f t="shared" si="2"/>
        <v>1</v>
      </c>
      <c r="W16" s="183">
        <f t="shared" si="3"/>
        <v>0</v>
      </c>
    </row>
    <row r="17" spans="1:23" ht="15" thickBot="1" x14ac:dyDescent="0.35">
      <c r="A17" s="184"/>
      <c r="B17" s="194">
        <v>12</v>
      </c>
      <c r="C17" s="195">
        <v>45768</v>
      </c>
      <c r="D17" s="196" t="s">
        <v>16</v>
      </c>
      <c r="E17" s="196" t="s">
        <v>1018</v>
      </c>
      <c r="F17" s="197">
        <v>890</v>
      </c>
      <c r="G17" s="197">
        <v>1090</v>
      </c>
      <c r="H17" s="196">
        <v>200</v>
      </c>
      <c r="I17" s="197">
        <v>10</v>
      </c>
      <c r="J17" s="268">
        <f t="shared" si="1"/>
        <v>2000</v>
      </c>
      <c r="K17" s="185"/>
      <c r="M17" s="378"/>
      <c r="N17" s="372"/>
      <c r="O17" s="372"/>
      <c r="P17" s="372"/>
      <c r="Q17" s="372"/>
      <c r="R17" s="380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45769</v>
      </c>
      <c r="D18" s="196" t="s">
        <v>16</v>
      </c>
      <c r="E18" s="196" t="s">
        <v>1048</v>
      </c>
      <c r="F18" s="197">
        <v>700</v>
      </c>
      <c r="G18" s="197">
        <v>760</v>
      </c>
      <c r="H18" s="196">
        <v>60</v>
      </c>
      <c r="I18" s="197">
        <v>10</v>
      </c>
      <c r="J18" s="268">
        <f t="shared" si="1"/>
        <v>600</v>
      </c>
      <c r="K18" s="185"/>
      <c r="M18" s="323" t="s">
        <v>878</v>
      </c>
      <c r="N18" s="324"/>
      <c r="O18" s="325"/>
      <c r="P18" s="332">
        <f>R16</f>
        <v>0.88157894736842102</v>
      </c>
      <c r="Q18" s="333"/>
      <c r="R18" s="334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45770</v>
      </c>
      <c r="D19" s="196" t="s">
        <v>16</v>
      </c>
      <c r="E19" s="196" t="s">
        <v>1007</v>
      </c>
      <c r="F19" s="197">
        <v>850</v>
      </c>
      <c r="G19" s="197">
        <v>1050</v>
      </c>
      <c r="H19" s="196">
        <v>200</v>
      </c>
      <c r="I19" s="197">
        <v>10</v>
      </c>
      <c r="J19" s="268">
        <f t="shared" si="1"/>
        <v>2000</v>
      </c>
      <c r="K19" s="185"/>
      <c r="M19" s="326"/>
      <c r="N19" s="327"/>
      <c r="O19" s="328"/>
      <c r="P19" s="335"/>
      <c r="Q19" s="336"/>
      <c r="R19" s="337"/>
      <c r="V19" s="183">
        <f t="shared" si="2"/>
        <v>1</v>
      </c>
      <c r="W19" s="183">
        <f t="shared" si="3"/>
        <v>0</v>
      </c>
    </row>
    <row r="20" spans="1:23" ht="15" thickBot="1" x14ac:dyDescent="0.35">
      <c r="A20" s="184"/>
      <c r="B20" s="194">
        <v>15</v>
      </c>
      <c r="C20" s="195">
        <v>45771</v>
      </c>
      <c r="D20" s="196" t="s">
        <v>16</v>
      </c>
      <c r="E20" s="196" t="s">
        <v>1007</v>
      </c>
      <c r="F20" s="197">
        <v>800</v>
      </c>
      <c r="G20" s="197">
        <v>1000</v>
      </c>
      <c r="H20" s="196">
        <v>200</v>
      </c>
      <c r="I20" s="197">
        <v>10</v>
      </c>
      <c r="J20" s="268">
        <f t="shared" si="1"/>
        <v>2000</v>
      </c>
      <c r="K20" s="185"/>
      <c r="M20" s="329"/>
      <c r="N20" s="330"/>
      <c r="O20" s="331"/>
      <c r="P20" s="338"/>
      <c r="Q20" s="339"/>
      <c r="R20" s="340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45772</v>
      </c>
      <c r="D21" s="196" t="s">
        <v>16</v>
      </c>
      <c r="E21" s="196" t="s">
        <v>1057</v>
      </c>
      <c r="F21" s="197">
        <v>1840</v>
      </c>
      <c r="G21" s="197">
        <v>2040</v>
      </c>
      <c r="H21" s="196">
        <v>200</v>
      </c>
      <c r="I21" s="197">
        <v>10</v>
      </c>
      <c r="J21" s="268">
        <f t="shared" si="1"/>
        <v>2000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45775</v>
      </c>
      <c r="D22" s="196" t="s">
        <v>16</v>
      </c>
      <c r="E22" s="196" t="s">
        <v>1007</v>
      </c>
      <c r="F22" s="197">
        <v>1960</v>
      </c>
      <c r="G22" s="197">
        <v>1860</v>
      </c>
      <c r="H22" s="196">
        <v>-100</v>
      </c>
      <c r="I22" s="197">
        <v>10</v>
      </c>
      <c r="J22" s="268">
        <f t="shared" si="1"/>
        <v>-1000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45776</v>
      </c>
      <c r="D23" s="196" t="s">
        <v>16</v>
      </c>
      <c r="E23" s="196" t="s">
        <v>1018</v>
      </c>
      <c r="F23" s="197">
        <v>1750</v>
      </c>
      <c r="G23" s="197">
        <v>1800</v>
      </c>
      <c r="H23" s="196">
        <v>50</v>
      </c>
      <c r="I23" s="197">
        <v>10</v>
      </c>
      <c r="J23" s="268">
        <f t="shared" si="1"/>
        <v>500</v>
      </c>
      <c r="K23" s="185"/>
      <c r="V23" s="183">
        <f t="shared" si="2"/>
        <v>1</v>
      </c>
      <c r="W23" s="183">
        <f t="shared" si="3"/>
        <v>0</v>
      </c>
    </row>
    <row r="24" spans="1:23" ht="15" thickBot="1" x14ac:dyDescent="0.35">
      <c r="A24" s="184"/>
      <c r="B24" s="194">
        <v>19</v>
      </c>
      <c r="C24" s="195">
        <v>45777</v>
      </c>
      <c r="D24" s="196" t="s">
        <v>16</v>
      </c>
      <c r="E24" s="196" t="s">
        <v>1005</v>
      </c>
      <c r="F24" s="197">
        <v>1970</v>
      </c>
      <c r="G24" s="197">
        <v>2170</v>
      </c>
      <c r="H24" s="196">
        <f>2170-1970</f>
        <v>200</v>
      </c>
      <c r="I24" s="197">
        <v>10</v>
      </c>
      <c r="J24" s="268">
        <f t="shared" si="1"/>
        <v>2000</v>
      </c>
      <c r="K24" s="185"/>
      <c r="V24" s="183">
        <f t="shared" si="2"/>
        <v>1</v>
      </c>
      <c r="W24" s="183">
        <f t="shared" si="3"/>
        <v>0</v>
      </c>
    </row>
    <row r="25" spans="1:23" ht="15" hidden="1" thickBot="1" x14ac:dyDescent="0.35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ht="15" hidden="1" thickBot="1" x14ac:dyDescent="0.35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ht="15" hidden="1" thickBot="1" x14ac:dyDescent="0.35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hidden="1" thickBot="1" x14ac:dyDescent="0.35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25550</v>
      </c>
      <c r="K29" s="185"/>
      <c r="V29" s="183">
        <f>SUM(V6:V28)</f>
        <v>17</v>
      </c>
      <c r="W29" s="183">
        <f>SUM(W6:W28)</f>
        <v>2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45748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949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1017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45748</v>
      </c>
      <c r="D37" s="192" t="s">
        <v>16</v>
      </c>
      <c r="E37" s="192" t="s">
        <v>1032</v>
      </c>
      <c r="F37" s="193">
        <v>2200</v>
      </c>
      <c r="G37" s="193">
        <v>2600</v>
      </c>
      <c r="H37" s="192">
        <v>400</v>
      </c>
      <c r="I37" s="193">
        <v>5</v>
      </c>
      <c r="J37" s="267">
        <f t="shared" ref="J37:J59" si="4">I37*H37</f>
        <v>2000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45749</v>
      </c>
      <c r="D38" s="196" t="s">
        <v>16</v>
      </c>
      <c r="E38" s="196" t="s">
        <v>1032</v>
      </c>
      <c r="F38" s="222">
        <v>2200</v>
      </c>
      <c r="G38" s="222">
        <v>2573</v>
      </c>
      <c r="H38" s="222">
        <f>2573-2200</f>
        <v>373</v>
      </c>
      <c r="I38" s="197">
        <v>5</v>
      </c>
      <c r="J38" s="268">
        <f t="shared" si="4"/>
        <v>1865</v>
      </c>
      <c r="K38" s="185"/>
      <c r="V38" s="183">
        <f t="shared" ref="V38:V59" si="5">IF($J38&gt;0,1,0)</f>
        <v>1</v>
      </c>
      <c r="W38" s="183">
        <f t="shared" ref="W38:W59" si="6">IF($J38&lt;0,1,0)</f>
        <v>0</v>
      </c>
    </row>
    <row r="39" spans="1:23" x14ac:dyDescent="0.3">
      <c r="A39" s="184"/>
      <c r="B39" s="194">
        <v>3</v>
      </c>
      <c r="C39" s="195">
        <v>45750</v>
      </c>
      <c r="D39" s="196" t="s">
        <v>16</v>
      </c>
      <c r="E39" s="196" t="s">
        <v>1031</v>
      </c>
      <c r="F39" s="197">
        <v>1850</v>
      </c>
      <c r="G39" s="197">
        <v>1650</v>
      </c>
      <c r="H39" s="222">
        <v>-200</v>
      </c>
      <c r="I39" s="197">
        <v>5</v>
      </c>
      <c r="J39" s="268">
        <f t="shared" si="4"/>
        <v>-1000</v>
      </c>
      <c r="K39" s="185"/>
      <c r="V39" s="183">
        <f t="shared" si="5"/>
        <v>0</v>
      </c>
      <c r="W39" s="183">
        <f t="shared" si="6"/>
        <v>1</v>
      </c>
    </row>
    <row r="40" spans="1:23" x14ac:dyDescent="0.3">
      <c r="A40" s="184"/>
      <c r="B40" s="194">
        <v>4</v>
      </c>
      <c r="C40" s="195">
        <v>45751</v>
      </c>
      <c r="D40" s="196" t="s">
        <v>16</v>
      </c>
      <c r="E40" s="196" t="s">
        <v>989</v>
      </c>
      <c r="F40" s="222">
        <v>1820</v>
      </c>
      <c r="G40" s="222">
        <v>2010</v>
      </c>
      <c r="H40" s="222">
        <f>2010-1820</f>
        <v>190</v>
      </c>
      <c r="I40" s="197">
        <v>5</v>
      </c>
      <c r="J40" s="268">
        <f t="shared" si="4"/>
        <v>950</v>
      </c>
      <c r="K40" s="185"/>
      <c r="V40" s="183">
        <f t="shared" si="5"/>
        <v>1</v>
      </c>
      <c r="W40" s="183">
        <f t="shared" si="6"/>
        <v>0</v>
      </c>
    </row>
    <row r="41" spans="1:23" x14ac:dyDescent="0.3">
      <c r="A41" s="184"/>
      <c r="B41" s="194">
        <v>5</v>
      </c>
      <c r="C41" s="195">
        <v>45754</v>
      </c>
      <c r="D41" s="196" t="s">
        <v>16</v>
      </c>
      <c r="E41" s="196" t="s">
        <v>993</v>
      </c>
      <c r="F41" s="197">
        <v>1950</v>
      </c>
      <c r="G41" s="197">
        <v>2350</v>
      </c>
      <c r="H41" s="196">
        <f>2350-1950</f>
        <v>400</v>
      </c>
      <c r="I41" s="197">
        <v>5</v>
      </c>
      <c r="J41" s="268">
        <f t="shared" si="4"/>
        <v>2000</v>
      </c>
      <c r="K41" s="185"/>
      <c r="V41" s="183">
        <f t="shared" si="5"/>
        <v>1</v>
      </c>
      <c r="W41" s="183">
        <f t="shared" si="6"/>
        <v>0</v>
      </c>
    </row>
    <row r="42" spans="1:23" x14ac:dyDescent="0.3">
      <c r="A42" s="184"/>
      <c r="B42" s="194">
        <v>6</v>
      </c>
      <c r="C42" s="195">
        <v>45755</v>
      </c>
      <c r="D42" s="196" t="s">
        <v>16</v>
      </c>
      <c r="E42" s="196" t="s">
        <v>993</v>
      </c>
      <c r="F42" s="222">
        <v>2030</v>
      </c>
      <c r="G42" s="222">
        <v>2230</v>
      </c>
      <c r="H42" s="196">
        <f>2230-2030</f>
        <v>200</v>
      </c>
      <c r="I42" s="197">
        <v>5</v>
      </c>
      <c r="J42" s="268">
        <f t="shared" si="4"/>
        <v>1000</v>
      </c>
      <c r="K42" s="185"/>
      <c r="V42" s="183">
        <f t="shared" si="5"/>
        <v>1</v>
      </c>
      <c r="W42" s="183">
        <f t="shared" si="6"/>
        <v>0</v>
      </c>
    </row>
    <row r="43" spans="1:23" x14ac:dyDescent="0.3">
      <c r="A43" s="184"/>
      <c r="B43" s="194">
        <v>7</v>
      </c>
      <c r="C43" s="195">
        <v>45756</v>
      </c>
      <c r="D43" s="196" t="s">
        <v>16</v>
      </c>
      <c r="E43" s="196" t="s">
        <v>993</v>
      </c>
      <c r="F43" s="222">
        <v>2300</v>
      </c>
      <c r="G43" s="222">
        <v>2100</v>
      </c>
      <c r="H43" s="222">
        <v>-200</v>
      </c>
      <c r="I43" s="197">
        <v>5</v>
      </c>
      <c r="J43" s="268">
        <f t="shared" si="4"/>
        <v>-1000</v>
      </c>
      <c r="K43" s="185"/>
      <c r="V43" s="183">
        <f t="shared" si="5"/>
        <v>0</v>
      </c>
      <c r="W43" s="183">
        <f t="shared" si="6"/>
        <v>1</v>
      </c>
    </row>
    <row r="44" spans="1:23" x14ac:dyDescent="0.3">
      <c r="A44" s="184"/>
      <c r="B44" s="194">
        <v>8</v>
      </c>
      <c r="C44" s="195">
        <v>45758</v>
      </c>
      <c r="D44" s="196" t="s">
        <v>16</v>
      </c>
      <c r="E44" s="196" t="s">
        <v>985</v>
      </c>
      <c r="F44" s="197">
        <v>1900</v>
      </c>
      <c r="G44" s="197">
        <v>2050</v>
      </c>
      <c r="H44" s="196">
        <f>2050-1900</f>
        <v>150</v>
      </c>
      <c r="I44" s="197">
        <v>5</v>
      </c>
      <c r="J44" s="268">
        <f t="shared" si="4"/>
        <v>750</v>
      </c>
      <c r="K44" s="185"/>
      <c r="V44" s="183">
        <f t="shared" si="5"/>
        <v>1</v>
      </c>
      <c r="W44" s="183">
        <f t="shared" si="6"/>
        <v>0</v>
      </c>
    </row>
    <row r="45" spans="1:23" x14ac:dyDescent="0.3">
      <c r="A45" s="184"/>
      <c r="B45" s="194">
        <v>9</v>
      </c>
      <c r="C45" s="195">
        <v>45762</v>
      </c>
      <c r="D45" s="196" t="s">
        <v>16</v>
      </c>
      <c r="E45" s="196" t="s">
        <v>1007</v>
      </c>
      <c r="F45" s="222">
        <v>1450</v>
      </c>
      <c r="G45" s="222">
        <v>1560</v>
      </c>
      <c r="H45" s="222">
        <f>1560-1450</f>
        <v>110</v>
      </c>
      <c r="I45" s="197">
        <v>5</v>
      </c>
      <c r="J45" s="268">
        <f t="shared" si="4"/>
        <v>550</v>
      </c>
      <c r="K45" s="185"/>
      <c r="V45" s="183">
        <f t="shared" si="5"/>
        <v>1</v>
      </c>
      <c r="W45" s="183">
        <f t="shared" si="6"/>
        <v>0</v>
      </c>
    </row>
    <row r="46" spans="1:23" x14ac:dyDescent="0.3">
      <c r="A46" s="184"/>
      <c r="B46" s="194">
        <v>10</v>
      </c>
      <c r="C46" s="195">
        <v>45763</v>
      </c>
      <c r="D46" s="196" t="s">
        <v>16</v>
      </c>
      <c r="E46" s="196" t="s">
        <v>1007</v>
      </c>
      <c r="F46" s="197">
        <v>800</v>
      </c>
      <c r="G46" s="222">
        <v>1000</v>
      </c>
      <c r="H46" s="196">
        <v>200</v>
      </c>
      <c r="I46" s="197">
        <v>5</v>
      </c>
      <c r="J46" s="268">
        <f t="shared" si="4"/>
        <v>1000</v>
      </c>
      <c r="K46" s="185"/>
      <c r="V46" s="183">
        <f t="shared" si="5"/>
        <v>1</v>
      </c>
      <c r="W46" s="183">
        <f t="shared" si="6"/>
        <v>0</v>
      </c>
    </row>
    <row r="47" spans="1:23" x14ac:dyDescent="0.3">
      <c r="A47" s="184"/>
      <c r="B47" s="194">
        <v>11</v>
      </c>
      <c r="C47" s="195">
        <v>45764</v>
      </c>
      <c r="D47" s="196" t="s">
        <v>16</v>
      </c>
      <c r="E47" s="196" t="s">
        <v>1005</v>
      </c>
      <c r="F47" s="222">
        <v>950</v>
      </c>
      <c r="G47" s="222">
        <v>1174</v>
      </c>
      <c r="H47" s="222">
        <f>1174-950</f>
        <v>224</v>
      </c>
      <c r="I47" s="197">
        <v>5</v>
      </c>
      <c r="J47" s="268">
        <f t="shared" si="4"/>
        <v>1120</v>
      </c>
      <c r="K47" s="185"/>
      <c r="V47" s="183">
        <f t="shared" si="5"/>
        <v>1</v>
      </c>
      <c r="W47" s="183">
        <f t="shared" si="6"/>
        <v>0</v>
      </c>
    </row>
    <row r="48" spans="1:23" x14ac:dyDescent="0.3">
      <c r="A48" s="184"/>
      <c r="B48" s="194">
        <v>12</v>
      </c>
      <c r="C48" s="195">
        <v>45768</v>
      </c>
      <c r="D48" s="196" t="s">
        <v>16</v>
      </c>
      <c r="E48" s="196" t="s">
        <v>1022</v>
      </c>
      <c r="F48" s="197">
        <v>3250</v>
      </c>
      <c r="G48" s="222">
        <v>3450</v>
      </c>
      <c r="H48" s="196">
        <v>200</v>
      </c>
      <c r="I48" s="197">
        <v>5</v>
      </c>
      <c r="J48" s="268">
        <f t="shared" si="4"/>
        <v>1000</v>
      </c>
      <c r="K48" s="185"/>
      <c r="V48" s="183">
        <f t="shared" si="5"/>
        <v>1</v>
      </c>
      <c r="W48" s="183">
        <f t="shared" si="6"/>
        <v>0</v>
      </c>
    </row>
    <row r="49" spans="1:23" x14ac:dyDescent="0.3">
      <c r="A49" s="184"/>
      <c r="B49" s="194">
        <v>13</v>
      </c>
      <c r="C49" s="195">
        <v>45769</v>
      </c>
      <c r="D49" s="196" t="s">
        <v>16</v>
      </c>
      <c r="E49" s="196" t="s">
        <v>1049</v>
      </c>
      <c r="F49" s="222">
        <v>4000</v>
      </c>
      <c r="G49" s="222">
        <v>3800</v>
      </c>
      <c r="H49" s="196">
        <v>-200</v>
      </c>
      <c r="I49" s="197">
        <v>5</v>
      </c>
      <c r="J49" s="268">
        <f t="shared" si="4"/>
        <v>-1000</v>
      </c>
      <c r="K49" s="185"/>
      <c r="V49" s="183">
        <f t="shared" si="5"/>
        <v>0</v>
      </c>
      <c r="W49" s="183">
        <f t="shared" si="6"/>
        <v>1</v>
      </c>
    </row>
    <row r="50" spans="1:23" x14ac:dyDescent="0.3">
      <c r="A50" s="184"/>
      <c r="B50" s="194">
        <v>14</v>
      </c>
      <c r="C50" s="195">
        <v>45770</v>
      </c>
      <c r="D50" s="196" t="s">
        <v>16</v>
      </c>
      <c r="E50" s="196" t="s">
        <v>1031</v>
      </c>
      <c r="F50" s="197">
        <v>3950</v>
      </c>
      <c r="G50" s="222">
        <v>4150</v>
      </c>
      <c r="H50" s="196">
        <f>4150-3950</f>
        <v>200</v>
      </c>
      <c r="I50" s="197">
        <v>5</v>
      </c>
      <c r="J50" s="268">
        <f t="shared" si="4"/>
        <v>1000</v>
      </c>
      <c r="K50" s="185"/>
      <c r="V50" s="183">
        <f t="shared" si="5"/>
        <v>1</v>
      </c>
      <c r="W50" s="183">
        <f t="shared" si="6"/>
        <v>0</v>
      </c>
    </row>
    <row r="51" spans="1:23" x14ac:dyDescent="0.3">
      <c r="A51" s="184"/>
      <c r="B51" s="194">
        <v>15</v>
      </c>
      <c r="C51" s="195">
        <v>45771</v>
      </c>
      <c r="D51" s="196" t="s">
        <v>16</v>
      </c>
      <c r="E51" s="196" t="s">
        <v>1050</v>
      </c>
      <c r="F51" s="222">
        <v>3860</v>
      </c>
      <c r="G51" s="222">
        <v>3940</v>
      </c>
      <c r="H51" s="196">
        <f>3940-3860</f>
        <v>80</v>
      </c>
      <c r="I51" s="197">
        <v>5</v>
      </c>
      <c r="J51" s="268">
        <f t="shared" si="4"/>
        <v>400</v>
      </c>
      <c r="K51" s="185"/>
      <c r="V51" s="183">
        <f t="shared" si="5"/>
        <v>1</v>
      </c>
      <c r="W51" s="183">
        <f t="shared" si="6"/>
        <v>0</v>
      </c>
    </row>
    <row r="52" spans="1:23" x14ac:dyDescent="0.3">
      <c r="A52" s="184"/>
      <c r="B52" s="194">
        <v>16</v>
      </c>
      <c r="C52" s="195">
        <v>45772</v>
      </c>
      <c r="D52" s="196" t="s">
        <v>16</v>
      </c>
      <c r="E52" s="196" t="s">
        <v>1014</v>
      </c>
      <c r="F52" s="197">
        <v>3550</v>
      </c>
      <c r="G52" s="197">
        <v>3950</v>
      </c>
      <c r="H52" s="196">
        <v>400</v>
      </c>
      <c r="I52" s="197">
        <v>5</v>
      </c>
      <c r="J52" s="268">
        <f t="shared" si="4"/>
        <v>2000</v>
      </c>
      <c r="K52" s="185"/>
      <c r="V52" s="183">
        <f t="shared" si="5"/>
        <v>1</v>
      </c>
      <c r="W52" s="183">
        <f t="shared" si="6"/>
        <v>0</v>
      </c>
    </row>
    <row r="53" spans="1:23" x14ac:dyDescent="0.3">
      <c r="A53" s="184"/>
      <c r="B53" s="194">
        <v>17</v>
      </c>
      <c r="C53" s="195">
        <v>45775</v>
      </c>
      <c r="D53" s="196" t="s">
        <v>16</v>
      </c>
      <c r="E53" s="196" t="s">
        <v>1031</v>
      </c>
      <c r="F53" s="222">
        <v>3200</v>
      </c>
      <c r="G53" s="222">
        <v>3000</v>
      </c>
      <c r="H53" s="222">
        <v>-200</v>
      </c>
      <c r="I53" s="197">
        <v>5</v>
      </c>
      <c r="J53" s="268">
        <f t="shared" si="4"/>
        <v>-1000</v>
      </c>
      <c r="K53" s="185"/>
      <c r="V53" s="183">
        <f t="shared" si="5"/>
        <v>0</v>
      </c>
      <c r="W53" s="183">
        <f t="shared" si="6"/>
        <v>1</v>
      </c>
    </row>
    <row r="54" spans="1:23" x14ac:dyDescent="0.3">
      <c r="A54" s="184"/>
      <c r="B54" s="194">
        <v>18</v>
      </c>
      <c r="C54" s="195">
        <v>45776</v>
      </c>
      <c r="D54" s="196" t="s">
        <v>16</v>
      </c>
      <c r="E54" s="196" t="s">
        <v>1022</v>
      </c>
      <c r="F54" s="197">
        <v>2900</v>
      </c>
      <c r="G54" s="197">
        <v>3100</v>
      </c>
      <c r="H54" s="196">
        <v>200</v>
      </c>
      <c r="I54" s="197">
        <v>5</v>
      </c>
      <c r="J54" s="268">
        <f t="shared" si="4"/>
        <v>1000</v>
      </c>
      <c r="K54" s="185"/>
      <c r="V54" s="183">
        <f t="shared" si="5"/>
        <v>1</v>
      </c>
      <c r="W54" s="183">
        <f t="shared" si="6"/>
        <v>0</v>
      </c>
    </row>
    <row r="55" spans="1:23" ht="15" thickBot="1" x14ac:dyDescent="0.35">
      <c r="A55" s="184"/>
      <c r="B55" s="194">
        <v>19</v>
      </c>
      <c r="C55" s="195">
        <v>45777</v>
      </c>
      <c r="D55" s="196" t="s">
        <v>16</v>
      </c>
      <c r="E55" s="196" t="s">
        <v>1020</v>
      </c>
      <c r="F55" s="222">
        <v>1970</v>
      </c>
      <c r="G55" s="222">
        <v>2170</v>
      </c>
      <c r="H55" s="196">
        <f>2170-1970</f>
        <v>200</v>
      </c>
      <c r="I55" s="197">
        <v>5</v>
      </c>
      <c r="J55" s="268">
        <f t="shared" si="4"/>
        <v>1000</v>
      </c>
      <c r="K55" s="185"/>
      <c r="V55" s="183">
        <f t="shared" si="5"/>
        <v>1</v>
      </c>
      <c r="W55" s="183">
        <f t="shared" si="6"/>
        <v>0</v>
      </c>
    </row>
    <row r="56" spans="1:23" hidden="1" x14ac:dyDescent="0.3">
      <c r="A56" s="184"/>
      <c r="B56" s="194">
        <v>20</v>
      </c>
      <c r="C56" s="195"/>
      <c r="D56" s="196"/>
      <c r="E56" s="196"/>
      <c r="F56" s="197"/>
      <c r="G56" s="197"/>
      <c r="H56" s="196"/>
      <c r="I56" s="197"/>
      <c r="J56" s="268">
        <f t="shared" si="4"/>
        <v>0</v>
      </c>
      <c r="K56" s="185"/>
      <c r="V56" s="183">
        <f t="shared" si="5"/>
        <v>0</v>
      </c>
      <c r="W56" s="183">
        <f t="shared" si="6"/>
        <v>0</v>
      </c>
    </row>
    <row r="57" spans="1:23" hidden="1" x14ac:dyDescent="0.3">
      <c r="A57" s="184"/>
      <c r="B57" s="194">
        <v>21</v>
      </c>
      <c r="C57" s="195"/>
      <c r="D57" s="196"/>
      <c r="E57" s="196"/>
      <c r="F57" s="197"/>
      <c r="G57" s="222"/>
      <c r="H57" s="222"/>
      <c r="I57" s="197"/>
      <c r="J57" s="268">
        <f t="shared" si="4"/>
        <v>0</v>
      </c>
      <c r="K57" s="185"/>
      <c r="V57" s="183">
        <f t="shared" si="5"/>
        <v>0</v>
      </c>
      <c r="W57" s="183">
        <f t="shared" si="6"/>
        <v>0</v>
      </c>
    </row>
    <row r="58" spans="1:23" hidden="1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4"/>
        <v>0</v>
      </c>
      <c r="K58" s="185"/>
      <c r="V58" s="183">
        <f t="shared" si="5"/>
        <v>0</v>
      </c>
      <c r="W58" s="183">
        <f t="shared" si="6"/>
        <v>0</v>
      </c>
    </row>
    <row r="59" spans="1:23" ht="15" hidden="1" thickBot="1" x14ac:dyDescent="0.35">
      <c r="A59" s="184"/>
      <c r="B59" s="194">
        <v>23</v>
      </c>
      <c r="C59" s="195"/>
      <c r="D59" s="196"/>
      <c r="E59" s="196"/>
      <c r="F59" s="197"/>
      <c r="G59" s="222"/>
      <c r="H59" s="222"/>
      <c r="I59" s="197"/>
      <c r="J59" s="268">
        <f t="shared" si="4"/>
        <v>0</v>
      </c>
      <c r="K59" s="185"/>
      <c r="V59" s="183">
        <f t="shared" si="5"/>
        <v>0</v>
      </c>
      <c r="W59" s="183">
        <f t="shared" si="6"/>
        <v>0</v>
      </c>
    </row>
    <row r="60" spans="1:23" ht="24" thickBot="1" x14ac:dyDescent="0.5">
      <c r="A60" s="184"/>
      <c r="B60" s="368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13635</v>
      </c>
      <c r="K60" s="185"/>
      <c r="V60" s="183">
        <f>SUM(V37:V59)</f>
        <v>15</v>
      </c>
      <c r="W60" s="183">
        <f>SUM(W37:W59)</f>
        <v>4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45748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997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1017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45748</v>
      </c>
      <c r="D68" s="216" t="s">
        <v>23</v>
      </c>
      <c r="E68" s="256" t="s">
        <v>25</v>
      </c>
      <c r="F68" s="256">
        <v>6140</v>
      </c>
      <c r="G68" s="256">
        <v>6119</v>
      </c>
      <c r="H68" s="256">
        <f>6140-6119</f>
        <v>21</v>
      </c>
      <c r="I68" s="218">
        <v>100</v>
      </c>
      <c r="J68" s="273">
        <f>I68*H68</f>
        <v>2100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45749</v>
      </c>
      <c r="D69" s="196" t="s">
        <v>23</v>
      </c>
      <c r="E69" s="222" t="s">
        <v>25</v>
      </c>
      <c r="F69" s="222">
        <v>6090</v>
      </c>
      <c r="G69" s="222">
        <v>6051</v>
      </c>
      <c r="H69" s="222">
        <f>6090-6051</f>
        <v>39</v>
      </c>
      <c r="I69" s="218">
        <v>100</v>
      </c>
      <c r="J69" s="268">
        <f t="shared" ref="J69:J90" si="7">I69*H69</f>
        <v>3900</v>
      </c>
      <c r="K69" s="185"/>
      <c r="V69" s="183">
        <f t="shared" ref="V69:V90" si="8">IF($J69&gt;0,1,0)</f>
        <v>1</v>
      </c>
      <c r="W69" s="183">
        <f t="shared" ref="W69:W90" si="9">IF($J69&lt;0,1,0)</f>
        <v>0</v>
      </c>
    </row>
    <row r="70" spans="1:23" x14ac:dyDescent="0.3">
      <c r="A70" s="184"/>
      <c r="B70" s="194">
        <v>3</v>
      </c>
      <c r="C70" s="195">
        <v>45750</v>
      </c>
      <c r="D70" s="196" t="s">
        <v>23</v>
      </c>
      <c r="E70" s="222" t="s">
        <v>25</v>
      </c>
      <c r="F70" s="222">
        <v>5960</v>
      </c>
      <c r="G70" s="222">
        <v>5890</v>
      </c>
      <c r="H70" s="222">
        <v>70</v>
      </c>
      <c r="I70" s="218">
        <v>100</v>
      </c>
      <c r="J70" s="268">
        <f t="shared" si="7"/>
        <v>7000</v>
      </c>
      <c r="K70" s="185"/>
      <c r="M70" s="183" t="s">
        <v>870</v>
      </c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4</v>
      </c>
      <c r="C71" s="195">
        <v>45751</v>
      </c>
      <c r="D71" s="196" t="s">
        <v>23</v>
      </c>
      <c r="E71" s="222" t="s">
        <v>25</v>
      </c>
      <c r="F71" s="222">
        <v>5520</v>
      </c>
      <c r="G71" s="222">
        <v>5450</v>
      </c>
      <c r="H71" s="222">
        <f>5520-5450</f>
        <v>70</v>
      </c>
      <c r="I71" s="218">
        <v>100</v>
      </c>
      <c r="J71" s="268">
        <f t="shared" si="7"/>
        <v>7000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5</v>
      </c>
      <c r="C72" s="195">
        <v>45754</v>
      </c>
      <c r="D72" s="196" t="s">
        <v>23</v>
      </c>
      <c r="E72" s="222" t="s">
        <v>25</v>
      </c>
      <c r="F72" s="222">
        <v>5145</v>
      </c>
      <c r="G72" s="222">
        <v>5092</v>
      </c>
      <c r="H72" s="222">
        <f>5145-5092</f>
        <v>53</v>
      </c>
      <c r="I72" s="218">
        <v>100</v>
      </c>
      <c r="J72" s="268">
        <f t="shared" si="7"/>
        <v>5300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6</v>
      </c>
      <c r="C73" s="195">
        <v>45755</v>
      </c>
      <c r="D73" s="196" t="s">
        <v>23</v>
      </c>
      <c r="E73" s="222" t="s">
        <v>25</v>
      </c>
      <c r="F73" s="222">
        <v>5210</v>
      </c>
      <c r="G73" s="222">
        <v>5250</v>
      </c>
      <c r="H73" s="222">
        <v>-40</v>
      </c>
      <c r="I73" s="218">
        <v>100</v>
      </c>
      <c r="J73" s="268">
        <f t="shared" si="7"/>
        <v>-4000</v>
      </c>
      <c r="K73" s="185"/>
      <c r="V73" s="183">
        <f t="shared" si="8"/>
        <v>0</v>
      </c>
      <c r="W73" s="183">
        <f t="shared" si="9"/>
        <v>1</v>
      </c>
    </row>
    <row r="74" spans="1:23" x14ac:dyDescent="0.3">
      <c r="A74" s="184"/>
      <c r="B74" s="194">
        <v>7</v>
      </c>
      <c r="C74" s="195">
        <v>45756</v>
      </c>
      <c r="D74" s="196" t="s">
        <v>23</v>
      </c>
      <c r="E74" s="222" t="s">
        <v>25</v>
      </c>
      <c r="F74" s="222">
        <v>5035</v>
      </c>
      <c r="G74" s="222">
        <v>4975</v>
      </c>
      <c r="H74" s="274">
        <f>5035-4975</f>
        <v>60</v>
      </c>
      <c r="I74" s="218">
        <v>100</v>
      </c>
      <c r="J74" s="268">
        <f t="shared" si="7"/>
        <v>6000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8</v>
      </c>
      <c r="C75" s="195">
        <v>45758</v>
      </c>
      <c r="D75" s="196" t="s">
        <v>23</v>
      </c>
      <c r="E75" s="222" t="s">
        <v>25</v>
      </c>
      <c r="F75" s="222">
        <v>5200</v>
      </c>
      <c r="G75" s="222">
        <v>5150</v>
      </c>
      <c r="H75" s="222">
        <f>5200-5150</f>
        <v>50</v>
      </c>
      <c r="I75" s="197">
        <v>100</v>
      </c>
      <c r="J75" s="268">
        <f t="shared" si="7"/>
        <v>5000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9</v>
      </c>
      <c r="C76" s="195">
        <v>45762</v>
      </c>
      <c r="D76" s="196" t="s">
        <v>23</v>
      </c>
      <c r="E76" s="222" t="s">
        <v>25</v>
      </c>
      <c r="F76" s="222">
        <v>5310</v>
      </c>
      <c r="G76" s="222">
        <v>5240</v>
      </c>
      <c r="H76" s="222">
        <f>5310-5240</f>
        <v>70</v>
      </c>
      <c r="I76" s="197">
        <v>100</v>
      </c>
      <c r="J76" s="268">
        <f t="shared" si="7"/>
        <v>7000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10</v>
      </c>
      <c r="C77" s="195">
        <v>45763</v>
      </c>
      <c r="D77" s="196" t="s">
        <v>16</v>
      </c>
      <c r="E77" s="222" t="s">
        <v>25</v>
      </c>
      <c r="F77" s="222">
        <v>5310</v>
      </c>
      <c r="G77" s="222">
        <v>5375</v>
      </c>
      <c r="H77" s="222">
        <f>5375-5310</f>
        <v>65</v>
      </c>
      <c r="I77" s="197">
        <v>100</v>
      </c>
      <c r="J77" s="268">
        <f t="shared" si="7"/>
        <v>6500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11</v>
      </c>
      <c r="C78" s="195">
        <v>45764</v>
      </c>
      <c r="D78" s="196" t="s">
        <v>23</v>
      </c>
      <c r="E78" s="222" t="s">
        <v>25</v>
      </c>
      <c r="F78" s="222">
        <v>5395</v>
      </c>
      <c r="G78" s="222">
        <v>5385</v>
      </c>
      <c r="H78" s="274">
        <v>10</v>
      </c>
      <c r="I78" s="197">
        <v>100</v>
      </c>
      <c r="J78" s="268">
        <f t="shared" si="7"/>
        <v>1000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12</v>
      </c>
      <c r="C79" s="195">
        <v>45768</v>
      </c>
      <c r="D79" s="196" t="s">
        <v>23</v>
      </c>
      <c r="E79" s="222" t="s">
        <v>25</v>
      </c>
      <c r="F79" s="222">
        <v>5380</v>
      </c>
      <c r="G79" s="222">
        <v>5310</v>
      </c>
      <c r="H79" s="274">
        <v>70</v>
      </c>
      <c r="I79" s="197">
        <v>100</v>
      </c>
      <c r="J79" s="268">
        <f t="shared" si="7"/>
        <v>7000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13</v>
      </c>
      <c r="C80" s="195">
        <v>45769</v>
      </c>
      <c r="D80" s="196" t="s">
        <v>23</v>
      </c>
      <c r="E80" s="222" t="s">
        <v>25</v>
      </c>
      <c r="F80" s="222">
        <v>5410</v>
      </c>
      <c r="G80" s="222">
        <v>5395</v>
      </c>
      <c r="H80" s="274">
        <f>5410-5395</f>
        <v>15</v>
      </c>
      <c r="I80" s="197">
        <v>100</v>
      </c>
      <c r="J80" s="268">
        <f t="shared" si="7"/>
        <v>1500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14</v>
      </c>
      <c r="C81" s="195">
        <v>45770</v>
      </c>
      <c r="D81" s="196" t="s">
        <v>23</v>
      </c>
      <c r="E81" s="222" t="s">
        <v>25</v>
      </c>
      <c r="F81" s="222">
        <v>5560</v>
      </c>
      <c r="G81" s="222">
        <v>5490</v>
      </c>
      <c r="H81" s="274">
        <f>5560-5490</f>
        <v>70</v>
      </c>
      <c r="I81" s="197">
        <v>100</v>
      </c>
      <c r="J81" s="268">
        <f t="shared" si="7"/>
        <v>7000</v>
      </c>
      <c r="K81" s="185"/>
      <c r="V81" s="183">
        <f t="shared" si="8"/>
        <v>1</v>
      </c>
      <c r="W81" s="183">
        <f t="shared" si="9"/>
        <v>0</v>
      </c>
    </row>
    <row r="82" spans="1:23" x14ac:dyDescent="0.3">
      <c r="A82" s="184"/>
      <c r="B82" s="194">
        <v>15</v>
      </c>
      <c r="C82" s="195">
        <v>45771</v>
      </c>
      <c r="D82" s="196" t="s">
        <v>23</v>
      </c>
      <c r="E82" s="196" t="s">
        <v>25</v>
      </c>
      <c r="F82" s="222">
        <v>5380</v>
      </c>
      <c r="G82" s="222">
        <v>5331</v>
      </c>
      <c r="H82" s="222">
        <f>5380-5331</f>
        <v>49</v>
      </c>
      <c r="I82" s="197">
        <v>100</v>
      </c>
      <c r="J82" s="268">
        <f t="shared" si="7"/>
        <v>4900</v>
      </c>
      <c r="K82" s="185"/>
      <c r="V82" s="183">
        <f t="shared" si="8"/>
        <v>1</v>
      </c>
      <c r="W82" s="183">
        <f t="shared" si="9"/>
        <v>0</v>
      </c>
    </row>
    <row r="83" spans="1:23" x14ac:dyDescent="0.3">
      <c r="A83" s="184"/>
      <c r="B83" s="194">
        <v>16</v>
      </c>
      <c r="C83" s="195">
        <v>45772</v>
      </c>
      <c r="D83" s="196" t="s">
        <v>23</v>
      </c>
      <c r="E83" s="196" t="s">
        <v>25</v>
      </c>
      <c r="F83" s="222">
        <v>5380</v>
      </c>
      <c r="G83" s="222">
        <v>5310</v>
      </c>
      <c r="H83" s="222">
        <v>70</v>
      </c>
      <c r="I83" s="197">
        <v>100</v>
      </c>
      <c r="J83" s="268">
        <f t="shared" si="7"/>
        <v>7000</v>
      </c>
      <c r="K83" s="185"/>
      <c r="V83" s="183">
        <f t="shared" si="8"/>
        <v>1</v>
      </c>
      <c r="W83" s="183">
        <f t="shared" si="9"/>
        <v>0</v>
      </c>
    </row>
    <row r="84" spans="1:23" x14ac:dyDescent="0.3">
      <c r="A84" s="184"/>
      <c r="B84" s="194">
        <v>17</v>
      </c>
      <c r="C84" s="195">
        <v>45775</v>
      </c>
      <c r="D84" s="196" t="s">
        <v>23</v>
      </c>
      <c r="E84" s="196" t="s">
        <v>25</v>
      </c>
      <c r="F84" s="222">
        <v>5395</v>
      </c>
      <c r="G84" s="274">
        <v>5365</v>
      </c>
      <c r="H84" s="274">
        <f>5395-5365</f>
        <v>30</v>
      </c>
      <c r="I84" s="197">
        <v>100</v>
      </c>
      <c r="J84" s="268">
        <f t="shared" si="7"/>
        <v>3000</v>
      </c>
      <c r="K84" s="185"/>
      <c r="V84" s="183">
        <f t="shared" si="8"/>
        <v>1</v>
      </c>
      <c r="W84" s="183">
        <f t="shared" si="9"/>
        <v>0</v>
      </c>
    </row>
    <row r="85" spans="1:23" x14ac:dyDescent="0.3">
      <c r="A85" s="184"/>
      <c r="B85" s="194">
        <v>18</v>
      </c>
      <c r="C85" s="195">
        <v>45776</v>
      </c>
      <c r="D85" s="196" t="s">
        <v>23</v>
      </c>
      <c r="E85" s="196" t="s">
        <v>25</v>
      </c>
      <c r="F85" s="222">
        <v>5250</v>
      </c>
      <c r="G85" s="222">
        <v>5208</v>
      </c>
      <c r="H85" s="274">
        <v>42</v>
      </c>
      <c r="I85" s="197">
        <v>100</v>
      </c>
      <c r="J85" s="268">
        <f t="shared" si="7"/>
        <v>4200</v>
      </c>
      <c r="K85" s="185"/>
      <c r="V85" s="183">
        <f t="shared" si="8"/>
        <v>1</v>
      </c>
      <c r="W85" s="183">
        <f t="shared" si="9"/>
        <v>0</v>
      </c>
    </row>
    <row r="86" spans="1:23" x14ac:dyDescent="0.3">
      <c r="A86" s="184"/>
      <c r="B86" s="194">
        <v>19</v>
      </c>
      <c r="C86" s="195">
        <v>45777</v>
      </c>
      <c r="D86" s="196" t="s">
        <v>16</v>
      </c>
      <c r="E86" s="196" t="s">
        <v>25</v>
      </c>
      <c r="F86" s="222">
        <v>5045</v>
      </c>
      <c r="G86" s="222">
        <v>5075</v>
      </c>
      <c r="H86" s="274">
        <f>5075-5045</f>
        <v>30</v>
      </c>
      <c r="I86" s="197">
        <v>100</v>
      </c>
      <c r="J86" s="268">
        <f t="shared" si="7"/>
        <v>3000</v>
      </c>
      <c r="K86" s="185"/>
      <c r="V86" s="183">
        <f t="shared" si="8"/>
        <v>1</v>
      </c>
      <c r="W86" s="183">
        <f t="shared" si="9"/>
        <v>0</v>
      </c>
    </row>
    <row r="87" spans="1:23" hidden="1" x14ac:dyDescent="0.3">
      <c r="A87" s="184"/>
      <c r="B87" s="194">
        <v>20</v>
      </c>
      <c r="C87" s="195"/>
      <c r="D87" s="196"/>
      <c r="E87" s="196"/>
      <c r="F87" s="222"/>
      <c r="G87" s="222"/>
      <c r="H87" s="274"/>
      <c r="I87" s="197"/>
      <c r="J87" s="268">
        <f t="shared" si="7"/>
        <v>0</v>
      </c>
      <c r="K87" s="185"/>
      <c r="V87" s="183">
        <f t="shared" si="8"/>
        <v>0</v>
      </c>
      <c r="W87" s="183">
        <f t="shared" si="9"/>
        <v>0</v>
      </c>
    </row>
    <row r="88" spans="1:23" hidden="1" x14ac:dyDescent="0.3">
      <c r="A88" s="184"/>
      <c r="B88" s="194">
        <v>21</v>
      </c>
      <c r="C88" s="195"/>
      <c r="D88" s="196"/>
      <c r="E88" s="196"/>
      <c r="F88" s="222"/>
      <c r="G88" s="222"/>
      <c r="H88" s="274"/>
      <c r="I88" s="197"/>
      <c r="J88" s="268">
        <f t="shared" si="7"/>
        <v>0</v>
      </c>
      <c r="K88" s="185"/>
      <c r="V88" s="183">
        <f t="shared" si="8"/>
        <v>0</v>
      </c>
      <c r="W88" s="183">
        <f t="shared" si="9"/>
        <v>0</v>
      </c>
    </row>
    <row r="89" spans="1:23" hidden="1" x14ac:dyDescent="0.3">
      <c r="A89" s="184"/>
      <c r="B89" s="194">
        <v>22</v>
      </c>
      <c r="C89" s="195"/>
      <c r="D89" s="196"/>
      <c r="E89" s="196"/>
      <c r="F89" s="222"/>
      <c r="G89" s="222"/>
      <c r="H89" s="274"/>
      <c r="I89" s="197"/>
      <c r="J89" s="268">
        <f t="shared" si="7"/>
        <v>0</v>
      </c>
      <c r="K89" s="185"/>
      <c r="V89" s="183">
        <f t="shared" si="8"/>
        <v>0</v>
      </c>
      <c r="W89" s="183">
        <f t="shared" si="9"/>
        <v>0</v>
      </c>
    </row>
    <row r="90" spans="1:23" hidden="1" x14ac:dyDescent="0.3">
      <c r="A90" s="184"/>
      <c r="B90" s="194">
        <v>23</v>
      </c>
      <c r="C90" s="195"/>
      <c r="D90" s="196"/>
      <c r="E90" s="196"/>
      <c r="F90" s="222"/>
      <c r="G90" s="222"/>
      <c r="H90" s="274"/>
      <c r="I90" s="197"/>
      <c r="J90" s="268">
        <f t="shared" si="7"/>
        <v>0</v>
      </c>
      <c r="K90" s="185"/>
      <c r="V90" s="183">
        <f t="shared" si="8"/>
        <v>0</v>
      </c>
      <c r="W90" s="183">
        <f t="shared" si="9"/>
        <v>0</v>
      </c>
    </row>
    <row r="91" spans="1:23" ht="24" thickBot="1" x14ac:dyDescent="0.5">
      <c r="A91" s="184"/>
      <c r="B91" s="373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84400</v>
      </c>
      <c r="K91" s="185"/>
      <c r="V91" s="183">
        <f>SUM(V68:V90)</f>
        <v>18</v>
      </c>
      <c r="W91" s="183">
        <f>SUM(W68:W90)</f>
        <v>1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  <c r="L92" s="183" t="s">
        <v>926</v>
      </c>
    </row>
    <row r="93" spans="1:23" ht="15" thickBot="1" x14ac:dyDescent="0.35"/>
    <row r="94" spans="1:23" ht="30" customHeight="1" thickBot="1" x14ac:dyDescent="0.35">
      <c r="A94" s="180"/>
      <c r="B94" s="181"/>
      <c r="C94" s="181"/>
      <c r="D94" s="181"/>
      <c r="E94" s="181"/>
      <c r="F94" s="181"/>
      <c r="G94" s="181"/>
      <c r="H94" s="259"/>
      <c r="I94" s="181"/>
      <c r="J94" s="259"/>
      <c r="K94" s="182"/>
    </row>
    <row r="95" spans="1:23" ht="25.2" thickBot="1" x14ac:dyDescent="0.35">
      <c r="A95" s="184" t="s">
        <v>0</v>
      </c>
      <c r="B95" s="307" t="s">
        <v>873</v>
      </c>
      <c r="C95" s="308"/>
      <c r="D95" s="308"/>
      <c r="E95" s="308"/>
      <c r="F95" s="308"/>
      <c r="G95" s="308"/>
      <c r="H95" s="308"/>
      <c r="I95" s="308"/>
      <c r="J95" s="309"/>
      <c r="K95" s="185"/>
    </row>
    <row r="96" spans="1:23" ht="16.2" thickBot="1" x14ac:dyDescent="0.35">
      <c r="A96" s="184"/>
      <c r="B96" s="310">
        <v>45748</v>
      </c>
      <c r="C96" s="311"/>
      <c r="D96" s="311"/>
      <c r="E96" s="311"/>
      <c r="F96" s="311"/>
      <c r="G96" s="311"/>
      <c r="H96" s="311"/>
      <c r="I96" s="311"/>
      <c r="J96" s="312"/>
      <c r="K96" s="185"/>
    </row>
    <row r="97" spans="1:23" ht="16.2" thickBot="1" x14ac:dyDescent="0.35">
      <c r="A97" s="184"/>
      <c r="B97" s="313" t="s">
        <v>905</v>
      </c>
      <c r="C97" s="314"/>
      <c r="D97" s="314"/>
      <c r="E97" s="314"/>
      <c r="F97" s="314"/>
      <c r="G97" s="314"/>
      <c r="H97" s="314"/>
      <c r="I97" s="314"/>
      <c r="J97" s="315"/>
      <c r="K97" s="185"/>
    </row>
    <row r="98" spans="1:23" ht="15" thickBot="1" x14ac:dyDescent="0.35">
      <c r="A98" s="208"/>
      <c r="B98" s="186" t="s">
        <v>876</v>
      </c>
      <c r="C98" s="187" t="s">
        <v>1</v>
      </c>
      <c r="D98" s="188" t="s">
        <v>2</v>
      </c>
      <c r="E98" s="188" t="s">
        <v>3</v>
      </c>
      <c r="F98" s="189" t="s">
        <v>4</v>
      </c>
      <c r="G98" s="189" t="s">
        <v>5</v>
      </c>
      <c r="H98" s="260" t="s">
        <v>720</v>
      </c>
      <c r="I98" s="189" t="s">
        <v>1017</v>
      </c>
      <c r="J98" s="266" t="s">
        <v>7</v>
      </c>
      <c r="K98" s="209"/>
      <c r="L98" s="198"/>
      <c r="V98" s="183" t="s">
        <v>254</v>
      </c>
      <c r="W98" s="183" t="s">
        <v>255</v>
      </c>
    </row>
    <row r="99" spans="1:23" x14ac:dyDescent="0.3">
      <c r="A99" s="184"/>
      <c r="B99" s="214">
        <v>1</v>
      </c>
      <c r="C99" s="215">
        <v>45748</v>
      </c>
      <c r="D99" s="216" t="s">
        <v>16</v>
      </c>
      <c r="E99" s="256" t="s">
        <v>908</v>
      </c>
      <c r="F99" s="256">
        <v>180</v>
      </c>
      <c r="G99" s="256">
        <v>160</v>
      </c>
      <c r="H99" s="256">
        <v>-20</v>
      </c>
      <c r="I99" s="218">
        <v>100</v>
      </c>
      <c r="J99" s="273">
        <f>I99*H99</f>
        <v>-2000</v>
      </c>
      <c r="K99" s="185"/>
      <c r="V99" s="183">
        <f>IF($J99&gt;0,1,0)</f>
        <v>0</v>
      </c>
      <c r="W99" s="183">
        <f>IF($J99&lt;0,1,0)</f>
        <v>1</v>
      </c>
    </row>
    <row r="100" spans="1:23" x14ac:dyDescent="0.3">
      <c r="A100" s="184"/>
      <c r="B100" s="194">
        <v>2</v>
      </c>
      <c r="C100" s="195">
        <v>45749</v>
      </c>
      <c r="D100" s="196" t="s">
        <v>16</v>
      </c>
      <c r="E100" s="222" t="s">
        <v>908</v>
      </c>
      <c r="F100" s="222">
        <v>205</v>
      </c>
      <c r="G100" s="222">
        <v>225</v>
      </c>
      <c r="H100" s="222">
        <v>20</v>
      </c>
      <c r="I100" s="218">
        <v>100</v>
      </c>
      <c r="J100" s="268">
        <f t="shared" ref="J100:J119" si="10">I100*H100</f>
        <v>2000</v>
      </c>
      <c r="K100" s="185"/>
      <c r="V100" s="183">
        <f t="shared" ref="V100:V121" si="11">IF($J100&gt;0,1,0)</f>
        <v>1</v>
      </c>
      <c r="W100" s="183">
        <f t="shared" ref="W100:W121" si="12">IF($J100&lt;0,1,0)</f>
        <v>0</v>
      </c>
    </row>
    <row r="101" spans="1:23" x14ac:dyDescent="0.3">
      <c r="A101" s="184"/>
      <c r="B101" s="194">
        <v>3</v>
      </c>
      <c r="C101" s="195">
        <v>45750</v>
      </c>
      <c r="D101" s="196" t="s">
        <v>16</v>
      </c>
      <c r="E101" s="222" t="s">
        <v>916</v>
      </c>
      <c r="F101" s="222">
        <v>165</v>
      </c>
      <c r="G101" s="222">
        <v>205</v>
      </c>
      <c r="H101" s="222">
        <f>205-165</f>
        <v>40</v>
      </c>
      <c r="I101" s="218">
        <v>100</v>
      </c>
      <c r="J101" s="268">
        <f t="shared" si="10"/>
        <v>4000</v>
      </c>
      <c r="K101" s="185"/>
      <c r="M101" s="183" t="s">
        <v>870</v>
      </c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4</v>
      </c>
      <c r="C102" s="195">
        <v>45751</v>
      </c>
      <c r="D102" s="196" t="s">
        <v>16</v>
      </c>
      <c r="E102" s="222" t="s">
        <v>917</v>
      </c>
      <c r="F102" s="222">
        <v>215</v>
      </c>
      <c r="G102" s="222">
        <v>230</v>
      </c>
      <c r="H102" s="222">
        <v>15</v>
      </c>
      <c r="I102" s="218">
        <v>100</v>
      </c>
      <c r="J102" s="268">
        <f t="shared" si="10"/>
        <v>1500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5</v>
      </c>
      <c r="C103" s="195">
        <v>45754</v>
      </c>
      <c r="D103" s="196" t="s">
        <v>16</v>
      </c>
      <c r="E103" s="222" t="s">
        <v>1044</v>
      </c>
      <c r="F103" s="222">
        <v>215</v>
      </c>
      <c r="G103" s="222">
        <v>226</v>
      </c>
      <c r="H103" s="222">
        <f>226-215</f>
        <v>11</v>
      </c>
      <c r="I103" s="218">
        <v>100</v>
      </c>
      <c r="J103" s="268">
        <f t="shared" si="10"/>
        <v>1100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6</v>
      </c>
      <c r="C104" s="195">
        <v>45755</v>
      </c>
      <c r="D104" s="196" t="s">
        <v>16</v>
      </c>
      <c r="E104" s="222" t="s">
        <v>1045</v>
      </c>
      <c r="F104" s="222">
        <v>170</v>
      </c>
      <c r="G104" s="222">
        <v>150</v>
      </c>
      <c r="H104" s="222">
        <v>-20</v>
      </c>
      <c r="I104" s="218">
        <v>100</v>
      </c>
      <c r="J104" s="268">
        <f t="shared" si="10"/>
        <v>-2000</v>
      </c>
      <c r="K104" s="185"/>
      <c r="V104" s="183">
        <f t="shared" si="11"/>
        <v>0</v>
      </c>
      <c r="W104" s="183">
        <f t="shared" si="12"/>
        <v>1</v>
      </c>
    </row>
    <row r="105" spans="1:23" x14ac:dyDescent="0.3">
      <c r="A105" s="184"/>
      <c r="B105" s="194">
        <v>7</v>
      </c>
      <c r="C105" s="195">
        <v>45756</v>
      </c>
      <c r="D105" s="196" t="s">
        <v>16</v>
      </c>
      <c r="E105" s="222" t="s">
        <v>1044</v>
      </c>
      <c r="F105" s="222">
        <v>250</v>
      </c>
      <c r="G105" s="222">
        <v>290</v>
      </c>
      <c r="H105" s="274">
        <v>40</v>
      </c>
      <c r="I105" s="218">
        <v>100</v>
      </c>
      <c r="J105" s="268">
        <f t="shared" si="10"/>
        <v>4000</v>
      </c>
      <c r="K105" s="185"/>
      <c r="M105" s="183" t="s">
        <v>942</v>
      </c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8</v>
      </c>
      <c r="C106" s="195">
        <v>45758</v>
      </c>
      <c r="D106" s="196" t="s">
        <v>16</v>
      </c>
      <c r="E106" s="222" t="s">
        <v>1046</v>
      </c>
      <c r="F106" s="222">
        <v>175</v>
      </c>
      <c r="G106" s="222">
        <v>215</v>
      </c>
      <c r="H106" s="222">
        <f>215-175</f>
        <v>40</v>
      </c>
      <c r="I106" s="218">
        <v>100</v>
      </c>
      <c r="J106" s="268">
        <f t="shared" si="10"/>
        <v>4000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9</v>
      </c>
      <c r="C107" s="195">
        <v>45762</v>
      </c>
      <c r="D107" s="196" t="s">
        <v>16</v>
      </c>
      <c r="E107" s="222" t="s">
        <v>1045</v>
      </c>
      <c r="F107" s="222">
        <v>205</v>
      </c>
      <c r="G107" s="222">
        <v>245</v>
      </c>
      <c r="H107" s="222">
        <f>245-205</f>
        <v>40</v>
      </c>
      <c r="I107" s="218">
        <v>100</v>
      </c>
      <c r="J107" s="268">
        <f t="shared" si="10"/>
        <v>4000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10</v>
      </c>
      <c r="C108" s="195">
        <v>45763</v>
      </c>
      <c r="D108" s="196" t="s">
        <v>16</v>
      </c>
      <c r="E108" s="222" t="s">
        <v>1051</v>
      </c>
      <c r="F108" s="222">
        <v>210</v>
      </c>
      <c r="G108" s="222">
        <v>250</v>
      </c>
      <c r="H108" s="222">
        <v>40</v>
      </c>
      <c r="I108" s="218">
        <v>100</v>
      </c>
      <c r="J108" s="268">
        <f t="shared" si="10"/>
        <v>4000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11</v>
      </c>
      <c r="C109" s="195">
        <v>45764</v>
      </c>
      <c r="D109" s="196" t="s">
        <v>16</v>
      </c>
      <c r="E109" s="222" t="s">
        <v>1046</v>
      </c>
      <c r="F109" s="222">
        <v>195</v>
      </c>
      <c r="G109" s="222">
        <v>203</v>
      </c>
      <c r="H109" s="274">
        <f>203-195</f>
        <v>8</v>
      </c>
      <c r="I109" s="218">
        <v>100</v>
      </c>
      <c r="J109" s="268">
        <f t="shared" si="10"/>
        <v>800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12</v>
      </c>
      <c r="C110" s="195">
        <v>45768</v>
      </c>
      <c r="D110" s="196" t="s">
        <v>16</v>
      </c>
      <c r="E110" s="222" t="s">
        <v>1046</v>
      </c>
      <c r="F110" s="222">
        <v>190</v>
      </c>
      <c r="G110" s="222">
        <v>230</v>
      </c>
      <c r="H110" s="274">
        <f>230-190</f>
        <v>40</v>
      </c>
      <c r="I110" s="218">
        <v>100</v>
      </c>
      <c r="J110" s="268">
        <f t="shared" si="10"/>
        <v>4000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13</v>
      </c>
      <c r="C111" s="195">
        <v>45769</v>
      </c>
      <c r="D111" s="196" t="s">
        <v>16</v>
      </c>
      <c r="E111" s="222" t="s">
        <v>1046</v>
      </c>
      <c r="F111" s="222">
        <v>165</v>
      </c>
      <c r="G111" s="222">
        <v>178</v>
      </c>
      <c r="H111" s="274">
        <f>178-165</f>
        <v>13</v>
      </c>
      <c r="I111" s="218">
        <v>100</v>
      </c>
      <c r="J111" s="268">
        <f t="shared" si="10"/>
        <v>1300</v>
      </c>
      <c r="K111" s="185"/>
      <c r="V111" s="183">
        <f t="shared" si="11"/>
        <v>1</v>
      </c>
      <c r="W111" s="183">
        <f t="shared" si="12"/>
        <v>0</v>
      </c>
    </row>
    <row r="112" spans="1:23" x14ac:dyDescent="0.3">
      <c r="A112" s="184"/>
      <c r="B112" s="194">
        <v>14</v>
      </c>
      <c r="C112" s="195">
        <v>45770</v>
      </c>
      <c r="D112" s="196" t="s">
        <v>16</v>
      </c>
      <c r="E112" s="222" t="s">
        <v>1052</v>
      </c>
      <c r="F112" s="222">
        <v>185</v>
      </c>
      <c r="G112" s="222">
        <v>225</v>
      </c>
      <c r="H112" s="274">
        <f>225-185</f>
        <v>40</v>
      </c>
      <c r="I112" s="218">
        <v>100</v>
      </c>
      <c r="J112" s="268">
        <f t="shared" si="10"/>
        <v>4000</v>
      </c>
      <c r="K112" s="185"/>
      <c r="V112" s="183">
        <f t="shared" si="11"/>
        <v>1</v>
      </c>
      <c r="W112" s="183">
        <f t="shared" si="12"/>
        <v>0</v>
      </c>
    </row>
    <row r="113" spans="1:23" x14ac:dyDescent="0.3">
      <c r="A113" s="184"/>
      <c r="B113" s="194">
        <v>15</v>
      </c>
      <c r="C113" s="195">
        <v>45771</v>
      </c>
      <c r="D113" s="196" t="s">
        <v>16</v>
      </c>
      <c r="E113" s="196" t="s">
        <v>918</v>
      </c>
      <c r="F113" s="222">
        <v>230</v>
      </c>
      <c r="G113" s="222">
        <v>250</v>
      </c>
      <c r="H113" s="222">
        <v>20</v>
      </c>
      <c r="I113" s="218">
        <v>100</v>
      </c>
      <c r="J113" s="268">
        <f t="shared" si="10"/>
        <v>2000</v>
      </c>
      <c r="K113" s="185"/>
      <c r="V113" s="183">
        <f t="shared" si="11"/>
        <v>1</v>
      </c>
      <c r="W113" s="183">
        <f t="shared" si="12"/>
        <v>0</v>
      </c>
    </row>
    <row r="114" spans="1:23" x14ac:dyDescent="0.3">
      <c r="A114" s="184"/>
      <c r="B114" s="194">
        <v>16</v>
      </c>
      <c r="C114" s="195">
        <v>45772</v>
      </c>
      <c r="D114" s="196" t="s">
        <v>16</v>
      </c>
      <c r="E114" s="196" t="s">
        <v>1046</v>
      </c>
      <c r="F114" s="222">
        <v>185</v>
      </c>
      <c r="G114" s="274">
        <v>225</v>
      </c>
      <c r="H114" s="274">
        <f>225-185</f>
        <v>40</v>
      </c>
      <c r="I114" s="218">
        <v>100</v>
      </c>
      <c r="J114" s="268">
        <f t="shared" si="10"/>
        <v>4000</v>
      </c>
      <c r="K114" s="185"/>
      <c r="V114" s="183">
        <f t="shared" si="11"/>
        <v>1</v>
      </c>
      <c r="W114" s="183">
        <f t="shared" si="12"/>
        <v>0</v>
      </c>
    </row>
    <row r="115" spans="1:23" x14ac:dyDescent="0.3">
      <c r="A115" s="184"/>
      <c r="B115" s="194">
        <v>17</v>
      </c>
      <c r="C115" s="195">
        <v>45775</v>
      </c>
      <c r="D115" s="196" t="s">
        <v>16</v>
      </c>
      <c r="E115" s="196" t="s">
        <v>1046</v>
      </c>
      <c r="F115" s="222">
        <v>160</v>
      </c>
      <c r="G115" s="222">
        <v>174.5</v>
      </c>
      <c r="H115" s="222">
        <v>14.5</v>
      </c>
      <c r="I115" s="218">
        <v>100</v>
      </c>
      <c r="J115" s="268">
        <f t="shared" si="10"/>
        <v>1450</v>
      </c>
      <c r="K115" s="185"/>
      <c r="V115" s="183">
        <f t="shared" si="11"/>
        <v>1</v>
      </c>
      <c r="W115" s="183">
        <f t="shared" si="12"/>
        <v>0</v>
      </c>
    </row>
    <row r="116" spans="1:23" x14ac:dyDescent="0.3">
      <c r="A116" s="184"/>
      <c r="B116" s="194">
        <v>18</v>
      </c>
      <c r="C116" s="195">
        <v>45776</v>
      </c>
      <c r="D116" s="196" t="s">
        <v>16</v>
      </c>
      <c r="E116" s="196" t="s">
        <v>1045</v>
      </c>
      <c r="F116" s="222">
        <v>180</v>
      </c>
      <c r="G116" s="222">
        <v>200</v>
      </c>
      <c r="H116" s="274">
        <v>20</v>
      </c>
      <c r="I116" s="218">
        <v>100</v>
      </c>
      <c r="J116" s="268">
        <f t="shared" si="10"/>
        <v>2000</v>
      </c>
      <c r="K116" s="185"/>
      <c r="V116" s="183">
        <f t="shared" si="11"/>
        <v>1</v>
      </c>
      <c r="W116" s="183">
        <f t="shared" si="12"/>
        <v>0</v>
      </c>
    </row>
    <row r="117" spans="1:23" ht="15" thickBot="1" x14ac:dyDescent="0.35">
      <c r="A117" s="184"/>
      <c r="B117" s="194">
        <v>19</v>
      </c>
      <c r="C117" s="195">
        <v>45777</v>
      </c>
      <c r="D117" s="196" t="s">
        <v>16</v>
      </c>
      <c r="E117" s="196" t="s">
        <v>1058</v>
      </c>
      <c r="F117" s="222">
        <v>190</v>
      </c>
      <c r="G117" s="222">
        <v>203</v>
      </c>
      <c r="H117" s="274">
        <f>203-190</f>
        <v>13</v>
      </c>
      <c r="I117" s="218">
        <v>100</v>
      </c>
      <c r="J117" s="268">
        <f t="shared" si="10"/>
        <v>1300</v>
      </c>
      <c r="K117" s="185"/>
      <c r="V117" s="183">
        <f t="shared" si="11"/>
        <v>1</v>
      </c>
      <c r="W117" s="183">
        <f t="shared" si="12"/>
        <v>0</v>
      </c>
    </row>
    <row r="118" spans="1:23" ht="15" hidden="1" thickBot="1" x14ac:dyDescent="0.35">
      <c r="A118" s="184"/>
      <c r="B118" s="194">
        <v>20</v>
      </c>
      <c r="C118" s="195"/>
      <c r="D118" s="196"/>
      <c r="E118" s="222"/>
      <c r="F118" s="222"/>
      <c r="G118" s="222"/>
      <c r="H118" s="274"/>
      <c r="I118" s="218"/>
      <c r="J118" s="268">
        <f t="shared" si="10"/>
        <v>0</v>
      </c>
      <c r="K118" s="185"/>
      <c r="V118" s="183">
        <f t="shared" si="11"/>
        <v>0</v>
      </c>
      <c r="W118" s="183">
        <f t="shared" si="12"/>
        <v>0</v>
      </c>
    </row>
    <row r="119" spans="1:23" ht="15" hidden="1" thickBot="1" x14ac:dyDescent="0.35">
      <c r="A119" s="184"/>
      <c r="B119" s="194">
        <v>21</v>
      </c>
      <c r="C119" s="195"/>
      <c r="D119" s="196"/>
      <c r="E119" s="222"/>
      <c r="F119" s="222"/>
      <c r="G119" s="222"/>
      <c r="H119" s="274"/>
      <c r="I119" s="218"/>
      <c r="J119" s="268">
        <f t="shared" si="10"/>
        <v>0</v>
      </c>
      <c r="K119" s="185"/>
      <c r="V119" s="183">
        <f t="shared" si="11"/>
        <v>0</v>
      </c>
      <c r="W119" s="183">
        <f t="shared" si="12"/>
        <v>0</v>
      </c>
    </row>
    <row r="120" spans="1:23" ht="15" hidden="1" thickBot="1" x14ac:dyDescent="0.35">
      <c r="A120" s="184"/>
      <c r="B120" s="194">
        <v>22</v>
      </c>
      <c r="C120" s="195"/>
      <c r="D120" s="196"/>
      <c r="E120" s="222"/>
      <c r="F120" s="222"/>
      <c r="G120" s="222"/>
      <c r="H120" s="222"/>
      <c r="I120" s="218"/>
      <c r="J120" s="268">
        <f>I120*H120</f>
        <v>0</v>
      </c>
      <c r="K120" s="185"/>
      <c r="V120" s="183">
        <f t="shared" si="11"/>
        <v>0</v>
      </c>
      <c r="W120" s="183">
        <f t="shared" si="12"/>
        <v>0</v>
      </c>
    </row>
    <row r="121" spans="1:23" ht="15" hidden="1" thickBot="1" x14ac:dyDescent="0.35">
      <c r="A121" s="184"/>
      <c r="B121" s="199">
        <v>23</v>
      </c>
      <c r="C121" s="200"/>
      <c r="D121" s="201"/>
      <c r="E121" s="201"/>
      <c r="F121" s="284"/>
      <c r="G121" s="284"/>
      <c r="H121" s="284"/>
      <c r="I121" s="285"/>
      <c r="J121" s="269">
        <f>I121*H121</f>
        <v>0</v>
      </c>
      <c r="K121" s="185"/>
      <c r="V121" s="183">
        <f t="shared" si="11"/>
        <v>0</v>
      </c>
      <c r="W121" s="183">
        <f t="shared" si="12"/>
        <v>0</v>
      </c>
    </row>
    <row r="122" spans="1:23" ht="24" thickBot="1" x14ac:dyDescent="0.5">
      <c r="A122" s="184"/>
      <c r="B122" s="304" t="s">
        <v>879</v>
      </c>
      <c r="C122" s="305"/>
      <c r="D122" s="305"/>
      <c r="E122" s="305"/>
      <c r="F122" s="305"/>
      <c r="G122" s="305"/>
      <c r="H122" s="306"/>
      <c r="I122" s="203" t="s">
        <v>880</v>
      </c>
      <c r="J122" s="204">
        <f>SUM(J99:J121)</f>
        <v>41450</v>
      </c>
      <c r="K122" s="185"/>
      <c r="V122" s="183">
        <f>SUM(V99:V121)</f>
        <v>17</v>
      </c>
      <c r="W122" s="183">
        <f>SUM(W99:W121)</f>
        <v>2</v>
      </c>
    </row>
    <row r="123" spans="1:23" ht="30" customHeight="1" thickBot="1" x14ac:dyDescent="0.35">
      <c r="A123" s="205"/>
      <c r="B123" s="286"/>
      <c r="C123" s="286"/>
      <c r="D123" s="286"/>
      <c r="E123" s="286"/>
      <c r="F123" s="286"/>
      <c r="G123" s="286"/>
      <c r="H123" s="287"/>
      <c r="I123" s="286"/>
      <c r="J123" s="287"/>
      <c r="K123" s="207"/>
    </row>
    <row r="124" spans="1:23" ht="15" thickBot="1" x14ac:dyDescent="0.35"/>
    <row r="125" spans="1:23" ht="15" thickBot="1" x14ac:dyDescent="0.35">
      <c r="A125" s="180"/>
      <c r="B125" s="181"/>
      <c r="C125" s="181"/>
      <c r="D125" s="181"/>
      <c r="E125" s="181"/>
      <c r="F125" s="181"/>
      <c r="G125" s="181"/>
      <c r="H125" s="259"/>
      <c r="I125" s="181"/>
      <c r="J125" s="259"/>
      <c r="K125" s="182"/>
    </row>
    <row r="126" spans="1:23" ht="25.2" thickBot="1" x14ac:dyDescent="0.35">
      <c r="A126" s="184" t="s">
        <v>0</v>
      </c>
      <c r="B126" s="307" t="s">
        <v>873</v>
      </c>
      <c r="C126" s="308"/>
      <c r="D126" s="308"/>
      <c r="E126" s="308"/>
      <c r="F126" s="308"/>
      <c r="G126" s="308"/>
      <c r="H126" s="308"/>
      <c r="I126" s="308"/>
      <c r="J126" s="309"/>
      <c r="K126" s="185"/>
    </row>
    <row r="127" spans="1:23" ht="16.2" thickBot="1" x14ac:dyDescent="0.35">
      <c r="A127" s="184"/>
      <c r="B127" s="310">
        <v>45748</v>
      </c>
      <c r="C127" s="311"/>
      <c r="D127" s="311"/>
      <c r="E127" s="311"/>
      <c r="F127" s="311"/>
      <c r="G127" s="311"/>
      <c r="H127" s="311"/>
      <c r="I127" s="311"/>
      <c r="J127" s="312"/>
      <c r="K127" s="185"/>
    </row>
    <row r="128" spans="1:23" ht="16.2" thickBot="1" x14ac:dyDescent="0.35">
      <c r="A128" s="184"/>
      <c r="B128" s="313" t="s">
        <v>995</v>
      </c>
      <c r="C128" s="314"/>
      <c r="D128" s="314"/>
      <c r="E128" s="314"/>
      <c r="F128" s="314"/>
      <c r="G128" s="314"/>
      <c r="H128" s="314"/>
      <c r="I128" s="314"/>
      <c r="J128" s="315"/>
      <c r="K128" s="185"/>
    </row>
    <row r="129" spans="1:23" ht="15" thickBot="1" x14ac:dyDescent="0.35">
      <c r="A129" s="208"/>
      <c r="B129" s="186" t="s">
        <v>876</v>
      </c>
      <c r="C129" s="187" t="s">
        <v>1</v>
      </c>
      <c r="D129" s="188" t="s">
        <v>2</v>
      </c>
      <c r="E129" s="188" t="s">
        <v>3</v>
      </c>
      <c r="F129" s="189" t="s">
        <v>4</v>
      </c>
      <c r="G129" s="189" t="s">
        <v>5</v>
      </c>
      <c r="H129" s="260" t="s">
        <v>720</v>
      </c>
      <c r="I129" s="189" t="s">
        <v>1017</v>
      </c>
      <c r="J129" s="266" t="s">
        <v>7</v>
      </c>
      <c r="K129" s="209"/>
    </row>
    <row r="130" spans="1:23" x14ac:dyDescent="0.3">
      <c r="A130" s="184"/>
      <c r="B130" s="214">
        <v>1</v>
      </c>
      <c r="C130" s="215">
        <v>45748</v>
      </c>
      <c r="D130" s="216" t="s">
        <v>16</v>
      </c>
      <c r="E130" s="256" t="s">
        <v>1019</v>
      </c>
      <c r="F130" s="256">
        <v>18.5</v>
      </c>
      <c r="G130" s="256">
        <v>23</v>
      </c>
      <c r="H130" s="256">
        <f>23-18.5</f>
        <v>4.5</v>
      </c>
      <c r="I130" s="218">
        <v>2500</v>
      </c>
      <c r="J130" s="273">
        <f>I130*H130</f>
        <v>11250</v>
      </c>
      <c r="K130" s="185"/>
      <c r="V130" s="183">
        <f t="shared" ref="V130:V152" si="13">IF($J130&gt;0,1,0)</f>
        <v>1</v>
      </c>
      <c r="W130" s="183">
        <f t="shared" ref="W130:W152" si="14">IF($J130&lt;0,1,0)</f>
        <v>0</v>
      </c>
    </row>
    <row r="131" spans="1:23" x14ac:dyDescent="0.3">
      <c r="A131" s="184"/>
      <c r="B131" s="194">
        <v>2</v>
      </c>
      <c r="C131" s="195">
        <v>45749</v>
      </c>
      <c r="D131" s="196" t="s">
        <v>16</v>
      </c>
      <c r="E131" s="222" t="s">
        <v>1041</v>
      </c>
      <c r="F131" s="222">
        <v>17</v>
      </c>
      <c r="G131" s="222">
        <v>14</v>
      </c>
      <c r="H131" s="222">
        <v>-3</v>
      </c>
      <c r="I131" s="218">
        <v>2500</v>
      </c>
      <c r="J131" s="268">
        <f t="shared" ref="J131:J150" si="15">I131*H131</f>
        <v>-7500</v>
      </c>
      <c r="K131" s="185"/>
      <c r="V131" s="183">
        <f t="shared" si="13"/>
        <v>0</v>
      </c>
      <c r="W131" s="183">
        <f t="shared" si="14"/>
        <v>1</v>
      </c>
    </row>
    <row r="132" spans="1:23" x14ac:dyDescent="0.3">
      <c r="A132" s="184"/>
      <c r="B132" s="194">
        <v>3</v>
      </c>
      <c r="C132" s="195">
        <v>45750</v>
      </c>
      <c r="D132" s="196" t="s">
        <v>16</v>
      </c>
      <c r="E132" s="222" t="s">
        <v>1025</v>
      </c>
      <c r="F132" s="222">
        <v>17</v>
      </c>
      <c r="G132" s="222">
        <v>14</v>
      </c>
      <c r="H132" s="222">
        <v>-3</v>
      </c>
      <c r="I132" s="218">
        <v>2500</v>
      </c>
      <c r="J132" s="268">
        <f t="shared" si="15"/>
        <v>-7500</v>
      </c>
      <c r="K132" s="185"/>
      <c r="V132" s="183">
        <f t="shared" si="13"/>
        <v>0</v>
      </c>
      <c r="W132" s="183">
        <f t="shared" si="14"/>
        <v>1</v>
      </c>
    </row>
    <row r="133" spans="1:23" x14ac:dyDescent="0.3">
      <c r="A133" s="184"/>
      <c r="B133" s="194">
        <v>4</v>
      </c>
      <c r="C133" s="195">
        <v>45751</v>
      </c>
      <c r="D133" s="196" t="s">
        <v>16</v>
      </c>
      <c r="E133" s="222" t="s">
        <v>1025</v>
      </c>
      <c r="F133" s="222">
        <v>15</v>
      </c>
      <c r="G133" s="222">
        <v>20</v>
      </c>
      <c r="H133" s="222">
        <v>5</v>
      </c>
      <c r="I133" s="218">
        <v>2500</v>
      </c>
      <c r="J133" s="268">
        <f t="shared" si="15"/>
        <v>12500</v>
      </c>
      <c r="K133" s="185"/>
      <c r="V133" s="183">
        <f t="shared" si="13"/>
        <v>1</v>
      </c>
      <c r="W133" s="183">
        <f t="shared" si="14"/>
        <v>0</v>
      </c>
    </row>
    <row r="134" spans="1:23" x14ac:dyDescent="0.3">
      <c r="A134" s="184"/>
      <c r="B134" s="194">
        <v>5</v>
      </c>
      <c r="C134" s="195">
        <v>45754</v>
      </c>
      <c r="D134" s="196" t="s">
        <v>16</v>
      </c>
      <c r="E134" s="222" t="s">
        <v>1016</v>
      </c>
      <c r="F134" s="222">
        <v>18</v>
      </c>
      <c r="G134" s="222">
        <v>20</v>
      </c>
      <c r="H134" s="222">
        <v>2</v>
      </c>
      <c r="I134" s="218">
        <v>2500</v>
      </c>
      <c r="J134" s="268">
        <f t="shared" si="15"/>
        <v>5000</v>
      </c>
      <c r="K134" s="185"/>
      <c r="V134" s="183">
        <f t="shared" si="13"/>
        <v>1</v>
      </c>
      <c r="W134" s="183">
        <f t="shared" si="14"/>
        <v>0</v>
      </c>
    </row>
    <row r="135" spans="1:23" x14ac:dyDescent="0.3">
      <c r="A135" s="184"/>
      <c r="B135" s="194">
        <v>6</v>
      </c>
      <c r="C135" s="195">
        <v>45755</v>
      </c>
      <c r="D135" s="196" t="s">
        <v>16</v>
      </c>
      <c r="E135" s="222" t="s">
        <v>1015</v>
      </c>
      <c r="F135" s="222">
        <v>20</v>
      </c>
      <c r="G135" s="222">
        <v>21.3</v>
      </c>
      <c r="H135" s="222">
        <v>1.3</v>
      </c>
      <c r="I135" s="218">
        <v>2500</v>
      </c>
      <c r="J135" s="268">
        <f t="shared" si="15"/>
        <v>3250</v>
      </c>
      <c r="K135" s="185"/>
      <c r="V135" s="183">
        <f t="shared" si="13"/>
        <v>1</v>
      </c>
      <c r="W135" s="183">
        <f t="shared" si="14"/>
        <v>0</v>
      </c>
    </row>
    <row r="136" spans="1:23" x14ac:dyDescent="0.3">
      <c r="A136" s="184"/>
      <c r="B136" s="194">
        <v>7</v>
      </c>
      <c r="C136" s="195">
        <v>45758</v>
      </c>
      <c r="D136" s="196" t="s">
        <v>16</v>
      </c>
      <c r="E136" s="222" t="s">
        <v>1047</v>
      </c>
      <c r="F136" s="222">
        <v>17.5</v>
      </c>
      <c r="G136" s="222">
        <v>24.2</v>
      </c>
      <c r="H136" s="274">
        <f>24.2-17.5</f>
        <v>6.6999999999999993</v>
      </c>
      <c r="I136" s="218">
        <v>2500</v>
      </c>
      <c r="J136" s="268">
        <f t="shared" si="15"/>
        <v>16750</v>
      </c>
      <c r="K136" s="185"/>
      <c r="V136" s="183">
        <f t="shared" si="13"/>
        <v>1</v>
      </c>
      <c r="W136" s="183">
        <f t="shared" si="14"/>
        <v>0</v>
      </c>
    </row>
    <row r="137" spans="1:23" x14ac:dyDescent="0.3">
      <c r="A137" s="184"/>
      <c r="B137" s="194">
        <v>8</v>
      </c>
      <c r="C137" s="195">
        <v>45762</v>
      </c>
      <c r="D137" s="196" t="s">
        <v>16</v>
      </c>
      <c r="E137" s="222" t="s">
        <v>999</v>
      </c>
      <c r="F137" s="222">
        <v>14</v>
      </c>
      <c r="G137" s="222">
        <v>20</v>
      </c>
      <c r="H137" s="222">
        <v>6</v>
      </c>
      <c r="I137" s="218">
        <v>2500</v>
      </c>
      <c r="J137" s="268">
        <f t="shared" si="15"/>
        <v>15000</v>
      </c>
      <c r="K137" s="185"/>
      <c r="V137" s="183">
        <f t="shared" si="13"/>
        <v>1</v>
      </c>
      <c r="W137" s="183">
        <f t="shared" si="14"/>
        <v>0</v>
      </c>
    </row>
    <row r="138" spans="1:23" x14ac:dyDescent="0.3">
      <c r="A138" s="184"/>
      <c r="B138" s="194">
        <v>9</v>
      </c>
      <c r="C138" s="195">
        <v>45763</v>
      </c>
      <c r="D138" s="196" t="s">
        <v>16</v>
      </c>
      <c r="E138" s="222" t="s">
        <v>999</v>
      </c>
      <c r="F138" s="222">
        <v>15</v>
      </c>
      <c r="G138" s="222">
        <v>19.899999999999999</v>
      </c>
      <c r="H138" s="222">
        <v>4.9000000000000004</v>
      </c>
      <c r="I138" s="218">
        <v>2500</v>
      </c>
      <c r="J138" s="268">
        <f t="shared" si="15"/>
        <v>12250</v>
      </c>
      <c r="K138" s="185"/>
      <c r="V138" s="183">
        <f t="shared" si="13"/>
        <v>1</v>
      </c>
      <c r="W138" s="183">
        <f t="shared" si="14"/>
        <v>0</v>
      </c>
    </row>
    <row r="139" spans="1:23" x14ac:dyDescent="0.3">
      <c r="A139" s="184"/>
      <c r="B139" s="194">
        <v>10</v>
      </c>
      <c r="C139" s="195">
        <v>45764</v>
      </c>
      <c r="D139" s="196" t="s">
        <v>16</v>
      </c>
      <c r="E139" s="222" t="s">
        <v>999</v>
      </c>
      <c r="F139" s="222">
        <v>15</v>
      </c>
      <c r="G139" s="222">
        <v>20</v>
      </c>
      <c r="H139" s="222">
        <v>5</v>
      </c>
      <c r="I139" s="218">
        <v>2500</v>
      </c>
      <c r="J139" s="268">
        <f t="shared" si="15"/>
        <v>12500</v>
      </c>
      <c r="K139" s="185"/>
      <c r="V139" s="183">
        <f t="shared" si="13"/>
        <v>1</v>
      </c>
      <c r="W139" s="183">
        <f t="shared" si="14"/>
        <v>0</v>
      </c>
    </row>
    <row r="140" spans="1:23" x14ac:dyDescent="0.3">
      <c r="A140" s="184"/>
      <c r="B140" s="194">
        <v>11</v>
      </c>
      <c r="C140" s="195">
        <v>45768</v>
      </c>
      <c r="D140" s="196" t="s">
        <v>16</v>
      </c>
      <c r="E140" s="222" t="s">
        <v>1053</v>
      </c>
      <c r="F140" s="222">
        <v>11</v>
      </c>
      <c r="G140" s="222">
        <v>17</v>
      </c>
      <c r="H140" s="274">
        <v>6</v>
      </c>
      <c r="I140" s="218">
        <v>2500</v>
      </c>
      <c r="J140" s="268">
        <f t="shared" si="15"/>
        <v>15000</v>
      </c>
      <c r="K140" s="185"/>
      <c r="V140" s="183">
        <f t="shared" si="13"/>
        <v>1</v>
      </c>
      <c r="W140" s="183">
        <f t="shared" si="14"/>
        <v>0</v>
      </c>
    </row>
    <row r="141" spans="1:23" x14ac:dyDescent="0.3">
      <c r="A141" s="184"/>
      <c r="B141" s="194">
        <v>12</v>
      </c>
      <c r="C141" s="195">
        <v>45769</v>
      </c>
      <c r="D141" s="196" t="s">
        <v>16</v>
      </c>
      <c r="E141" s="222" t="s">
        <v>1054</v>
      </c>
      <c r="F141" s="222">
        <v>12</v>
      </c>
      <c r="G141" s="222">
        <v>13.5</v>
      </c>
      <c r="H141" s="274">
        <v>1.5</v>
      </c>
      <c r="I141" s="218">
        <v>2500</v>
      </c>
      <c r="J141" s="268">
        <f t="shared" si="15"/>
        <v>3750</v>
      </c>
      <c r="K141" s="185"/>
      <c r="V141" s="183">
        <f t="shared" si="13"/>
        <v>1</v>
      </c>
      <c r="W141" s="183">
        <f t="shared" si="14"/>
        <v>0</v>
      </c>
    </row>
    <row r="142" spans="1:23" x14ac:dyDescent="0.3">
      <c r="A142" s="184"/>
      <c r="B142" s="194">
        <v>13</v>
      </c>
      <c r="C142" s="195">
        <v>45770</v>
      </c>
      <c r="D142" s="196" t="s">
        <v>16</v>
      </c>
      <c r="E142" s="222" t="s">
        <v>1055</v>
      </c>
      <c r="F142" s="222">
        <v>11</v>
      </c>
      <c r="G142" s="222">
        <v>12.55</v>
      </c>
      <c r="H142" s="274">
        <v>1.55</v>
      </c>
      <c r="I142" s="218">
        <v>2500</v>
      </c>
      <c r="J142" s="268">
        <f t="shared" si="15"/>
        <v>3875</v>
      </c>
      <c r="K142" s="185"/>
      <c r="V142" s="183">
        <f t="shared" si="13"/>
        <v>1</v>
      </c>
      <c r="W142" s="183">
        <f t="shared" si="14"/>
        <v>0</v>
      </c>
    </row>
    <row r="143" spans="1:23" x14ac:dyDescent="0.3">
      <c r="A143" s="184"/>
      <c r="B143" s="194">
        <v>14</v>
      </c>
      <c r="C143" s="195">
        <v>45771</v>
      </c>
      <c r="D143" s="196" t="s">
        <v>16</v>
      </c>
      <c r="E143" s="222" t="s">
        <v>1056</v>
      </c>
      <c r="F143" s="222">
        <v>12.5</v>
      </c>
      <c r="G143" s="222">
        <v>1370</v>
      </c>
      <c r="H143" s="274">
        <f>13.7-12.5</f>
        <v>1.1999999999999993</v>
      </c>
      <c r="I143" s="218">
        <v>2500</v>
      </c>
      <c r="J143" s="268">
        <f t="shared" si="15"/>
        <v>2999.9999999999982</v>
      </c>
      <c r="K143" s="185"/>
      <c r="V143" s="183">
        <f t="shared" si="13"/>
        <v>1</v>
      </c>
      <c r="W143" s="183">
        <f t="shared" si="14"/>
        <v>0</v>
      </c>
    </row>
    <row r="144" spans="1:23" x14ac:dyDescent="0.3">
      <c r="A144" s="184"/>
      <c r="B144" s="194">
        <v>15</v>
      </c>
      <c r="C144" s="195">
        <v>45772</v>
      </c>
      <c r="D144" s="196" t="s">
        <v>16</v>
      </c>
      <c r="E144" s="196" t="s">
        <v>1056</v>
      </c>
      <c r="F144" s="222">
        <v>13.5</v>
      </c>
      <c r="G144" s="222">
        <v>14.5</v>
      </c>
      <c r="H144" s="222">
        <v>1</v>
      </c>
      <c r="I144" s="218">
        <v>2500</v>
      </c>
      <c r="J144" s="268">
        <f t="shared" si="15"/>
        <v>2500</v>
      </c>
      <c r="K144" s="185"/>
      <c r="V144" s="183">
        <f t="shared" si="13"/>
        <v>1</v>
      </c>
      <c r="W144" s="183">
        <f t="shared" si="14"/>
        <v>0</v>
      </c>
    </row>
    <row r="145" spans="1:23" x14ac:dyDescent="0.3">
      <c r="A145" s="184"/>
      <c r="B145" s="194">
        <v>16</v>
      </c>
      <c r="C145" s="195">
        <v>45775</v>
      </c>
      <c r="D145" s="196" t="s">
        <v>16</v>
      </c>
      <c r="E145" s="196" t="s">
        <v>1054</v>
      </c>
      <c r="F145" s="222">
        <v>20</v>
      </c>
      <c r="G145" s="274">
        <v>17</v>
      </c>
      <c r="H145" s="274">
        <v>-3</v>
      </c>
      <c r="I145" s="218">
        <v>2500</v>
      </c>
      <c r="J145" s="268">
        <f t="shared" si="15"/>
        <v>-7500</v>
      </c>
      <c r="K145" s="185"/>
      <c r="V145" s="183">
        <f t="shared" si="13"/>
        <v>0</v>
      </c>
      <c r="W145" s="183">
        <f t="shared" si="14"/>
        <v>1</v>
      </c>
    </row>
    <row r="146" spans="1:23" x14ac:dyDescent="0.3">
      <c r="A146" s="184"/>
      <c r="B146" s="194">
        <v>17</v>
      </c>
      <c r="C146" s="195">
        <v>45776</v>
      </c>
      <c r="D146" s="196" t="s">
        <v>16</v>
      </c>
      <c r="E146" s="196" t="s">
        <v>1053</v>
      </c>
      <c r="F146" s="222">
        <v>18</v>
      </c>
      <c r="G146" s="222">
        <v>15</v>
      </c>
      <c r="H146" s="263">
        <v>-3</v>
      </c>
      <c r="I146" s="218">
        <v>2500</v>
      </c>
      <c r="J146" s="268">
        <f t="shared" si="15"/>
        <v>-7500</v>
      </c>
      <c r="K146" s="185"/>
      <c r="V146" s="183">
        <f t="shared" si="13"/>
        <v>0</v>
      </c>
      <c r="W146" s="183">
        <f t="shared" si="14"/>
        <v>1</v>
      </c>
    </row>
    <row r="147" spans="1:23" ht="15" thickBot="1" x14ac:dyDescent="0.35">
      <c r="A147" s="184"/>
      <c r="B147" s="194">
        <v>18</v>
      </c>
      <c r="C147" s="195">
        <v>45777</v>
      </c>
      <c r="D147" s="196" t="s">
        <v>16</v>
      </c>
      <c r="E147" s="196" t="s">
        <v>1059</v>
      </c>
      <c r="F147" s="222">
        <v>15.2</v>
      </c>
      <c r="G147" s="222">
        <v>12.2</v>
      </c>
      <c r="H147" s="274">
        <v>-3</v>
      </c>
      <c r="I147" s="218">
        <v>2500</v>
      </c>
      <c r="J147" s="268">
        <f t="shared" si="15"/>
        <v>-7500</v>
      </c>
      <c r="K147" s="185"/>
      <c r="V147" s="183">
        <f t="shared" si="13"/>
        <v>0</v>
      </c>
      <c r="W147" s="183">
        <f t="shared" si="14"/>
        <v>1</v>
      </c>
    </row>
    <row r="148" spans="1:23" ht="15" hidden="1" thickBot="1" x14ac:dyDescent="0.35">
      <c r="A148" s="184"/>
      <c r="B148" s="194">
        <v>19</v>
      </c>
      <c r="C148" s="195"/>
      <c r="D148" s="196"/>
      <c r="E148" s="196"/>
      <c r="F148" s="222"/>
      <c r="G148" s="222"/>
      <c r="H148" s="274"/>
      <c r="I148" s="218">
        <v>2500</v>
      </c>
      <c r="J148" s="268">
        <f t="shared" si="15"/>
        <v>0</v>
      </c>
      <c r="K148" s="185"/>
      <c r="V148" s="183">
        <f t="shared" si="13"/>
        <v>0</v>
      </c>
      <c r="W148" s="183">
        <f t="shared" si="14"/>
        <v>0</v>
      </c>
    </row>
    <row r="149" spans="1:23" ht="15" hidden="1" thickBot="1" x14ac:dyDescent="0.35">
      <c r="A149" s="184"/>
      <c r="B149" s="194">
        <v>20</v>
      </c>
      <c r="C149" s="195"/>
      <c r="D149" s="196"/>
      <c r="E149" s="222"/>
      <c r="F149" s="222"/>
      <c r="G149" s="222"/>
      <c r="H149" s="274"/>
      <c r="I149" s="218"/>
      <c r="J149" s="268">
        <f t="shared" si="15"/>
        <v>0</v>
      </c>
      <c r="K149" s="185"/>
      <c r="V149" s="183">
        <f t="shared" si="13"/>
        <v>0</v>
      </c>
      <c r="W149" s="183">
        <f t="shared" si="14"/>
        <v>0</v>
      </c>
    </row>
    <row r="150" spans="1:23" ht="15" hidden="1" thickBot="1" x14ac:dyDescent="0.35">
      <c r="A150" s="184"/>
      <c r="B150" s="194">
        <v>21</v>
      </c>
      <c r="C150" s="195"/>
      <c r="D150" s="196"/>
      <c r="E150" s="222"/>
      <c r="F150" s="222"/>
      <c r="G150" s="222"/>
      <c r="H150" s="274"/>
      <c r="I150" s="218"/>
      <c r="J150" s="268">
        <f t="shared" si="15"/>
        <v>0</v>
      </c>
      <c r="K150" s="185"/>
      <c r="V150" s="183">
        <f t="shared" si="13"/>
        <v>0</v>
      </c>
      <c r="W150" s="183">
        <f t="shared" si="14"/>
        <v>0</v>
      </c>
    </row>
    <row r="151" spans="1:23" ht="15" hidden="1" thickBot="1" x14ac:dyDescent="0.35">
      <c r="A151" s="184"/>
      <c r="B151" s="194">
        <v>22</v>
      </c>
      <c r="C151" s="195"/>
      <c r="D151" s="196"/>
      <c r="E151" s="222"/>
      <c r="F151" s="222"/>
      <c r="G151" s="222"/>
      <c r="H151" s="222"/>
      <c r="I151" s="218"/>
      <c r="J151" s="268">
        <f>I151*H151</f>
        <v>0</v>
      </c>
      <c r="K151" s="185"/>
      <c r="V151" s="183">
        <f t="shared" si="13"/>
        <v>0</v>
      </c>
      <c r="W151" s="183">
        <f t="shared" si="14"/>
        <v>0</v>
      </c>
    </row>
    <row r="152" spans="1:23" ht="15" hidden="1" thickBot="1" x14ac:dyDescent="0.35">
      <c r="A152" s="184"/>
      <c r="B152" s="199">
        <v>23</v>
      </c>
      <c r="C152" s="200"/>
      <c r="D152" s="201"/>
      <c r="E152" s="201"/>
      <c r="F152" s="284"/>
      <c r="G152" s="284"/>
      <c r="H152" s="284"/>
      <c r="I152" s="285"/>
      <c r="J152" s="269">
        <f>I152*H152</f>
        <v>0</v>
      </c>
      <c r="K152" s="185"/>
      <c r="V152" s="183">
        <f t="shared" si="13"/>
        <v>0</v>
      </c>
      <c r="W152" s="183">
        <f t="shared" si="14"/>
        <v>0</v>
      </c>
    </row>
    <row r="153" spans="1:23" ht="24" thickBot="1" x14ac:dyDescent="0.5">
      <c r="A153" s="184"/>
      <c r="B153" s="304" t="s">
        <v>879</v>
      </c>
      <c r="C153" s="305"/>
      <c r="D153" s="305"/>
      <c r="E153" s="305"/>
      <c r="F153" s="305"/>
      <c r="G153" s="305"/>
      <c r="H153" s="306"/>
      <c r="I153" s="203" t="s">
        <v>880</v>
      </c>
      <c r="J153" s="204">
        <f>SUM(J130:J152)</f>
        <v>79125</v>
      </c>
      <c r="K153" s="185"/>
      <c r="V153" s="183">
        <f>SUM(V130:V152)</f>
        <v>13</v>
      </c>
      <c r="W153" s="183">
        <f>SUM(W130:W152)</f>
        <v>5</v>
      </c>
    </row>
    <row r="154" spans="1:23" ht="15" thickBot="1" x14ac:dyDescent="0.35">
      <c r="A154" s="205"/>
      <c r="B154" s="286"/>
      <c r="C154" s="286"/>
      <c r="D154" s="286"/>
      <c r="E154" s="286"/>
      <c r="F154" s="286"/>
      <c r="G154" s="286"/>
      <c r="H154" s="287"/>
      <c r="I154" s="286"/>
      <c r="J154" s="287"/>
      <c r="K154" s="207"/>
    </row>
    <row r="155" spans="1:23" ht="15" thickBot="1" x14ac:dyDescent="0.35"/>
    <row r="156" spans="1:23" ht="15" thickBot="1" x14ac:dyDescent="0.35">
      <c r="A156" s="180"/>
      <c r="B156" s="181"/>
      <c r="C156" s="181"/>
      <c r="D156" s="181"/>
      <c r="E156" s="181"/>
      <c r="F156" s="181"/>
      <c r="G156" s="181"/>
      <c r="H156" s="259"/>
      <c r="I156" s="181"/>
      <c r="J156" s="259"/>
      <c r="K156" s="182"/>
    </row>
    <row r="157" spans="1:23" ht="25.2" thickBot="1" x14ac:dyDescent="0.35">
      <c r="A157" s="184" t="s">
        <v>0</v>
      </c>
      <c r="B157" s="307" t="s">
        <v>873</v>
      </c>
      <c r="C157" s="308"/>
      <c r="D157" s="308"/>
      <c r="E157" s="308"/>
      <c r="F157" s="308"/>
      <c r="G157" s="308"/>
      <c r="H157" s="308"/>
      <c r="I157" s="308"/>
      <c r="J157" s="309"/>
      <c r="K157" s="185"/>
    </row>
    <row r="158" spans="1:23" ht="16.2" thickBot="1" x14ac:dyDescent="0.35">
      <c r="A158" s="184"/>
      <c r="B158" s="310">
        <v>45748</v>
      </c>
      <c r="C158" s="311"/>
      <c r="D158" s="311"/>
      <c r="E158" s="311"/>
      <c r="F158" s="311"/>
      <c r="G158" s="311"/>
      <c r="H158" s="311"/>
      <c r="I158" s="311"/>
      <c r="J158" s="312"/>
      <c r="K158" s="185"/>
    </row>
    <row r="159" spans="1:23" ht="16.2" thickBot="1" x14ac:dyDescent="0.35">
      <c r="A159" s="184"/>
      <c r="B159" s="313" t="s">
        <v>996</v>
      </c>
      <c r="C159" s="314"/>
      <c r="D159" s="314"/>
      <c r="E159" s="314"/>
      <c r="F159" s="314"/>
      <c r="G159" s="314"/>
      <c r="H159" s="314"/>
      <c r="I159" s="314"/>
      <c r="J159" s="315"/>
      <c r="K159" s="185"/>
    </row>
    <row r="160" spans="1:23" ht="15" thickBot="1" x14ac:dyDescent="0.35">
      <c r="A160" s="208"/>
      <c r="B160" s="186" t="s">
        <v>876</v>
      </c>
      <c r="C160" s="187" t="s">
        <v>1</v>
      </c>
      <c r="D160" s="188" t="s">
        <v>2</v>
      </c>
      <c r="E160" s="188" t="s">
        <v>3</v>
      </c>
      <c r="F160" s="189" t="s">
        <v>4</v>
      </c>
      <c r="G160" s="189" t="s">
        <v>5</v>
      </c>
      <c r="H160" s="260" t="s">
        <v>720</v>
      </c>
      <c r="I160" s="189" t="s">
        <v>1017</v>
      </c>
      <c r="J160" s="266" t="s">
        <v>7</v>
      </c>
      <c r="K160" s="209"/>
    </row>
    <row r="161" spans="1:23" x14ac:dyDescent="0.3">
      <c r="A161" s="184"/>
      <c r="B161" s="214">
        <v>1</v>
      </c>
      <c r="C161" s="215">
        <v>45748</v>
      </c>
      <c r="D161" s="216" t="s">
        <v>23</v>
      </c>
      <c r="E161" s="256" t="s">
        <v>28</v>
      </c>
      <c r="F161" s="256">
        <v>269.7</v>
      </c>
      <c r="G161" s="256">
        <v>267.7</v>
      </c>
      <c r="H161" s="256">
        <v>2</v>
      </c>
      <c r="I161" s="218">
        <v>5000</v>
      </c>
      <c r="J161" s="273">
        <f>I161*H161</f>
        <v>10000</v>
      </c>
      <c r="K161" s="185"/>
      <c r="V161" s="183">
        <f t="shared" ref="V161:V183" si="16">IF($J161&gt;0,1,0)</f>
        <v>1</v>
      </c>
      <c r="W161" s="183">
        <f t="shared" ref="W161:W183" si="17">IF($J161&lt;0,1,0)</f>
        <v>0</v>
      </c>
    </row>
    <row r="162" spans="1:23" x14ac:dyDescent="0.3">
      <c r="A162" s="184"/>
      <c r="B162" s="194">
        <v>2</v>
      </c>
      <c r="C162" s="195">
        <v>45749</v>
      </c>
      <c r="D162" s="196" t="s">
        <v>23</v>
      </c>
      <c r="E162" s="222" t="s">
        <v>28</v>
      </c>
      <c r="F162" s="222">
        <v>266.2</v>
      </c>
      <c r="G162" s="222">
        <v>264.2</v>
      </c>
      <c r="H162" s="222">
        <v>2</v>
      </c>
      <c r="I162" s="218">
        <v>5000</v>
      </c>
      <c r="J162" s="268">
        <f t="shared" ref="J162:J181" si="18">I162*H162</f>
        <v>10000</v>
      </c>
      <c r="K162" s="185"/>
      <c r="V162" s="183">
        <f t="shared" si="16"/>
        <v>1</v>
      </c>
      <c r="W162" s="183">
        <f t="shared" si="17"/>
        <v>0</v>
      </c>
    </row>
    <row r="163" spans="1:23" x14ac:dyDescent="0.3">
      <c r="A163" s="184"/>
      <c r="B163" s="194">
        <v>3</v>
      </c>
      <c r="C163" s="195">
        <v>45750</v>
      </c>
      <c r="D163" s="196" t="s">
        <v>23</v>
      </c>
      <c r="E163" s="222" t="s">
        <v>28</v>
      </c>
      <c r="F163" s="222">
        <v>260.5</v>
      </c>
      <c r="G163" s="222">
        <v>261.5</v>
      </c>
      <c r="H163" s="222">
        <v>-1</v>
      </c>
      <c r="I163" s="218">
        <v>5000</v>
      </c>
      <c r="J163" s="268">
        <f t="shared" si="18"/>
        <v>-5000</v>
      </c>
      <c r="K163" s="185"/>
      <c r="V163" s="183">
        <f t="shared" si="16"/>
        <v>0</v>
      </c>
      <c r="W163" s="183">
        <f t="shared" si="17"/>
        <v>1</v>
      </c>
    </row>
    <row r="164" spans="1:23" x14ac:dyDescent="0.3">
      <c r="A164" s="184"/>
      <c r="B164" s="194">
        <v>4</v>
      </c>
      <c r="C164" s="195">
        <v>45751</v>
      </c>
      <c r="D164" s="196" t="s">
        <v>23</v>
      </c>
      <c r="E164" s="222" t="s">
        <v>28</v>
      </c>
      <c r="F164" s="222">
        <v>254.7</v>
      </c>
      <c r="G164" s="222">
        <v>252.7</v>
      </c>
      <c r="H164" s="222">
        <v>2</v>
      </c>
      <c r="I164" s="218">
        <v>5000</v>
      </c>
      <c r="J164" s="268">
        <f t="shared" si="18"/>
        <v>10000</v>
      </c>
      <c r="K164" s="185"/>
      <c r="V164" s="183">
        <f t="shared" si="16"/>
        <v>1</v>
      </c>
      <c r="W164" s="183">
        <f t="shared" si="17"/>
        <v>0</v>
      </c>
    </row>
    <row r="165" spans="1:23" x14ac:dyDescent="0.3">
      <c r="A165" s="184"/>
      <c r="B165" s="194">
        <v>5</v>
      </c>
      <c r="C165" s="195">
        <v>45754</v>
      </c>
      <c r="D165" s="196" t="s">
        <v>23</v>
      </c>
      <c r="E165" s="222" t="s">
        <v>28</v>
      </c>
      <c r="F165" s="222">
        <v>248.2</v>
      </c>
      <c r="G165" s="222">
        <v>249.2</v>
      </c>
      <c r="H165" s="222">
        <v>-1</v>
      </c>
      <c r="I165" s="218">
        <v>5000</v>
      </c>
      <c r="J165" s="268">
        <f t="shared" si="18"/>
        <v>-5000</v>
      </c>
      <c r="K165" s="185"/>
      <c r="V165" s="183">
        <f t="shared" si="16"/>
        <v>0</v>
      </c>
      <c r="W165" s="183">
        <f t="shared" si="17"/>
        <v>1</v>
      </c>
    </row>
    <row r="166" spans="1:23" x14ac:dyDescent="0.3">
      <c r="A166" s="184"/>
      <c r="B166" s="194">
        <v>6</v>
      </c>
      <c r="C166" s="195">
        <v>45755</v>
      </c>
      <c r="D166" s="196" t="s">
        <v>23</v>
      </c>
      <c r="E166" s="222" t="s">
        <v>28</v>
      </c>
      <c r="F166" s="222">
        <v>247.8</v>
      </c>
      <c r="G166" s="222">
        <v>248.8</v>
      </c>
      <c r="H166" s="222">
        <v>-1</v>
      </c>
      <c r="I166" s="218">
        <v>5000</v>
      </c>
      <c r="J166" s="268">
        <f t="shared" si="18"/>
        <v>-5000</v>
      </c>
      <c r="K166" s="185"/>
      <c r="V166" s="183">
        <f t="shared" si="16"/>
        <v>0</v>
      </c>
      <c r="W166" s="183">
        <f t="shared" si="17"/>
        <v>1</v>
      </c>
    </row>
    <row r="167" spans="1:23" x14ac:dyDescent="0.3">
      <c r="A167" s="184"/>
      <c r="B167" s="194">
        <v>7</v>
      </c>
      <c r="C167" s="195">
        <v>45756</v>
      </c>
      <c r="D167" s="196" t="s">
        <v>16</v>
      </c>
      <c r="E167" s="222" t="s">
        <v>28</v>
      </c>
      <c r="F167" s="222">
        <v>246.5</v>
      </c>
      <c r="G167" s="222">
        <v>247.5</v>
      </c>
      <c r="H167" s="274">
        <v>1</v>
      </c>
      <c r="I167" s="218">
        <v>5000</v>
      </c>
      <c r="J167" s="268">
        <f t="shared" si="18"/>
        <v>5000</v>
      </c>
      <c r="K167" s="185"/>
      <c r="V167" s="183">
        <f t="shared" si="16"/>
        <v>1</v>
      </c>
      <c r="W167" s="183">
        <f t="shared" si="17"/>
        <v>0</v>
      </c>
    </row>
    <row r="168" spans="1:23" x14ac:dyDescent="0.3">
      <c r="A168" s="184"/>
      <c r="B168" s="194">
        <v>8</v>
      </c>
      <c r="C168" s="195">
        <v>45758</v>
      </c>
      <c r="D168" s="196" t="s">
        <v>23</v>
      </c>
      <c r="E168" s="222" t="s">
        <v>28</v>
      </c>
      <c r="F168" s="222">
        <v>254.5</v>
      </c>
      <c r="G168" s="222">
        <v>254</v>
      </c>
      <c r="H168" s="222">
        <v>0.5</v>
      </c>
      <c r="I168" s="218">
        <v>5000</v>
      </c>
      <c r="J168" s="268">
        <f t="shared" si="18"/>
        <v>2500</v>
      </c>
      <c r="K168" s="185"/>
      <c r="V168" s="183">
        <f t="shared" si="16"/>
        <v>1</v>
      </c>
      <c r="W168" s="183">
        <f t="shared" si="17"/>
        <v>0</v>
      </c>
    </row>
    <row r="169" spans="1:23" x14ac:dyDescent="0.3">
      <c r="A169" s="184"/>
      <c r="B169" s="194">
        <v>9</v>
      </c>
      <c r="C169" s="195">
        <v>45762</v>
      </c>
      <c r="D169" s="196" t="s">
        <v>23</v>
      </c>
      <c r="E169" s="222" t="s">
        <v>28</v>
      </c>
      <c r="F169" s="222">
        <v>252.2</v>
      </c>
      <c r="G169" s="222">
        <v>250.5</v>
      </c>
      <c r="H169" s="222">
        <f>252.2-250.5</f>
        <v>1.6999999999999886</v>
      </c>
      <c r="I169" s="218">
        <v>5000</v>
      </c>
      <c r="J169" s="268">
        <f t="shared" si="18"/>
        <v>8499.9999999999436</v>
      </c>
      <c r="K169" s="185"/>
      <c r="V169" s="183">
        <f t="shared" si="16"/>
        <v>1</v>
      </c>
      <c r="W169" s="183">
        <f t="shared" si="17"/>
        <v>0</v>
      </c>
    </row>
    <row r="170" spans="1:23" x14ac:dyDescent="0.3">
      <c r="A170" s="184"/>
      <c r="B170" s="194">
        <v>10</v>
      </c>
      <c r="C170" s="195">
        <v>45763</v>
      </c>
      <c r="D170" s="196" t="s">
        <v>23</v>
      </c>
      <c r="E170" s="222" t="s">
        <v>28</v>
      </c>
      <c r="F170" s="222">
        <v>247</v>
      </c>
      <c r="G170" s="222">
        <v>245.3</v>
      </c>
      <c r="H170" s="222">
        <f>247-245.3</f>
        <v>1.6999999999999886</v>
      </c>
      <c r="I170" s="218">
        <v>5000</v>
      </c>
      <c r="J170" s="268">
        <f t="shared" si="18"/>
        <v>8499.9999999999436</v>
      </c>
      <c r="K170" s="185"/>
      <c r="V170" s="183">
        <f t="shared" si="16"/>
        <v>1</v>
      </c>
      <c r="W170" s="183">
        <f t="shared" si="17"/>
        <v>0</v>
      </c>
    </row>
    <row r="171" spans="1:23" x14ac:dyDescent="0.3">
      <c r="A171" s="184"/>
      <c r="B171" s="194">
        <v>11</v>
      </c>
      <c r="C171" s="195">
        <v>45764</v>
      </c>
      <c r="D171" s="196" t="s">
        <v>23</v>
      </c>
      <c r="E171" s="222" t="s">
        <v>28</v>
      </c>
      <c r="F171" s="222">
        <v>247.5</v>
      </c>
      <c r="G171" s="222">
        <v>245.5</v>
      </c>
      <c r="H171" s="274">
        <v>2</v>
      </c>
      <c r="I171" s="218">
        <v>5000</v>
      </c>
      <c r="J171" s="268">
        <f t="shared" si="18"/>
        <v>10000</v>
      </c>
      <c r="K171" s="185"/>
      <c r="V171" s="183">
        <f t="shared" si="16"/>
        <v>1</v>
      </c>
      <c r="W171" s="183">
        <f t="shared" si="17"/>
        <v>0</v>
      </c>
    </row>
    <row r="172" spans="1:23" x14ac:dyDescent="0.3">
      <c r="A172" s="184"/>
      <c r="B172" s="194">
        <v>12</v>
      </c>
      <c r="C172" s="195">
        <v>45768</v>
      </c>
      <c r="D172" s="196" t="s">
        <v>23</v>
      </c>
      <c r="E172" s="222" t="s">
        <v>28</v>
      </c>
      <c r="F172" s="222">
        <v>249</v>
      </c>
      <c r="G172" s="222">
        <v>247</v>
      </c>
      <c r="H172" s="274">
        <v>2</v>
      </c>
      <c r="I172" s="218">
        <v>5000</v>
      </c>
      <c r="J172" s="268">
        <f t="shared" si="18"/>
        <v>10000</v>
      </c>
      <c r="K172" s="185"/>
      <c r="V172" s="183">
        <f t="shared" si="16"/>
        <v>1</v>
      </c>
      <c r="W172" s="183">
        <f t="shared" si="17"/>
        <v>0</v>
      </c>
    </row>
    <row r="173" spans="1:23" x14ac:dyDescent="0.3">
      <c r="A173" s="184"/>
      <c r="B173" s="194">
        <v>13</v>
      </c>
      <c r="C173" s="195">
        <v>45769</v>
      </c>
      <c r="D173" s="196" t="s">
        <v>23</v>
      </c>
      <c r="E173" s="222" t="s">
        <v>28</v>
      </c>
      <c r="F173" s="222">
        <v>247</v>
      </c>
      <c r="G173" s="222">
        <v>246.6</v>
      </c>
      <c r="H173" s="274">
        <f>247-246.6</f>
        <v>0.40000000000000568</v>
      </c>
      <c r="I173" s="218">
        <v>5000</v>
      </c>
      <c r="J173" s="268">
        <f t="shared" si="18"/>
        <v>2000.0000000000284</v>
      </c>
      <c r="K173" s="185"/>
      <c r="V173" s="183">
        <f t="shared" si="16"/>
        <v>1</v>
      </c>
      <c r="W173" s="183">
        <f t="shared" si="17"/>
        <v>0</v>
      </c>
    </row>
    <row r="174" spans="1:23" x14ac:dyDescent="0.3">
      <c r="A174" s="184"/>
      <c r="B174" s="194">
        <v>14</v>
      </c>
      <c r="C174" s="195">
        <v>45770</v>
      </c>
      <c r="D174" s="196" t="s">
        <v>16</v>
      </c>
      <c r="E174" s="222" t="s">
        <v>28</v>
      </c>
      <c r="F174" s="222">
        <v>250</v>
      </c>
      <c r="G174" s="222">
        <v>250.95</v>
      </c>
      <c r="H174" s="274">
        <v>0.95</v>
      </c>
      <c r="I174" s="218">
        <v>5000</v>
      </c>
      <c r="J174" s="268">
        <f t="shared" si="18"/>
        <v>4750</v>
      </c>
      <c r="K174" s="185"/>
      <c r="V174" s="183">
        <f t="shared" si="16"/>
        <v>1</v>
      </c>
      <c r="W174" s="183">
        <f t="shared" si="17"/>
        <v>0</v>
      </c>
    </row>
    <row r="175" spans="1:23" x14ac:dyDescent="0.3">
      <c r="A175" s="184"/>
      <c r="B175" s="194">
        <v>15</v>
      </c>
      <c r="C175" s="195">
        <v>45771</v>
      </c>
      <c r="D175" s="196" t="s">
        <v>16</v>
      </c>
      <c r="E175" s="196" t="s">
        <v>28</v>
      </c>
      <c r="F175" s="222">
        <v>251.7</v>
      </c>
      <c r="G175" s="222">
        <v>253.1</v>
      </c>
      <c r="H175" s="222">
        <v>1.4</v>
      </c>
      <c r="I175" s="218">
        <v>5000</v>
      </c>
      <c r="J175" s="268">
        <f t="shared" si="18"/>
        <v>7000</v>
      </c>
      <c r="K175" s="185"/>
      <c r="V175" s="183">
        <f t="shared" si="16"/>
        <v>1</v>
      </c>
      <c r="W175" s="183">
        <f t="shared" si="17"/>
        <v>0</v>
      </c>
    </row>
    <row r="176" spans="1:23" x14ac:dyDescent="0.3">
      <c r="A176" s="184"/>
      <c r="B176" s="194">
        <v>16</v>
      </c>
      <c r="C176" s="195">
        <v>45772</v>
      </c>
      <c r="D176" s="196" t="s">
        <v>23</v>
      </c>
      <c r="E176" s="196" t="s">
        <v>28</v>
      </c>
      <c r="F176" s="222">
        <v>253.6</v>
      </c>
      <c r="G176" s="274">
        <v>251.6</v>
      </c>
      <c r="H176" s="274">
        <v>2</v>
      </c>
      <c r="I176" s="218">
        <v>5000</v>
      </c>
      <c r="J176" s="268">
        <f t="shared" si="18"/>
        <v>10000</v>
      </c>
      <c r="K176" s="185"/>
      <c r="V176" s="183">
        <f t="shared" si="16"/>
        <v>1</v>
      </c>
      <c r="W176" s="183">
        <f t="shared" si="17"/>
        <v>0</v>
      </c>
    </row>
    <row r="177" spans="1:23" x14ac:dyDescent="0.3">
      <c r="A177" s="184"/>
      <c r="B177" s="194">
        <v>17</v>
      </c>
      <c r="C177" s="195">
        <v>45775</v>
      </c>
      <c r="D177" s="196" t="s">
        <v>23</v>
      </c>
      <c r="E177" s="196" t="s">
        <v>28</v>
      </c>
      <c r="F177" s="222">
        <v>250</v>
      </c>
      <c r="G177" s="222">
        <v>249.3</v>
      </c>
      <c r="H177" s="274">
        <f>250-249.3</f>
        <v>0.69999999999998863</v>
      </c>
      <c r="I177" s="218">
        <v>5000</v>
      </c>
      <c r="J177" s="268">
        <f t="shared" si="18"/>
        <v>3499.9999999999432</v>
      </c>
      <c r="K177" s="185"/>
      <c r="V177" s="183">
        <f t="shared" si="16"/>
        <v>1</v>
      </c>
      <c r="W177" s="183">
        <f t="shared" si="17"/>
        <v>0</v>
      </c>
    </row>
    <row r="178" spans="1:23" x14ac:dyDescent="0.3">
      <c r="A178" s="184"/>
      <c r="B178" s="194">
        <v>18</v>
      </c>
      <c r="C178" s="195">
        <v>45776</v>
      </c>
      <c r="D178" s="196" t="s">
        <v>23</v>
      </c>
      <c r="E178" s="196" t="s">
        <v>28</v>
      </c>
      <c r="F178" s="222">
        <v>252.6</v>
      </c>
      <c r="G178" s="222">
        <v>251.6</v>
      </c>
      <c r="H178" s="274">
        <v>1</v>
      </c>
      <c r="I178" s="218">
        <v>5000</v>
      </c>
      <c r="J178" s="268">
        <f t="shared" si="18"/>
        <v>5000</v>
      </c>
      <c r="K178" s="185"/>
      <c r="V178" s="183">
        <f t="shared" si="16"/>
        <v>1</v>
      </c>
      <c r="W178" s="183">
        <f t="shared" si="17"/>
        <v>0</v>
      </c>
    </row>
    <row r="179" spans="1:23" ht="15" thickBot="1" x14ac:dyDescent="0.35">
      <c r="A179" s="184"/>
      <c r="B179" s="194">
        <v>19</v>
      </c>
      <c r="C179" s="195">
        <v>45777</v>
      </c>
      <c r="D179" s="196" t="s">
        <v>23</v>
      </c>
      <c r="E179" s="196" t="s">
        <v>28</v>
      </c>
      <c r="F179" s="222">
        <v>252.6</v>
      </c>
      <c r="G179" s="222">
        <v>251.6</v>
      </c>
      <c r="H179" s="274">
        <v>1</v>
      </c>
      <c r="I179" s="218">
        <v>5000</v>
      </c>
      <c r="J179" s="268">
        <f t="shared" si="18"/>
        <v>5000</v>
      </c>
      <c r="K179" s="185"/>
      <c r="V179" s="183">
        <f t="shared" si="16"/>
        <v>1</v>
      </c>
      <c r="W179" s="183">
        <f t="shared" si="17"/>
        <v>0</v>
      </c>
    </row>
    <row r="180" spans="1:23" ht="15" hidden="1" thickBot="1" x14ac:dyDescent="0.35">
      <c r="A180" s="184"/>
      <c r="B180" s="194">
        <v>20</v>
      </c>
      <c r="C180" s="195"/>
      <c r="D180" s="196"/>
      <c r="E180" s="222"/>
      <c r="F180" s="222"/>
      <c r="G180" s="222"/>
      <c r="H180" s="274"/>
      <c r="I180" s="218"/>
      <c r="J180" s="268">
        <f t="shared" si="18"/>
        <v>0</v>
      </c>
      <c r="K180" s="185"/>
      <c r="V180" s="183">
        <f t="shared" si="16"/>
        <v>0</v>
      </c>
      <c r="W180" s="183">
        <f t="shared" si="17"/>
        <v>0</v>
      </c>
    </row>
    <row r="181" spans="1:23" ht="15" hidden="1" thickBot="1" x14ac:dyDescent="0.35">
      <c r="A181" s="184"/>
      <c r="B181" s="194">
        <v>21</v>
      </c>
      <c r="C181" s="195"/>
      <c r="D181" s="196"/>
      <c r="E181" s="222"/>
      <c r="F181" s="222"/>
      <c r="G181" s="222"/>
      <c r="H181" s="274"/>
      <c r="I181" s="218"/>
      <c r="J181" s="268">
        <f t="shared" si="18"/>
        <v>0</v>
      </c>
      <c r="K181" s="185"/>
      <c r="V181" s="183">
        <f t="shared" si="16"/>
        <v>0</v>
      </c>
      <c r="W181" s="183">
        <f t="shared" si="17"/>
        <v>0</v>
      </c>
    </row>
    <row r="182" spans="1:23" ht="15" hidden="1" thickBot="1" x14ac:dyDescent="0.35">
      <c r="A182" s="184"/>
      <c r="B182" s="194">
        <v>22</v>
      </c>
      <c r="C182" s="195"/>
      <c r="D182" s="196"/>
      <c r="E182" s="222"/>
      <c r="F182" s="222"/>
      <c r="G182" s="222"/>
      <c r="H182" s="222"/>
      <c r="I182" s="218"/>
      <c r="J182" s="268">
        <f>I182*H182</f>
        <v>0</v>
      </c>
      <c r="K182" s="185"/>
      <c r="V182" s="183">
        <f t="shared" si="16"/>
        <v>0</v>
      </c>
      <c r="W182" s="183">
        <f t="shared" si="17"/>
        <v>0</v>
      </c>
    </row>
    <row r="183" spans="1:23" ht="15" hidden="1" thickBot="1" x14ac:dyDescent="0.35">
      <c r="A183" s="184"/>
      <c r="B183" s="199">
        <v>23</v>
      </c>
      <c r="C183" s="200"/>
      <c r="D183" s="201"/>
      <c r="E183" s="201"/>
      <c r="F183" s="284"/>
      <c r="G183" s="284"/>
      <c r="H183" s="284"/>
      <c r="I183" s="285"/>
      <c r="J183" s="269">
        <f>I183*H183</f>
        <v>0</v>
      </c>
      <c r="K183" s="185"/>
      <c r="V183" s="183">
        <f t="shared" si="16"/>
        <v>0</v>
      </c>
      <c r="W183" s="183">
        <f t="shared" si="17"/>
        <v>0</v>
      </c>
    </row>
    <row r="184" spans="1:23" ht="24" thickBot="1" x14ac:dyDescent="0.5">
      <c r="A184" s="184"/>
      <c r="B184" s="304" t="s">
        <v>879</v>
      </c>
      <c r="C184" s="305"/>
      <c r="D184" s="305"/>
      <c r="E184" s="305"/>
      <c r="F184" s="305"/>
      <c r="G184" s="305"/>
      <c r="H184" s="306"/>
      <c r="I184" s="203" t="s">
        <v>880</v>
      </c>
      <c r="J184" s="204">
        <f>SUM(J161:J183)</f>
        <v>96749.999999999854</v>
      </c>
      <c r="K184" s="185"/>
      <c r="V184" s="183">
        <f>SUM(V161:V183)</f>
        <v>16</v>
      </c>
      <c r="W184" s="183">
        <f>SUM(W161:W183)</f>
        <v>3</v>
      </c>
    </row>
    <row r="185" spans="1:23" ht="15" thickBot="1" x14ac:dyDescent="0.35">
      <c r="A185" s="205"/>
      <c r="B185" s="286"/>
      <c r="C185" s="286"/>
      <c r="D185" s="286"/>
      <c r="E185" s="286"/>
      <c r="F185" s="286"/>
      <c r="G185" s="286"/>
      <c r="H185" s="287"/>
      <c r="I185" s="286"/>
      <c r="J185" s="287"/>
      <c r="K185" s="207"/>
    </row>
  </sheetData>
  <mergeCells count="74">
    <mergeCell ref="B153:H153"/>
    <mergeCell ref="B157:J157"/>
    <mergeCell ref="B158:J158"/>
    <mergeCell ref="B159:J159"/>
    <mergeCell ref="B184:H184"/>
    <mergeCell ref="B128:J128"/>
    <mergeCell ref="B60:H60"/>
    <mergeCell ref="B64:J64"/>
    <mergeCell ref="B65:J65"/>
    <mergeCell ref="B66:J66"/>
    <mergeCell ref="B91:H91"/>
    <mergeCell ref="B95:J95"/>
    <mergeCell ref="B96:J96"/>
    <mergeCell ref="B97:J97"/>
    <mergeCell ref="B122:H122"/>
    <mergeCell ref="B126:J126"/>
    <mergeCell ref="B127:J127"/>
    <mergeCell ref="P14:P15"/>
    <mergeCell ref="Q14:Q15"/>
    <mergeCell ref="B35:J35"/>
    <mergeCell ref="M16:M17"/>
    <mergeCell ref="N16:N17"/>
    <mergeCell ref="O16:O17"/>
    <mergeCell ref="P16:P17"/>
    <mergeCell ref="M18:O20"/>
    <mergeCell ref="P18:R20"/>
    <mergeCell ref="B29:H29"/>
    <mergeCell ref="B33:J33"/>
    <mergeCell ref="B34:J34"/>
    <mergeCell ref="Q16:Q17"/>
    <mergeCell ref="R16:R17"/>
    <mergeCell ref="R14:R15"/>
    <mergeCell ref="M14:M15"/>
    <mergeCell ref="M12:M13"/>
    <mergeCell ref="N12:N13"/>
    <mergeCell ref="O12:O13"/>
    <mergeCell ref="P12:P13"/>
    <mergeCell ref="Q12:Q13"/>
    <mergeCell ref="N10:N11"/>
    <mergeCell ref="O10:O11"/>
    <mergeCell ref="P10:P11"/>
    <mergeCell ref="Q10:Q11"/>
    <mergeCell ref="R10:R11"/>
    <mergeCell ref="N14:N15"/>
    <mergeCell ref="O14:O15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12:R13"/>
    <mergeCell ref="M10:M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552CC591-C221-4889-AE97-063AF8433A78}"/>
    <hyperlink ref="B60" r:id="rId2" xr:uid="{477F662D-D454-4291-A632-F2FAD55FBB32}"/>
    <hyperlink ref="M4:M5" location="'FEB 2025'!A1" display="GOLDM OPTION" xr:uid="{B3969C8A-7B0B-4D3F-90A5-CB8C16150C00}"/>
    <hyperlink ref="B91" r:id="rId3" xr:uid="{14FE8C86-31CC-440E-83D2-6F21E48B9718}"/>
    <hyperlink ref="M8:M9" location="'FEB 2025'!A75" display="CRUDEOIL" xr:uid="{6E4ABAC5-B1B4-4057-BA04-25B041F2FF42}"/>
    <hyperlink ref="M1" location="MASTER!A1" display="Back" xr:uid="{B1D77AAB-C24A-4C80-B352-EF49DF2D4BF2}"/>
    <hyperlink ref="M6:M7" location="'FEB 2025'!A33" display="SILVERM OPTION" xr:uid="{CC6F612E-945A-4B30-9348-434E20C267FA}"/>
    <hyperlink ref="B122" r:id="rId4" xr:uid="{F980EB4E-8BF8-4454-8AAC-A6E85A03C6D1}"/>
    <hyperlink ref="M10:M11" location="'FEB 2025'!A110" display="CRUDEOIL OPTION" xr:uid="{21C59584-3BC9-4C32-B187-AD86AA149B4C}"/>
    <hyperlink ref="B153" r:id="rId5" xr:uid="{9416F93A-5EB8-4882-86B0-3EDCB377E689}"/>
    <hyperlink ref="B184" r:id="rId6" xr:uid="{0EF3E4AF-023F-47F2-9E02-B88362F0ED52}"/>
    <hyperlink ref="M12:M13" location="'FEB 2025'!A140" display="NATURALGAS OPTION" xr:uid="{C4FCF57F-17CC-4D6A-8EE2-2A0E76DBB0B2}"/>
    <hyperlink ref="M14:M15" location="'FEB 2025'!A170" display="BASE METAL" xr:uid="{785EA9F0-3B22-4299-AA35-D086015B400A}"/>
  </hyperlinks>
  <pageMargins left="0" right="0" top="0" bottom="0" header="0" footer="0"/>
  <pageSetup paperSize="9" orientation="portrait" r:id="rId7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134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41673</v>
      </c>
      <c r="C5" s="24" t="s">
        <v>16</v>
      </c>
      <c r="D5" s="26" t="s">
        <v>24</v>
      </c>
      <c r="E5" s="49" t="s">
        <v>141</v>
      </c>
      <c r="F5" s="49" t="s">
        <v>142</v>
      </c>
      <c r="G5" s="29">
        <v>100</v>
      </c>
      <c r="H5" s="29">
        <v>1000</v>
      </c>
      <c r="I5" s="20"/>
      <c r="J5" s="34"/>
    </row>
    <row r="6" spans="1:10" x14ac:dyDescent="0.3">
      <c r="A6" s="20"/>
      <c r="B6" s="71">
        <v>41674</v>
      </c>
      <c r="C6" s="24" t="s">
        <v>23</v>
      </c>
      <c r="D6" s="26" t="s">
        <v>24</v>
      </c>
      <c r="E6" s="49" t="s">
        <v>143</v>
      </c>
      <c r="F6" s="49" t="s">
        <v>144</v>
      </c>
      <c r="G6" s="29">
        <v>100</v>
      </c>
      <c r="H6" s="29">
        <v>20000</v>
      </c>
      <c r="I6" s="20"/>
      <c r="J6" s="34"/>
    </row>
    <row r="7" spans="1:10" x14ac:dyDescent="0.3">
      <c r="A7" s="20"/>
      <c r="B7" s="71">
        <v>41675</v>
      </c>
      <c r="C7" s="24" t="s">
        <v>16</v>
      </c>
      <c r="D7" s="26" t="s">
        <v>24</v>
      </c>
      <c r="E7" s="49">
        <v>28600</v>
      </c>
      <c r="F7" s="49" t="s">
        <v>142</v>
      </c>
      <c r="G7" s="29">
        <v>100</v>
      </c>
      <c r="H7" s="29">
        <v>1000</v>
      </c>
      <c r="I7" s="20"/>
      <c r="J7" s="34"/>
    </row>
    <row r="8" spans="1:10" x14ac:dyDescent="0.3">
      <c r="A8" s="20"/>
      <c r="B8" s="71">
        <v>41676</v>
      </c>
      <c r="C8" s="24" t="s">
        <v>16</v>
      </c>
      <c r="D8" s="26" t="s">
        <v>24</v>
      </c>
      <c r="E8" s="49" t="s">
        <v>142</v>
      </c>
      <c r="F8" s="49" t="s">
        <v>144</v>
      </c>
      <c r="G8" s="29">
        <v>100</v>
      </c>
      <c r="H8" s="29">
        <v>20000</v>
      </c>
      <c r="I8" s="20"/>
      <c r="J8" s="34"/>
    </row>
    <row r="9" spans="1:10" x14ac:dyDescent="0.3">
      <c r="A9" s="20"/>
      <c r="B9" s="71">
        <v>41677</v>
      </c>
      <c r="C9" s="24" t="s">
        <v>23</v>
      </c>
      <c r="D9" s="26" t="s">
        <v>22</v>
      </c>
      <c r="E9" s="49" t="s">
        <v>145</v>
      </c>
      <c r="F9" s="49" t="s">
        <v>146</v>
      </c>
      <c r="G9" s="29">
        <v>30</v>
      </c>
      <c r="H9" s="29">
        <v>-9000</v>
      </c>
      <c r="I9" s="20"/>
      <c r="J9" s="34"/>
    </row>
    <row r="10" spans="1:10" x14ac:dyDescent="0.3">
      <c r="A10" s="20"/>
      <c r="B10" s="71">
        <v>41680</v>
      </c>
      <c r="C10" s="24" t="s">
        <v>23</v>
      </c>
      <c r="D10" s="26" t="s">
        <v>24</v>
      </c>
      <c r="E10" s="49">
        <v>29005</v>
      </c>
      <c r="F10" s="49">
        <v>29005</v>
      </c>
      <c r="G10" s="29">
        <v>100</v>
      </c>
      <c r="H10" s="29">
        <v>0</v>
      </c>
      <c r="I10" s="20"/>
      <c r="J10" s="34"/>
    </row>
    <row r="11" spans="1:10" x14ac:dyDescent="0.3">
      <c r="A11" s="20"/>
      <c r="B11" s="71">
        <v>41681</v>
      </c>
      <c r="C11" s="24" t="s">
        <v>55</v>
      </c>
      <c r="D11" s="26" t="s">
        <v>24</v>
      </c>
      <c r="E11" s="49">
        <v>29010</v>
      </c>
      <c r="F11" s="49">
        <v>29030</v>
      </c>
      <c r="G11" s="29">
        <v>100</v>
      </c>
      <c r="H11" s="29">
        <v>2000</v>
      </c>
      <c r="I11" s="20"/>
      <c r="J11" s="34"/>
    </row>
    <row r="12" spans="1:10" x14ac:dyDescent="0.3">
      <c r="A12" s="20"/>
      <c r="B12" s="71">
        <v>41682</v>
      </c>
      <c r="C12" s="24" t="s">
        <v>16</v>
      </c>
      <c r="D12" s="26" t="s">
        <v>24</v>
      </c>
      <c r="E12" s="49">
        <v>29050</v>
      </c>
      <c r="F12" s="49">
        <v>29100</v>
      </c>
      <c r="G12" s="29">
        <v>100</v>
      </c>
      <c r="H12" s="29">
        <v>5000</v>
      </c>
      <c r="I12" s="20"/>
      <c r="J12" s="34"/>
    </row>
    <row r="13" spans="1:10" x14ac:dyDescent="0.3">
      <c r="A13" s="20"/>
      <c r="B13" s="71">
        <v>41682</v>
      </c>
      <c r="C13" s="24" t="s">
        <v>16</v>
      </c>
      <c r="D13" s="26" t="s">
        <v>22</v>
      </c>
      <c r="E13" s="49">
        <v>44730</v>
      </c>
      <c r="F13" s="49">
        <v>44880</v>
      </c>
      <c r="G13" s="29">
        <v>30</v>
      </c>
      <c r="H13" s="29">
        <v>4500</v>
      </c>
      <c r="I13" s="20"/>
      <c r="J13" s="34"/>
    </row>
    <row r="14" spans="1:10" x14ac:dyDescent="0.3">
      <c r="A14" s="20"/>
      <c r="B14" s="71">
        <v>41683</v>
      </c>
      <c r="C14" s="24" t="s">
        <v>16</v>
      </c>
      <c r="D14" s="26" t="s">
        <v>24</v>
      </c>
      <c r="E14" s="49">
        <v>29150</v>
      </c>
      <c r="F14" s="49">
        <v>29300</v>
      </c>
      <c r="G14" s="29">
        <v>100</v>
      </c>
      <c r="H14" s="29">
        <v>15000</v>
      </c>
      <c r="I14" s="20"/>
      <c r="J14" s="34"/>
    </row>
    <row r="15" spans="1:10" x14ac:dyDescent="0.3">
      <c r="A15" s="20"/>
      <c r="B15" s="71">
        <v>41683</v>
      </c>
      <c r="C15" s="24" t="s">
        <v>16</v>
      </c>
      <c r="D15" s="26" t="s">
        <v>22</v>
      </c>
      <c r="E15" s="49">
        <v>44850</v>
      </c>
      <c r="F15" s="49">
        <v>45300</v>
      </c>
      <c r="G15" s="29">
        <v>30</v>
      </c>
      <c r="H15" s="29">
        <v>12500</v>
      </c>
      <c r="I15" s="20"/>
      <c r="J15" s="34"/>
    </row>
    <row r="16" spans="1:10" x14ac:dyDescent="0.3">
      <c r="A16" s="20"/>
      <c r="B16" s="71">
        <v>41684</v>
      </c>
      <c r="C16" s="24" t="s">
        <v>16</v>
      </c>
      <c r="D16" s="26" t="s">
        <v>24</v>
      </c>
      <c r="E16" s="49">
        <v>29290</v>
      </c>
      <c r="F16" s="49">
        <v>29380</v>
      </c>
      <c r="G16" s="29">
        <v>100</v>
      </c>
      <c r="H16" s="29">
        <v>9000</v>
      </c>
      <c r="I16" s="20"/>
      <c r="J16" s="34"/>
    </row>
    <row r="17" spans="1:10" x14ac:dyDescent="0.3">
      <c r="A17" s="20"/>
      <c r="B17" s="71">
        <v>41684</v>
      </c>
      <c r="C17" s="24" t="s">
        <v>16</v>
      </c>
      <c r="D17" s="26" t="s">
        <v>22</v>
      </c>
      <c r="E17" s="49">
        <v>45630</v>
      </c>
      <c r="F17" s="49">
        <v>45900</v>
      </c>
      <c r="G17" s="29">
        <v>30</v>
      </c>
      <c r="H17" s="29">
        <v>8100</v>
      </c>
      <c r="I17" s="20"/>
      <c r="J17" s="34"/>
    </row>
    <row r="18" spans="1:10" x14ac:dyDescent="0.3">
      <c r="A18" s="20"/>
      <c r="B18" s="71">
        <v>41687</v>
      </c>
      <c r="C18" s="24" t="s">
        <v>23</v>
      </c>
      <c r="D18" s="26" t="s">
        <v>24</v>
      </c>
      <c r="E18" s="49">
        <v>29050</v>
      </c>
      <c r="F18" s="49">
        <v>30030</v>
      </c>
      <c r="G18" s="29">
        <v>100</v>
      </c>
      <c r="H18" s="29">
        <v>-8000</v>
      </c>
      <c r="I18" s="20"/>
      <c r="J18" s="34"/>
    </row>
    <row r="19" spans="1:10" x14ac:dyDescent="0.3">
      <c r="A19" s="20"/>
      <c r="B19" s="71">
        <v>41688</v>
      </c>
      <c r="C19" s="24" t="s">
        <v>23</v>
      </c>
      <c r="D19" s="26" t="s">
        <v>24</v>
      </c>
      <c r="E19" s="49">
        <v>30010</v>
      </c>
      <c r="F19" s="49" t="s">
        <v>147</v>
      </c>
      <c r="G19" s="29">
        <v>100</v>
      </c>
      <c r="H19" s="29">
        <v>0</v>
      </c>
      <c r="I19" s="20"/>
      <c r="J19" s="34"/>
    </row>
    <row r="20" spans="1:10" x14ac:dyDescent="0.3">
      <c r="A20" s="20"/>
      <c r="B20" s="71">
        <v>41688</v>
      </c>
      <c r="C20" s="24" t="s">
        <v>23</v>
      </c>
      <c r="D20" s="26" t="s">
        <v>22</v>
      </c>
      <c r="E20" s="49">
        <v>47100</v>
      </c>
      <c r="F20" s="49">
        <v>46950</v>
      </c>
      <c r="G20" s="29">
        <v>30</v>
      </c>
      <c r="H20" s="29">
        <v>4500</v>
      </c>
      <c r="I20" s="20"/>
      <c r="J20" s="34"/>
    </row>
    <row r="21" spans="1:10" x14ac:dyDescent="0.3">
      <c r="A21" s="20"/>
      <c r="B21" s="71">
        <v>41690</v>
      </c>
      <c r="C21" s="24" t="s">
        <v>16</v>
      </c>
      <c r="D21" s="26" t="s">
        <v>24</v>
      </c>
      <c r="E21" s="49">
        <v>29860</v>
      </c>
      <c r="F21" s="49" t="s">
        <v>149</v>
      </c>
      <c r="G21" s="29">
        <v>100</v>
      </c>
      <c r="H21" s="29">
        <v>7000</v>
      </c>
      <c r="I21" s="20"/>
      <c r="J21" s="34"/>
    </row>
    <row r="22" spans="1:10" x14ac:dyDescent="0.3">
      <c r="A22" s="20"/>
      <c r="B22" s="71">
        <v>41691</v>
      </c>
      <c r="C22" s="24" t="s">
        <v>16</v>
      </c>
      <c r="D22" s="26" t="s">
        <v>24</v>
      </c>
      <c r="E22" s="49" t="s">
        <v>150</v>
      </c>
      <c r="F22" s="49">
        <v>29780</v>
      </c>
      <c r="G22" s="29">
        <v>100</v>
      </c>
      <c r="H22" s="29">
        <v>-8000</v>
      </c>
      <c r="I22" s="20"/>
      <c r="J22" s="34"/>
    </row>
    <row r="23" spans="1:10" x14ac:dyDescent="0.3">
      <c r="A23" s="20"/>
      <c r="B23" s="71">
        <v>41694</v>
      </c>
      <c r="C23" s="24" t="s">
        <v>16</v>
      </c>
      <c r="D23" s="26" t="s">
        <v>24</v>
      </c>
      <c r="E23" s="49">
        <v>29910</v>
      </c>
      <c r="F23" s="49" t="s">
        <v>147</v>
      </c>
      <c r="G23" s="29">
        <v>100</v>
      </c>
      <c r="H23" s="29">
        <v>10000</v>
      </c>
      <c r="I23" s="20"/>
      <c r="J23" s="34"/>
    </row>
    <row r="24" spans="1:10" x14ac:dyDescent="0.3">
      <c r="A24" s="20"/>
      <c r="B24" s="71">
        <v>41695</v>
      </c>
      <c r="C24" s="24" t="s">
        <v>23</v>
      </c>
      <c r="D24" s="26" t="s">
        <v>24</v>
      </c>
      <c r="E24" s="49">
        <v>30115</v>
      </c>
      <c r="F24" s="49" t="s">
        <v>148</v>
      </c>
      <c r="G24" s="29">
        <v>100</v>
      </c>
      <c r="H24" s="29">
        <v>0</v>
      </c>
      <c r="I24" s="20"/>
      <c r="J24" s="34"/>
    </row>
    <row r="25" spans="1:10" x14ac:dyDescent="0.3">
      <c r="A25" s="20"/>
      <c r="B25" s="71">
        <v>41696</v>
      </c>
      <c r="C25" s="24" t="s">
        <v>23</v>
      </c>
      <c r="D25" s="26" t="s">
        <v>22</v>
      </c>
      <c r="E25" s="49">
        <v>47900</v>
      </c>
      <c r="F25" s="49" t="s">
        <v>151</v>
      </c>
      <c r="G25" s="25">
        <v>30</v>
      </c>
      <c r="H25" s="45">
        <v>12000</v>
      </c>
      <c r="I25" s="20"/>
      <c r="J25" s="34"/>
    </row>
    <row r="26" spans="1:10" x14ac:dyDescent="0.3">
      <c r="A26" s="20"/>
      <c r="B26" s="71">
        <v>41697</v>
      </c>
      <c r="C26" s="24" t="s">
        <v>23</v>
      </c>
      <c r="D26" s="26" t="s">
        <v>24</v>
      </c>
      <c r="E26" s="49">
        <v>30125</v>
      </c>
      <c r="F26" s="49">
        <v>30070</v>
      </c>
      <c r="G26" s="25">
        <v>100</v>
      </c>
      <c r="H26" s="45">
        <v>5500</v>
      </c>
      <c r="I26" s="20"/>
    </row>
    <row r="27" spans="1:10" ht="15.6" x14ac:dyDescent="0.3">
      <c r="A27" s="20"/>
      <c r="B27" s="71"/>
      <c r="C27" s="24"/>
      <c r="D27" s="26"/>
      <c r="E27" s="26"/>
      <c r="F27" s="26"/>
      <c r="G27" s="25"/>
      <c r="H27" s="46">
        <v>112100</v>
      </c>
      <c r="I27" s="20"/>
    </row>
    <row r="28" spans="1:10" x14ac:dyDescent="0.3">
      <c r="A28" s="20"/>
      <c r="B28" s="18"/>
      <c r="C28" s="45"/>
      <c r="D28" s="36"/>
      <c r="E28" s="45"/>
      <c r="F28" s="45"/>
      <c r="G28" s="29"/>
      <c r="H28" s="73"/>
      <c r="I28" s="20"/>
    </row>
    <row r="29" spans="1:10" x14ac:dyDescent="0.3">
      <c r="A29" s="20"/>
      <c r="B29" s="18"/>
      <c r="C29" s="45"/>
      <c r="D29" s="36"/>
      <c r="E29" s="45"/>
      <c r="F29" s="45"/>
      <c r="G29" s="29"/>
      <c r="H29" s="45"/>
      <c r="I29" s="20"/>
    </row>
    <row r="30" spans="1:10" x14ac:dyDescent="0.3">
      <c r="A30" s="20"/>
      <c r="B30" s="35"/>
      <c r="C30" s="29"/>
      <c r="D30" s="36"/>
      <c r="E30" s="36"/>
      <c r="F30" s="29"/>
      <c r="G30" s="29"/>
      <c r="H30" s="29"/>
      <c r="I30" s="20"/>
    </row>
    <row r="31" spans="1:10" ht="15.6" x14ac:dyDescent="0.3">
      <c r="A31" s="20"/>
      <c r="B31" s="61" t="s">
        <v>138</v>
      </c>
      <c r="C31" s="62"/>
      <c r="D31" s="63"/>
      <c r="E31" s="62"/>
      <c r="F31" s="62"/>
      <c r="G31" s="62"/>
      <c r="H31" s="62"/>
      <c r="I31" s="20"/>
    </row>
    <row r="32" spans="1:10" x14ac:dyDescent="0.3">
      <c r="A32" s="20"/>
      <c r="B32" s="71">
        <v>41673</v>
      </c>
      <c r="C32" s="24" t="s">
        <v>16</v>
      </c>
      <c r="D32" s="24" t="s">
        <v>25</v>
      </c>
      <c r="E32" s="49">
        <v>6125</v>
      </c>
      <c r="F32" s="49">
        <v>6142</v>
      </c>
      <c r="G32" s="25">
        <v>100</v>
      </c>
      <c r="H32" s="29">
        <v>1700</v>
      </c>
      <c r="I32" s="20"/>
    </row>
    <row r="33" spans="1:9" x14ac:dyDescent="0.3">
      <c r="A33" s="20"/>
      <c r="B33" s="71">
        <v>41674</v>
      </c>
      <c r="C33" s="24" t="s">
        <v>16</v>
      </c>
      <c r="D33" s="24" t="s">
        <v>25</v>
      </c>
      <c r="E33" s="49" t="s">
        <v>153</v>
      </c>
      <c r="F33" s="49" t="s">
        <v>154</v>
      </c>
      <c r="G33" s="25">
        <v>100</v>
      </c>
      <c r="H33" s="29">
        <v>4000</v>
      </c>
      <c r="I33" s="20"/>
    </row>
    <row r="34" spans="1:9" x14ac:dyDescent="0.3">
      <c r="A34" s="20"/>
      <c r="B34" s="71">
        <v>41675</v>
      </c>
      <c r="C34" s="24" t="s">
        <v>16</v>
      </c>
      <c r="D34" s="24" t="s">
        <v>25</v>
      </c>
      <c r="E34" s="49">
        <v>6135</v>
      </c>
      <c r="F34" s="49">
        <v>6155</v>
      </c>
      <c r="G34" s="25">
        <v>100</v>
      </c>
      <c r="H34" s="29">
        <v>2000</v>
      </c>
      <c r="I34" s="20"/>
    </row>
    <row r="35" spans="1:9" x14ac:dyDescent="0.3">
      <c r="A35" s="20"/>
      <c r="B35" s="71">
        <v>41676</v>
      </c>
      <c r="C35" s="24" t="s">
        <v>16</v>
      </c>
      <c r="D35" s="24" t="s">
        <v>25</v>
      </c>
      <c r="E35" s="49">
        <v>6120</v>
      </c>
      <c r="F35" s="49" t="s">
        <v>155</v>
      </c>
      <c r="G35" s="25">
        <v>100</v>
      </c>
      <c r="H35" s="29">
        <v>4000</v>
      </c>
      <c r="I35" s="20"/>
    </row>
    <row r="36" spans="1:9" x14ac:dyDescent="0.3">
      <c r="A36" s="20"/>
      <c r="B36" s="71">
        <v>41677</v>
      </c>
      <c r="C36" s="24" t="s">
        <v>23</v>
      </c>
      <c r="D36" s="24" t="s">
        <v>152</v>
      </c>
      <c r="E36" s="49">
        <v>300</v>
      </c>
      <c r="F36" s="49" t="s">
        <v>156</v>
      </c>
      <c r="G36" s="25">
        <v>1250</v>
      </c>
      <c r="H36" s="29">
        <v>2500</v>
      </c>
      <c r="I36" s="20"/>
    </row>
    <row r="37" spans="1:9" x14ac:dyDescent="0.3">
      <c r="A37" s="20"/>
      <c r="B37" s="71">
        <v>41680</v>
      </c>
      <c r="C37" s="24" t="s">
        <v>16</v>
      </c>
      <c r="D37" s="24" t="s">
        <v>25</v>
      </c>
      <c r="E37" s="49">
        <v>6215</v>
      </c>
      <c r="F37" s="49" t="s">
        <v>157</v>
      </c>
      <c r="G37" s="25">
        <v>100</v>
      </c>
      <c r="H37" s="29">
        <v>4000</v>
      </c>
      <c r="I37" s="20"/>
    </row>
    <row r="38" spans="1:9" x14ac:dyDescent="0.3">
      <c r="A38" s="20"/>
      <c r="B38" s="71">
        <v>41681</v>
      </c>
      <c r="C38" s="24" t="s">
        <v>16</v>
      </c>
      <c r="D38" s="24" t="s">
        <v>25</v>
      </c>
      <c r="E38" s="49">
        <v>6255</v>
      </c>
      <c r="F38" s="49" t="s">
        <v>158</v>
      </c>
      <c r="G38" s="25">
        <v>100</v>
      </c>
      <c r="H38" s="29">
        <v>-2000</v>
      </c>
      <c r="I38" s="20"/>
    </row>
    <row r="39" spans="1:9" x14ac:dyDescent="0.3">
      <c r="A39" s="20"/>
      <c r="B39" s="71">
        <v>41682</v>
      </c>
      <c r="C39" s="24" t="s">
        <v>16</v>
      </c>
      <c r="D39" s="24" t="s">
        <v>106</v>
      </c>
      <c r="E39" s="49">
        <v>6245</v>
      </c>
      <c r="F39" s="49">
        <v>6275</v>
      </c>
      <c r="G39" s="25">
        <v>100</v>
      </c>
      <c r="H39" s="29">
        <v>3000</v>
      </c>
      <c r="I39" s="20"/>
    </row>
    <row r="40" spans="1:9" x14ac:dyDescent="0.3">
      <c r="A40" s="20"/>
      <c r="B40" s="71">
        <v>41683</v>
      </c>
      <c r="C40" s="24" t="s">
        <v>16</v>
      </c>
      <c r="D40" s="24" t="s">
        <v>25</v>
      </c>
      <c r="E40" s="49" t="s">
        <v>159</v>
      </c>
      <c r="F40" s="49" t="s">
        <v>160</v>
      </c>
      <c r="G40" s="25">
        <v>100</v>
      </c>
      <c r="H40" s="29">
        <v>2000</v>
      </c>
      <c r="I40" s="20"/>
    </row>
    <row r="41" spans="1:9" x14ac:dyDescent="0.3">
      <c r="A41" s="20"/>
      <c r="B41" s="71">
        <v>41684</v>
      </c>
      <c r="C41" s="24" t="s">
        <v>23</v>
      </c>
      <c r="D41" s="24" t="s">
        <v>106</v>
      </c>
      <c r="E41" s="49">
        <v>6205</v>
      </c>
      <c r="F41" s="49">
        <v>6185</v>
      </c>
      <c r="G41" s="25">
        <v>100</v>
      </c>
      <c r="H41" s="29">
        <v>2000</v>
      </c>
      <c r="I41" s="20"/>
    </row>
    <row r="42" spans="1:9" x14ac:dyDescent="0.3">
      <c r="A42" s="20"/>
      <c r="B42" s="71">
        <v>41687</v>
      </c>
      <c r="C42" s="24" t="s">
        <v>16</v>
      </c>
      <c r="D42" s="24" t="s">
        <v>106</v>
      </c>
      <c r="E42" s="49">
        <v>6235</v>
      </c>
      <c r="F42" s="49">
        <v>6255</v>
      </c>
      <c r="G42" s="25">
        <v>100</v>
      </c>
      <c r="H42" s="29">
        <v>2000</v>
      </c>
      <c r="I42" s="20"/>
    </row>
    <row r="43" spans="1:9" x14ac:dyDescent="0.3">
      <c r="A43" s="20"/>
      <c r="B43" s="71">
        <v>41687</v>
      </c>
      <c r="C43" s="24" t="s">
        <v>140</v>
      </c>
      <c r="D43" s="24" t="s">
        <v>26</v>
      </c>
      <c r="E43" s="49">
        <v>335</v>
      </c>
      <c r="F43" s="49">
        <v>333.5</v>
      </c>
      <c r="G43" s="25">
        <v>1250</v>
      </c>
      <c r="H43" s="29">
        <v>1825</v>
      </c>
      <c r="I43" s="20"/>
    </row>
    <row r="44" spans="1:9" x14ac:dyDescent="0.3">
      <c r="A44" s="20"/>
      <c r="B44" s="71">
        <v>41688</v>
      </c>
      <c r="C44" s="24" t="s">
        <v>16</v>
      </c>
      <c r="D44" s="24" t="s">
        <v>106</v>
      </c>
      <c r="E44" s="49">
        <v>6245</v>
      </c>
      <c r="F44" s="49">
        <v>6280</v>
      </c>
      <c r="G44" s="25">
        <v>100</v>
      </c>
      <c r="H44" s="29">
        <v>3500</v>
      </c>
      <c r="I44" s="20"/>
    </row>
    <row r="45" spans="1:9" x14ac:dyDescent="0.3">
      <c r="A45" s="20"/>
      <c r="B45" s="71">
        <v>41690</v>
      </c>
      <c r="C45" s="24" t="s">
        <v>23</v>
      </c>
      <c r="D45" s="26" t="s">
        <v>25</v>
      </c>
      <c r="E45" s="49">
        <v>6425</v>
      </c>
      <c r="F45" s="49" t="s">
        <v>161</v>
      </c>
      <c r="G45" s="25">
        <v>100</v>
      </c>
      <c r="H45" s="29">
        <v>2000</v>
      </c>
      <c r="I45" s="20"/>
    </row>
    <row r="46" spans="1:9" x14ac:dyDescent="0.3">
      <c r="A46" s="20"/>
      <c r="B46" s="71">
        <v>41691</v>
      </c>
      <c r="C46" s="24" t="s">
        <v>23</v>
      </c>
      <c r="D46" s="24" t="s">
        <v>152</v>
      </c>
      <c r="E46" s="49">
        <v>388</v>
      </c>
      <c r="F46" s="49" t="s">
        <v>162</v>
      </c>
      <c r="G46" s="25">
        <v>1250</v>
      </c>
      <c r="H46" s="29">
        <v>5000</v>
      </c>
      <c r="I46" s="20"/>
    </row>
    <row r="47" spans="1:9" x14ac:dyDescent="0.3">
      <c r="A47" s="20"/>
      <c r="B47" s="71">
        <v>41694</v>
      </c>
      <c r="C47" s="24" t="s">
        <v>16</v>
      </c>
      <c r="D47" s="26" t="s">
        <v>25</v>
      </c>
      <c r="E47" s="49">
        <v>6385</v>
      </c>
      <c r="F47" s="49" t="s">
        <v>161</v>
      </c>
      <c r="G47" s="25">
        <v>100</v>
      </c>
      <c r="H47" s="29">
        <v>2000</v>
      </c>
      <c r="I47" s="20"/>
    </row>
    <row r="48" spans="1:9" x14ac:dyDescent="0.3">
      <c r="A48" s="20"/>
      <c r="B48" s="71">
        <v>41695</v>
      </c>
      <c r="C48" s="24" t="s">
        <v>16</v>
      </c>
      <c r="D48" s="26" t="s">
        <v>25</v>
      </c>
      <c r="E48" s="49">
        <v>6345</v>
      </c>
      <c r="F48" s="49" t="s">
        <v>163</v>
      </c>
      <c r="G48" s="25">
        <v>100</v>
      </c>
      <c r="H48" s="29">
        <v>-2000</v>
      </c>
      <c r="I48" s="20"/>
    </row>
    <row r="49" spans="1:9" x14ac:dyDescent="0.3">
      <c r="A49" s="20"/>
      <c r="B49" s="71">
        <v>41696</v>
      </c>
      <c r="C49" s="24" t="s">
        <v>16</v>
      </c>
      <c r="D49" s="26" t="s">
        <v>25</v>
      </c>
      <c r="E49" s="49">
        <v>6385</v>
      </c>
      <c r="F49" s="49">
        <v>6405</v>
      </c>
      <c r="G49" s="25">
        <v>100</v>
      </c>
      <c r="H49" s="29">
        <v>2000</v>
      </c>
      <c r="I49" s="20"/>
    </row>
    <row r="50" spans="1:9" ht="15.6" x14ac:dyDescent="0.3">
      <c r="A50" s="20"/>
      <c r="B50" s="35"/>
      <c r="C50" s="24"/>
      <c r="D50" s="24"/>
      <c r="E50" s="26"/>
      <c r="F50" s="26"/>
      <c r="G50" s="75"/>
      <c r="H50" s="46">
        <v>39525</v>
      </c>
      <c r="I50" s="20"/>
    </row>
    <row r="51" spans="1:9" x14ac:dyDescent="0.3">
      <c r="A51" s="20"/>
      <c r="B51" s="35"/>
      <c r="C51" s="24"/>
      <c r="D51" s="26"/>
      <c r="E51" s="26"/>
      <c r="F51" s="26"/>
      <c r="G51" s="75"/>
      <c r="H51" s="75"/>
      <c r="I51" s="20"/>
    </row>
    <row r="52" spans="1:9" x14ac:dyDescent="0.3">
      <c r="A52" s="20"/>
      <c r="B52" s="35"/>
      <c r="C52" s="18"/>
      <c r="D52" s="18"/>
      <c r="E52" s="18"/>
      <c r="F52" s="18"/>
      <c r="G52" s="29"/>
      <c r="H52" s="29"/>
      <c r="I52" s="20"/>
    </row>
    <row r="53" spans="1:9" x14ac:dyDescent="0.3">
      <c r="A53" s="20"/>
      <c r="B53" s="35"/>
      <c r="C53" s="29"/>
      <c r="D53" s="36"/>
      <c r="E53" s="29"/>
      <c r="F53" s="29"/>
      <c r="G53" s="29"/>
      <c r="H53" s="29"/>
      <c r="I53" s="20"/>
    </row>
    <row r="54" spans="1:9" ht="15.6" x14ac:dyDescent="0.3">
      <c r="A54" s="20"/>
      <c r="B54" s="61" t="s">
        <v>139</v>
      </c>
      <c r="C54" s="62"/>
      <c r="D54" s="63"/>
      <c r="E54" s="62"/>
      <c r="F54" s="62"/>
      <c r="G54" s="62"/>
      <c r="H54" s="64"/>
      <c r="I54" s="20"/>
    </row>
    <row r="55" spans="1:9" x14ac:dyDescent="0.3">
      <c r="A55" s="20"/>
      <c r="B55" s="71">
        <v>41673</v>
      </c>
      <c r="C55" s="24" t="s">
        <v>23</v>
      </c>
      <c r="D55" s="24" t="s">
        <v>29</v>
      </c>
      <c r="E55" s="26">
        <v>444.5</v>
      </c>
      <c r="F55" s="26">
        <v>442.5</v>
      </c>
      <c r="G55" s="29">
        <v>1000</v>
      </c>
      <c r="H55" s="29">
        <v>3000</v>
      </c>
      <c r="I55" s="20"/>
    </row>
    <row r="56" spans="1:9" x14ac:dyDescent="0.3">
      <c r="A56" s="20"/>
      <c r="B56" s="71">
        <v>41675</v>
      </c>
      <c r="C56" s="24" t="s">
        <v>23</v>
      </c>
      <c r="D56" s="24" t="s">
        <v>29</v>
      </c>
      <c r="E56" s="26">
        <v>444.5</v>
      </c>
      <c r="F56" s="26">
        <v>441.5</v>
      </c>
      <c r="G56" s="29">
        <v>1000</v>
      </c>
      <c r="H56" s="29">
        <v>3000</v>
      </c>
      <c r="I56" s="20"/>
    </row>
    <row r="57" spans="1:9" x14ac:dyDescent="0.3">
      <c r="A57" s="20"/>
      <c r="B57" s="71">
        <v>41676</v>
      </c>
      <c r="C57" s="24" t="s">
        <v>16</v>
      </c>
      <c r="D57" s="24" t="s">
        <v>29</v>
      </c>
      <c r="E57" s="26">
        <v>443.5</v>
      </c>
      <c r="F57" s="26">
        <v>442.5</v>
      </c>
      <c r="G57" s="29">
        <v>1000</v>
      </c>
      <c r="H57" s="29">
        <v>-1000</v>
      </c>
      <c r="I57" s="20"/>
    </row>
    <row r="58" spans="1:9" x14ac:dyDescent="0.3">
      <c r="A58" s="20"/>
      <c r="B58" s="71">
        <v>41677</v>
      </c>
      <c r="C58" s="24" t="s">
        <v>23</v>
      </c>
      <c r="D58" s="24" t="s">
        <v>29</v>
      </c>
      <c r="E58" s="26">
        <v>447.5</v>
      </c>
      <c r="F58" s="26">
        <v>445.5</v>
      </c>
      <c r="G58" s="29">
        <v>1000</v>
      </c>
      <c r="H58" s="29">
        <v>2000</v>
      </c>
      <c r="I58" s="20"/>
    </row>
    <row r="59" spans="1:9" x14ac:dyDescent="0.3">
      <c r="A59" s="20"/>
      <c r="B59" s="71">
        <v>41680</v>
      </c>
      <c r="C59" s="24" t="s">
        <v>23</v>
      </c>
      <c r="D59" s="26" t="s">
        <v>29</v>
      </c>
      <c r="E59" s="26">
        <v>447.5</v>
      </c>
      <c r="F59" s="26">
        <v>445.5</v>
      </c>
      <c r="G59" s="29">
        <v>1000</v>
      </c>
      <c r="H59" s="29">
        <v>2000</v>
      </c>
      <c r="I59" s="20"/>
    </row>
    <row r="60" spans="1:9" x14ac:dyDescent="0.3">
      <c r="A60" s="20"/>
      <c r="B60" s="71">
        <v>41681</v>
      </c>
      <c r="C60" s="24" t="s">
        <v>23</v>
      </c>
      <c r="D60" s="24" t="s">
        <v>27</v>
      </c>
      <c r="E60" s="29">
        <v>130.5</v>
      </c>
      <c r="F60" s="29">
        <v>130</v>
      </c>
      <c r="G60" s="29">
        <v>5000</v>
      </c>
      <c r="H60" s="29">
        <v>2500</v>
      </c>
      <c r="I60" s="20"/>
    </row>
    <row r="61" spans="1:9" x14ac:dyDescent="0.3">
      <c r="A61" s="20"/>
      <c r="B61" s="71">
        <v>41682</v>
      </c>
      <c r="C61" s="24" t="s">
        <v>23</v>
      </c>
      <c r="D61" s="24" t="s">
        <v>27</v>
      </c>
      <c r="E61" s="29">
        <v>131.5</v>
      </c>
      <c r="F61" s="29">
        <v>130.5</v>
      </c>
      <c r="G61" s="29">
        <v>5000</v>
      </c>
      <c r="H61" s="29">
        <v>5000</v>
      </c>
      <c r="I61" s="20"/>
    </row>
    <row r="62" spans="1:9" x14ac:dyDescent="0.3">
      <c r="A62" s="20"/>
      <c r="B62" s="71">
        <v>41683</v>
      </c>
      <c r="C62" s="24" t="s">
        <v>16</v>
      </c>
      <c r="D62" s="24" t="s">
        <v>29</v>
      </c>
      <c r="E62" s="29">
        <v>446.5</v>
      </c>
      <c r="F62" s="29">
        <v>447</v>
      </c>
      <c r="G62" s="29">
        <v>1000</v>
      </c>
      <c r="H62" s="29">
        <v>500</v>
      </c>
      <c r="I62" s="20"/>
    </row>
    <row r="63" spans="1:9" x14ac:dyDescent="0.3">
      <c r="A63" s="20"/>
      <c r="B63" s="71">
        <v>41687</v>
      </c>
      <c r="C63" s="24" t="s">
        <v>16</v>
      </c>
      <c r="D63" s="24" t="s">
        <v>28</v>
      </c>
      <c r="E63" s="29">
        <v>127.7</v>
      </c>
      <c r="F63" s="29">
        <v>128.19999999999999</v>
      </c>
      <c r="G63" s="29">
        <v>5000</v>
      </c>
      <c r="H63" s="29">
        <v>2500</v>
      </c>
      <c r="I63" s="20"/>
    </row>
    <row r="64" spans="1:9" x14ac:dyDescent="0.3">
      <c r="A64" s="20"/>
      <c r="B64" s="71">
        <v>41688</v>
      </c>
      <c r="C64" s="24" t="s">
        <v>16</v>
      </c>
      <c r="D64" s="24" t="s">
        <v>27</v>
      </c>
      <c r="E64" s="29">
        <v>133.1</v>
      </c>
      <c r="F64" s="29">
        <v>134.19999999999999</v>
      </c>
      <c r="G64" s="29">
        <v>5000</v>
      </c>
      <c r="H64" s="29">
        <v>5000</v>
      </c>
      <c r="I64" s="20"/>
    </row>
    <row r="65" spans="1:9" x14ac:dyDescent="0.3">
      <c r="A65" s="20"/>
      <c r="B65" s="71">
        <v>41690</v>
      </c>
      <c r="C65" s="24" t="s">
        <v>23</v>
      </c>
      <c r="D65" s="26" t="s">
        <v>29</v>
      </c>
      <c r="E65" s="26">
        <v>449</v>
      </c>
      <c r="F65" s="26">
        <v>450.5</v>
      </c>
      <c r="G65" s="29">
        <v>1000</v>
      </c>
      <c r="H65" s="29">
        <v>-1500</v>
      </c>
      <c r="I65" s="20"/>
    </row>
    <row r="66" spans="1:9" x14ac:dyDescent="0.3">
      <c r="A66" s="20"/>
      <c r="B66" s="71">
        <v>41691</v>
      </c>
      <c r="C66" s="24" t="s">
        <v>16</v>
      </c>
      <c r="D66" s="26" t="s">
        <v>29</v>
      </c>
      <c r="E66" s="26">
        <v>448.5</v>
      </c>
      <c r="F66" s="26">
        <v>450.5</v>
      </c>
      <c r="G66" s="29">
        <v>1000</v>
      </c>
      <c r="H66" s="29">
        <v>2000</v>
      </c>
      <c r="I66" s="20"/>
    </row>
    <row r="67" spans="1:9" x14ac:dyDescent="0.3">
      <c r="A67" s="20"/>
      <c r="B67" s="71">
        <v>41694</v>
      </c>
      <c r="C67" s="24" t="s">
        <v>23</v>
      </c>
      <c r="D67" s="26" t="s">
        <v>29</v>
      </c>
      <c r="E67" s="26">
        <v>446</v>
      </c>
      <c r="F67" s="26">
        <v>443</v>
      </c>
      <c r="G67" s="29">
        <v>1000</v>
      </c>
      <c r="H67" s="29">
        <v>3000</v>
      </c>
      <c r="I67" s="20"/>
    </row>
    <row r="68" spans="1:9" x14ac:dyDescent="0.3">
      <c r="A68" s="20"/>
      <c r="B68" s="71">
        <v>41695</v>
      </c>
      <c r="C68" s="24" t="s">
        <v>23</v>
      </c>
      <c r="D68" s="26" t="s">
        <v>28</v>
      </c>
      <c r="E68" s="26">
        <v>127.45</v>
      </c>
      <c r="F68" s="29">
        <v>127</v>
      </c>
      <c r="G68" s="29">
        <v>5000</v>
      </c>
      <c r="H68" s="29">
        <v>2500</v>
      </c>
      <c r="I68" s="20"/>
    </row>
    <row r="69" spans="1:9" x14ac:dyDescent="0.3">
      <c r="A69" s="20"/>
      <c r="B69" s="71">
        <v>41696</v>
      </c>
      <c r="C69" s="24" t="s">
        <v>16</v>
      </c>
      <c r="D69" s="26" t="s">
        <v>29</v>
      </c>
      <c r="E69" s="26">
        <v>445</v>
      </c>
      <c r="F69" s="26">
        <v>446</v>
      </c>
      <c r="G69" s="29">
        <v>1000</v>
      </c>
      <c r="H69" s="29">
        <v>1000</v>
      </c>
      <c r="I69" s="20"/>
    </row>
    <row r="70" spans="1:9" x14ac:dyDescent="0.3">
      <c r="A70" s="20"/>
      <c r="B70" s="71">
        <v>41697</v>
      </c>
      <c r="C70" s="24" t="s">
        <v>23</v>
      </c>
      <c r="D70" s="26" t="s">
        <v>29</v>
      </c>
      <c r="E70" s="26">
        <v>444</v>
      </c>
      <c r="F70" s="26">
        <v>442.5</v>
      </c>
      <c r="G70" s="29">
        <v>1000</v>
      </c>
      <c r="H70" s="29">
        <v>1500</v>
      </c>
      <c r="I70" s="20"/>
    </row>
    <row r="71" spans="1:9" ht="15.6" x14ac:dyDescent="0.3">
      <c r="A71" s="20"/>
      <c r="B71" s="35"/>
      <c r="C71" s="24"/>
      <c r="D71" s="24"/>
      <c r="E71" s="29"/>
      <c r="F71" s="29"/>
      <c r="G71" s="29"/>
      <c r="H71" s="70">
        <v>33000</v>
      </c>
      <c r="I71" s="20"/>
    </row>
    <row r="72" spans="1:9" x14ac:dyDescent="0.3">
      <c r="A72" s="20"/>
      <c r="B72" s="35"/>
      <c r="C72" s="24"/>
      <c r="D72" s="24"/>
      <c r="E72" s="29"/>
      <c r="F72" s="29"/>
      <c r="G72" s="29"/>
      <c r="H72" s="29"/>
      <c r="I72" s="20"/>
    </row>
    <row r="73" spans="1:9" x14ac:dyDescent="0.3">
      <c r="A73" s="20"/>
      <c r="B73" s="35"/>
      <c r="C73" s="24"/>
      <c r="D73" s="24"/>
      <c r="E73" s="29"/>
      <c r="F73" s="29"/>
      <c r="G73" s="29"/>
      <c r="H73" s="29"/>
      <c r="I73" s="20"/>
    </row>
    <row r="74" spans="1:9" x14ac:dyDescent="0.3">
      <c r="A74" s="20"/>
      <c r="B74" s="35"/>
      <c r="C74" s="24"/>
      <c r="D74" s="24"/>
      <c r="E74" s="26"/>
      <c r="F74" s="26"/>
      <c r="G74" s="25"/>
      <c r="H74" s="37"/>
      <c r="I74" s="20"/>
    </row>
    <row r="75" spans="1:9" x14ac:dyDescent="0.3">
      <c r="A75" s="20"/>
      <c r="B75" s="35"/>
      <c r="C75" s="24"/>
      <c r="D75" s="24"/>
      <c r="E75" s="26"/>
      <c r="F75" s="26"/>
      <c r="G75" s="25"/>
      <c r="H75" s="29"/>
      <c r="I75" s="20"/>
    </row>
    <row r="76" spans="1:9" x14ac:dyDescent="0.3">
      <c r="A76" s="20"/>
      <c r="B76" s="35"/>
      <c r="C76" s="24"/>
      <c r="D76" s="24"/>
      <c r="E76" s="26"/>
      <c r="F76" s="26"/>
      <c r="G76" s="25"/>
      <c r="H76" s="29"/>
      <c r="I76" s="20"/>
    </row>
    <row r="77" spans="1:9" x14ac:dyDescent="0.3">
      <c r="A77" s="20"/>
      <c r="B77" s="35"/>
      <c r="C77" s="24"/>
      <c r="D77" s="24"/>
      <c r="E77" s="26"/>
      <c r="F77" s="26"/>
      <c r="G77" s="25"/>
      <c r="H77" s="29"/>
      <c r="I77" s="76"/>
    </row>
    <row r="78" spans="1:9" x14ac:dyDescent="0.3">
      <c r="A78" s="57"/>
      <c r="H78" s="32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0E00-000000000000}"/>
  </hyperlinks>
  <pageMargins left="0.7" right="0.7" top="0.75" bottom="0.75" header="0.3" footer="0.3"/>
  <pageSetup orientation="portrait" horizontalDpi="300" verticalDpi="0" r:id="rId1"/>
  <ignoredErrors>
    <ignoredError sqref="E5:E6 E8:E9 F5:F9 F19 E22 F21 F23:F24 F25 E33:F33 F35:F38 E40:F40 F45:F48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3380A-7B75-4799-A54A-5625ABE96AA1}">
  <dimension ref="A1:X18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8.44140625" style="183" customWidth="1"/>
    <col min="6" max="6" width="13" style="183" customWidth="1"/>
    <col min="7" max="7" width="11.6640625" style="183" customWidth="1"/>
    <col min="8" max="8" width="10.886718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6" style="183" customWidth="1"/>
    <col min="14" max="14" width="11" style="183" customWidth="1"/>
    <col min="15" max="17" width="9.109375" style="183"/>
    <col min="18" max="18" width="10.6640625" style="183" bestFit="1" customWidth="1"/>
    <col min="19" max="20" width="9.109375" style="183" customWidth="1"/>
    <col min="21" max="21" width="9.109375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25" width="9.109375" style="183" customWidth="1"/>
    <col min="26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45778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950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960</v>
      </c>
      <c r="N4" s="354">
        <f>COUNT(C6:C28)</f>
        <v>21</v>
      </c>
      <c r="O4" s="369">
        <f>V29</f>
        <v>16</v>
      </c>
      <c r="P4" s="369">
        <f>W29</f>
        <v>4</v>
      </c>
      <c r="Q4" s="349">
        <f>N4-O4-P4</f>
        <v>1</v>
      </c>
      <c r="R4" s="343">
        <f>O4/N4</f>
        <v>0.76190476190476186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1017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45779</v>
      </c>
      <c r="D6" s="192" t="s">
        <v>16</v>
      </c>
      <c r="E6" s="192" t="s">
        <v>985</v>
      </c>
      <c r="F6" s="193">
        <v>1650</v>
      </c>
      <c r="G6" s="193">
        <v>1850</v>
      </c>
      <c r="H6" s="192">
        <v>200</v>
      </c>
      <c r="I6" s="193">
        <v>10</v>
      </c>
      <c r="J6" s="267">
        <f>H6*I6</f>
        <v>2000</v>
      </c>
      <c r="K6" s="185"/>
      <c r="M6" s="364" t="s">
        <v>959</v>
      </c>
      <c r="N6" s="347">
        <f>COUNT(C37:C59)</f>
        <v>21</v>
      </c>
      <c r="O6" s="348">
        <f>V60</f>
        <v>15</v>
      </c>
      <c r="P6" s="348">
        <f>W60</f>
        <v>6</v>
      </c>
      <c r="Q6" s="349">
        <f>N6-O6-P6</f>
        <v>0</v>
      </c>
      <c r="R6" s="345">
        <f t="shared" ref="R6" si="0">O6/N6</f>
        <v>0.7142857142857143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45782</v>
      </c>
      <c r="D7" s="196" t="s">
        <v>16</v>
      </c>
      <c r="E7" s="196" t="s">
        <v>985</v>
      </c>
      <c r="F7" s="197">
        <v>1850</v>
      </c>
      <c r="G7" s="197">
        <v>2050</v>
      </c>
      <c r="H7" s="196">
        <v>200</v>
      </c>
      <c r="I7" s="197">
        <v>10</v>
      </c>
      <c r="J7" s="268">
        <f t="shared" ref="J7:J28" si="1">H7*I7</f>
        <v>2000</v>
      </c>
      <c r="K7" s="185"/>
      <c r="M7" s="365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45783</v>
      </c>
      <c r="D8" s="196" t="s">
        <v>16</v>
      </c>
      <c r="E8" s="196" t="s">
        <v>1030</v>
      </c>
      <c r="F8" s="197">
        <v>1700</v>
      </c>
      <c r="G8" s="197">
        <v>1900</v>
      </c>
      <c r="H8" s="196">
        <v>200</v>
      </c>
      <c r="I8" s="197">
        <v>10</v>
      </c>
      <c r="J8" s="268">
        <f t="shared" si="1"/>
        <v>2000</v>
      </c>
      <c r="K8" s="185"/>
      <c r="M8" s="362" t="s">
        <v>125</v>
      </c>
      <c r="N8" s="347">
        <f>COUNT(C68:C90)</f>
        <v>21</v>
      </c>
      <c r="O8" s="348">
        <f>V91</f>
        <v>17</v>
      </c>
      <c r="P8" s="348">
        <f>W91</f>
        <v>4</v>
      </c>
      <c r="Q8" s="349">
        <f>N8-O8-P8</f>
        <v>0</v>
      </c>
      <c r="R8" s="345">
        <f>O8/N8</f>
        <v>0.80952380952380953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45784</v>
      </c>
      <c r="D9" s="196" t="s">
        <v>16</v>
      </c>
      <c r="E9" s="196" t="s">
        <v>1030</v>
      </c>
      <c r="F9" s="197">
        <v>1950</v>
      </c>
      <c r="G9" s="197">
        <v>1850</v>
      </c>
      <c r="H9" s="196">
        <v>-100</v>
      </c>
      <c r="I9" s="197">
        <v>10</v>
      </c>
      <c r="J9" s="268">
        <f t="shared" si="1"/>
        <v>-1000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45785</v>
      </c>
      <c r="D10" s="196" t="s">
        <v>16</v>
      </c>
      <c r="E10" s="196" t="s">
        <v>1030</v>
      </c>
      <c r="F10" s="197">
        <v>1450</v>
      </c>
      <c r="G10" s="197">
        <v>1650</v>
      </c>
      <c r="H10" s="196">
        <v>200</v>
      </c>
      <c r="I10" s="197">
        <v>10</v>
      </c>
      <c r="J10" s="268">
        <f t="shared" si="1"/>
        <v>2000</v>
      </c>
      <c r="K10" s="185"/>
      <c r="M10" s="364" t="s">
        <v>906</v>
      </c>
      <c r="N10" s="347">
        <f>COUNT(C99:C121)</f>
        <v>21</v>
      </c>
      <c r="O10" s="348">
        <f>V122</f>
        <v>14</v>
      </c>
      <c r="P10" s="348">
        <f>W122</f>
        <v>7</v>
      </c>
      <c r="Q10" s="349">
        <f>N10-O10-P10</f>
        <v>0</v>
      </c>
      <c r="R10" s="345">
        <f>O10/N10</f>
        <v>0.66666666666666663</v>
      </c>
      <c r="V10" s="183">
        <f t="shared" si="2"/>
        <v>1</v>
      </c>
      <c r="W10" s="183">
        <f t="shared" si="3"/>
        <v>0</v>
      </c>
    </row>
    <row r="11" spans="1:23" x14ac:dyDescent="0.3">
      <c r="A11" s="184"/>
      <c r="B11" s="194">
        <v>6</v>
      </c>
      <c r="C11" s="195">
        <v>45786</v>
      </c>
      <c r="D11" s="196" t="s">
        <v>16</v>
      </c>
      <c r="E11" s="196" t="s">
        <v>1030</v>
      </c>
      <c r="F11" s="197">
        <v>1400</v>
      </c>
      <c r="G11" s="197">
        <v>1450</v>
      </c>
      <c r="H11" s="196">
        <f>1450-1400</f>
        <v>50</v>
      </c>
      <c r="I11" s="197">
        <v>10</v>
      </c>
      <c r="J11" s="268">
        <f t="shared" si="1"/>
        <v>500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45789</v>
      </c>
      <c r="D12" s="196" t="s">
        <v>16</v>
      </c>
      <c r="E12" s="196" t="s">
        <v>1057</v>
      </c>
      <c r="F12" s="197">
        <v>2100</v>
      </c>
      <c r="G12" s="197">
        <v>2300</v>
      </c>
      <c r="H12" s="196">
        <v>200</v>
      </c>
      <c r="I12" s="197">
        <v>10</v>
      </c>
      <c r="J12" s="268">
        <f t="shared" si="1"/>
        <v>2000</v>
      </c>
      <c r="K12" s="185"/>
      <c r="M12" s="362" t="s">
        <v>998</v>
      </c>
      <c r="N12" s="347">
        <f>COUNT(C130:C152)</f>
        <v>21</v>
      </c>
      <c r="O12" s="348">
        <f>V153</f>
        <v>18</v>
      </c>
      <c r="P12" s="348">
        <f>W153</f>
        <v>3</v>
      </c>
      <c r="Q12" s="349">
        <f>N12-O12-P12</f>
        <v>0</v>
      </c>
      <c r="R12" s="345">
        <f>O12/N12</f>
        <v>0.8571428571428571</v>
      </c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45790</v>
      </c>
      <c r="D13" s="196" t="s">
        <v>16</v>
      </c>
      <c r="E13" s="196" t="s">
        <v>1063</v>
      </c>
      <c r="F13" s="197">
        <v>1430</v>
      </c>
      <c r="G13" s="197">
        <v>1530</v>
      </c>
      <c r="H13" s="196">
        <v>100</v>
      </c>
      <c r="I13" s="197">
        <v>10</v>
      </c>
      <c r="J13" s="268">
        <f t="shared" si="1"/>
        <v>1000</v>
      </c>
      <c r="K13" s="185"/>
      <c r="M13" s="362"/>
      <c r="N13" s="347"/>
      <c r="O13" s="348"/>
      <c r="P13" s="348"/>
      <c r="Q13" s="350"/>
      <c r="R13" s="345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45791</v>
      </c>
      <c r="D14" s="196" t="s">
        <v>16</v>
      </c>
      <c r="E14" s="196" t="s">
        <v>1063</v>
      </c>
      <c r="F14" s="197">
        <v>1100</v>
      </c>
      <c r="G14" s="197">
        <v>1000</v>
      </c>
      <c r="H14" s="196">
        <v>-100</v>
      </c>
      <c r="I14" s="197">
        <v>10</v>
      </c>
      <c r="J14" s="268">
        <f t="shared" si="1"/>
        <v>-1000</v>
      </c>
      <c r="K14" s="185"/>
      <c r="M14" s="364" t="s">
        <v>877</v>
      </c>
      <c r="N14" s="383">
        <f>COUNT(C161:C183)</f>
        <v>21</v>
      </c>
      <c r="O14" s="374">
        <f>V184</f>
        <v>15</v>
      </c>
      <c r="P14" s="374">
        <f>W184</f>
        <v>5</v>
      </c>
      <c r="Q14" s="366">
        <f>N14-O14-P14</f>
        <v>1</v>
      </c>
      <c r="R14" s="381">
        <f>O14/N14</f>
        <v>0.7142857142857143</v>
      </c>
      <c r="V14" s="183">
        <f t="shared" si="2"/>
        <v>0</v>
      </c>
      <c r="W14" s="183">
        <f t="shared" si="3"/>
        <v>1</v>
      </c>
    </row>
    <row r="15" spans="1:23" ht="15" thickBot="1" x14ac:dyDescent="0.35">
      <c r="A15" s="184"/>
      <c r="B15" s="194">
        <v>10</v>
      </c>
      <c r="C15" s="195">
        <v>45792</v>
      </c>
      <c r="D15" s="196" t="s">
        <v>16</v>
      </c>
      <c r="E15" s="196" t="s">
        <v>978</v>
      </c>
      <c r="F15" s="197">
        <v>1100</v>
      </c>
      <c r="G15" s="197">
        <v>1300</v>
      </c>
      <c r="H15" s="196">
        <v>200</v>
      </c>
      <c r="I15" s="197">
        <v>10</v>
      </c>
      <c r="J15" s="268">
        <f t="shared" si="1"/>
        <v>2000</v>
      </c>
      <c r="K15" s="185"/>
      <c r="M15" s="382"/>
      <c r="N15" s="384"/>
      <c r="O15" s="375"/>
      <c r="P15" s="375"/>
      <c r="Q15" s="376"/>
      <c r="R15" s="380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45793</v>
      </c>
      <c r="D16" s="196" t="s">
        <v>16</v>
      </c>
      <c r="E16" s="196" t="s">
        <v>951</v>
      </c>
      <c r="F16" s="197">
        <v>1300</v>
      </c>
      <c r="G16" s="197">
        <v>1200</v>
      </c>
      <c r="H16" s="196">
        <v>-100</v>
      </c>
      <c r="I16" s="197">
        <v>10</v>
      </c>
      <c r="J16" s="268">
        <f t="shared" si="1"/>
        <v>-1000</v>
      </c>
      <c r="K16" s="185"/>
      <c r="M16" s="377" t="s">
        <v>300</v>
      </c>
      <c r="N16" s="371">
        <f>SUM(N4:N11)</f>
        <v>84</v>
      </c>
      <c r="O16" s="371">
        <f>SUM(O4:O11)</f>
        <v>62</v>
      </c>
      <c r="P16" s="371">
        <f>SUM(P4:P11)</f>
        <v>21</v>
      </c>
      <c r="Q16" s="371">
        <f>SUM(Q4:Q11)</f>
        <v>1</v>
      </c>
      <c r="R16" s="379">
        <f>O16/N16</f>
        <v>0.73809523809523814</v>
      </c>
      <c r="V16" s="183">
        <f t="shared" si="2"/>
        <v>0</v>
      </c>
      <c r="W16" s="183">
        <f t="shared" si="3"/>
        <v>1</v>
      </c>
    </row>
    <row r="17" spans="1:23" ht="15" thickBot="1" x14ac:dyDescent="0.35">
      <c r="A17" s="184"/>
      <c r="B17" s="194">
        <v>12</v>
      </c>
      <c r="C17" s="195">
        <v>45796</v>
      </c>
      <c r="D17" s="196" t="s">
        <v>16</v>
      </c>
      <c r="E17" s="196" t="s">
        <v>1063</v>
      </c>
      <c r="F17" s="197">
        <v>950</v>
      </c>
      <c r="G17" s="197">
        <v>1080</v>
      </c>
      <c r="H17" s="196">
        <f>1080-950</f>
        <v>130</v>
      </c>
      <c r="I17" s="197">
        <v>10</v>
      </c>
      <c r="J17" s="268">
        <f t="shared" si="1"/>
        <v>1300</v>
      </c>
      <c r="K17" s="185"/>
      <c r="M17" s="378"/>
      <c r="N17" s="372"/>
      <c r="O17" s="372"/>
      <c r="P17" s="372"/>
      <c r="Q17" s="372"/>
      <c r="R17" s="380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45797</v>
      </c>
      <c r="D18" s="196" t="s">
        <v>16</v>
      </c>
      <c r="E18" s="196" t="s">
        <v>985</v>
      </c>
      <c r="F18" s="197">
        <v>1160</v>
      </c>
      <c r="G18" s="197">
        <v>1360</v>
      </c>
      <c r="H18" s="196">
        <v>200</v>
      </c>
      <c r="I18" s="197">
        <v>10</v>
      </c>
      <c r="J18" s="268">
        <f t="shared" si="1"/>
        <v>2000</v>
      </c>
      <c r="K18" s="185"/>
      <c r="M18" s="323" t="s">
        <v>878</v>
      </c>
      <c r="N18" s="324"/>
      <c r="O18" s="325"/>
      <c r="P18" s="332">
        <f>R16</f>
        <v>0.73809523809523814</v>
      </c>
      <c r="Q18" s="333"/>
      <c r="R18" s="334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45798</v>
      </c>
      <c r="D19" s="196" t="s">
        <v>16</v>
      </c>
      <c r="E19" s="196" t="s">
        <v>1018</v>
      </c>
      <c r="F19" s="197">
        <v>700</v>
      </c>
      <c r="G19" s="197">
        <v>800</v>
      </c>
      <c r="H19" s="196">
        <v>100</v>
      </c>
      <c r="I19" s="197">
        <v>10</v>
      </c>
      <c r="J19" s="268">
        <f t="shared" si="1"/>
        <v>1000</v>
      </c>
      <c r="K19" s="185"/>
      <c r="M19" s="326"/>
      <c r="N19" s="327"/>
      <c r="O19" s="328"/>
      <c r="P19" s="335"/>
      <c r="Q19" s="336"/>
      <c r="R19" s="337"/>
      <c r="V19" s="183">
        <f t="shared" si="2"/>
        <v>1</v>
      </c>
      <c r="W19" s="183">
        <f t="shared" si="3"/>
        <v>0</v>
      </c>
    </row>
    <row r="20" spans="1:23" ht="15" thickBot="1" x14ac:dyDescent="0.35">
      <c r="A20" s="184"/>
      <c r="B20" s="194">
        <v>15</v>
      </c>
      <c r="C20" s="195">
        <v>45799</v>
      </c>
      <c r="D20" s="196" t="s">
        <v>16</v>
      </c>
      <c r="E20" s="196" t="s">
        <v>1018</v>
      </c>
      <c r="F20" s="197">
        <v>800</v>
      </c>
      <c r="G20" s="197">
        <v>850</v>
      </c>
      <c r="H20" s="196">
        <v>50</v>
      </c>
      <c r="I20" s="197">
        <v>10</v>
      </c>
      <c r="J20" s="268">
        <f t="shared" si="1"/>
        <v>500</v>
      </c>
      <c r="K20" s="185"/>
      <c r="M20" s="329"/>
      <c r="N20" s="330"/>
      <c r="O20" s="331"/>
      <c r="P20" s="338"/>
      <c r="Q20" s="339"/>
      <c r="R20" s="340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45800</v>
      </c>
      <c r="D21" s="196" t="s">
        <v>16</v>
      </c>
      <c r="E21" s="196" t="s">
        <v>1018</v>
      </c>
      <c r="F21" s="197">
        <v>650</v>
      </c>
      <c r="G21" s="197">
        <v>550</v>
      </c>
      <c r="H21" s="196">
        <v>-100</v>
      </c>
      <c r="I21" s="197">
        <v>10</v>
      </c>
      <c r="J21" s="268">
        <f t="shared" si="1"/>
        <v>-1000</v>
      </c>
      <c r="K21" s="185"/>
      <c r="M21" s="183" t="s">
        <v>904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45803</v>
      </c>
      <c r="D22" s="196" t="s">
        <v>16</v>
      </c>
      <c r="E22" s="196" t="s">
        <v>1018</v>
      </c>
      <c r="F22" s="197">
        <v>300</v>
      </c>
      <c r="G22" s="197">
        <v>300</v>
      </c>
      <c r="H22" s="196">
        <v>0</v>
      </c>
      <c r="I22" s="197">
        <v>10</v>
      </c>
      <c r="J22" s="268">
        <f t="shared" si="1"/>
        <v>0</v>
      </c>
      <c r="K22" s="185"/>
      <c r="V22" s="183">
        <f t="shared" si="2"/>
        <v>0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45804</v>
      </c>
      <c r="D23" s="196" t="s">
        <v>16</v>
      </c>
      <c r="E23" s="196" t="s">
        <v>1049</v>
      </c>
      <c r="F23" s="197">
        <v>2100</v>
      </c>
      <c r="G23" s="197">
        <v>2248</v>
      </c>
      <c r="H23" s="196">
        <f>2248-2100</f>
        <v>148</v>
      </c>
      <c r="I23" s="197">
        <v>10</v>
      </c>
      <c r="J23" s="268">
        <f t="shared" si="1"/>
        <v>1480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45805</v>
      </c>
      <c r="D24" s="196" t="s">
        <v>16</v>
      </c>
      <c r="E24" s="196" t="s">
        <v>1018</v>
      </c>
      <c r="F24" s="197">
        <v>1800</v>
      </c>
      <c r="G24" s="197">
        <v>1900</v>
      </c>
      <c r="H24" s="196">
        <v>100</v>
      </c>
      <c r="I24" s="197">
        <v>10</v>
      </c>
      <c r="J24" s="268">
        <f t="shared" si="1"/>
        <v>1000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45806</v>
      </c>
      <c r="D25" s="196" t="s">
        <v>16</v>
      </c>
      <c r="E25" s="196" t="s">
        <v>1031</v>
      </c>
      <c r="F25" s="197">
        <v>2000</v>
      </c>
      <c r="G25" s="197">
        <v>2300</v>
      </c>
      <c r="H25" s="196">
        <v>300</v>
      </c>
      <c r="I25" s="197">
        <v>10</v>
      </c>
      <c r="J25" s="268">
        <f t="shared" si="1"/>
        <v>3000</v>
      </c>
      <c r="K25" s="185"/>
      <c r="V25" s="183">
        <f t="shared" si="2"/>
        <v>1</v>
      </c>
      <c r="W25" s="183">
        <f t="shared" si="3"/>
        <v>0</v>
      </c>
    </row>
    <row r="26" spans="1:23" ht="15" thickBot="1" x14ac:dyDescent="0.35">
      <c r="A26" s="184"/>
      <c r="B26" s="194">
        <v>21</v>
      </c>
      <c r="C26" s="195">
        <v>45807</v>
      </c>
      <c r="D26" s="196" t="s">
        <v>16</v>
      </c>
      <c r="E26" s="196" t="s">
        <v>1018</v>
      </c>
      <c r="F26" s="197">
        <v>1500</v>
      </c>
      <c r="G26" s="197">
        <v>1625</v>
      </c>
      <c r="H26" s="196">
        <v>125</v>
      </c>
      <c r="I26" s="197">
        <v>10</v>
      </c>
      <c r="J26" s="268">
        <f t="shared" si="1"/>
        <v>1250</v>
      </c>
      <c r="K26" s="185"/>
      <c r="V26" s="183">
        <f t="shared" si="2"/>
        <v>1</v>
      </c>
      <c r="W26" s="183">
        <f t="shared" si="3"/>
        <v>0</v>
      </c>
    </row>
    <row r="27" spans="1:23" hidden="1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hidden="1" thickBot="1" x14ac:dyDescent="0.35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21030</v>
      </c>
      <c r="K29" s="185"/>
      <c r="V29" s="183">
        <f>SUM(V6:V28)</f>
        <v>16</v>
      </c>
      <c r="W29" s="183">
        <f>SUM(W6:W28)</f>
        <v>4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45778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949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1017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45779</v>
      </c>
      <c r="D37" s="192" t="s">
        <v>16</v>
      </c>
      <c r="E37" s="192" t="s">
        <v>1007</v>
      </c>
      <c r="F37" s="193">
        <v>3220</v>
      </c>
      <c r="G37" s="193">
        <v>3360</v>
      </c>
      <c r="H37" s="192">
        <f>3360-3220</f>
        <v>140</v>
      </c>
      <c r="I37" s="193">
        <v>5</v>
      </c>
      <c r="J37" s="267">
        <f t="shared" ref="J37:J59" si="4">I37*H37</f>
        <v>700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45782</v>
      </c>
      <c r="D38" s="196" t="s">
        <v>16</v>
      </c>
      <c r="E38" s="196" t="s">
        <v>1007</v>
      </c>
      <c r="F38" s="222">
        <v>2860</v>
      </c>
      <c r="G38" s="222">
        <v>3260</v>
      </c>
      <c r="H38" s="222">
        <f>3260-2860</f>
        <v>400</v>
      </c>
      <c r="I38" s="197">
        <v>5</v>
      </c>
      <c r="J38" s="268">
        <f t="shared" si="4"/>
        <v>2000</v>
      </c>
      <c r="K38" s="185"/>
      <c r="V38" s="183">
        <f t="shared" ref="V38:V59" si="5">IF($J38&gt;0,1,0)</f>
        <v>1</v>
      </c>
      <c r="W38" s="183">
        <f t="shared" ref="W38:W59" si="6">IF($J38&lt;0,1,0)</f>
        <v>0</v>
      </c>
    </row>
    <row r="39" spans="1:23" x14ac:dyDescent="0.3">
      <c r="A39" s="184"/>
      <c r="B39" s="194">
        <v>3</v>
      </c>
      <c r="C39" s="195">
        <v>45783</v>
      </c>
      <c r="D39" s="196" t="s">
        <v>16</v>
      </c>
      <c r="E39" s="196" t="s">
        <v>1030</v>
      </c>
      <c r="F39" s="197">
        <v>2990</v>
      </c>
      <c r="G39" s="197">
        <v>3200</v>
      </c>
      <c r="H39" s="222">
        <f>3200-2990</f>
        <v>210</v>
      </c>
      <c r="I39" s="197">
        <v>5</v>
      </c>
      <c r="J39" s="268">
        <f t="shared" si="4"/>
        <v>1050</v>
      </c>
      <c r="K39" s="185"/>
      <c r="V39" s="183">
        <f t="shared" si="5"/>
        <v>1</v>
      </c>
      <c r="W39" s="183">
        <f t="shared" si="6"/>
        <v>0</v>
      </c>
    </row>
    <row r="40" spans="1:23" x14ac:dyDescent="0.3">
      <c r="A40" s="184"/>
      <c r="B40" s="194">
        <v>4</v>
      </c>
      <c r="C40" s="195">
        <v>45784</v>
      </c>
      <c r="D40" s="196" t="s">
        <v>16</v>
      </c>
      <c r="E40" s="196" t="s">
        <v>1030</v>
      </c>
      <c r="F40" s="222">
        <v>2950</v>
      </c>
      <c r="G40" s="222">
        <v>2750</v>
      </c>
      <c r="H40" s="222">
        <v>-200</v>
      </c>
      <c r="I40" s="197">
        <v>5</v>
      </c>
      <c r="J40" s="268">
        <f t="shared" si="4"/>
        <v>-1000</v>
      </c>
      <c r="K40" s="185"/>
      <c r="V40" s="183">
        <f t="shared" si="5"/>
        <v>0</v>
      </c>
      <c r="W40" s="183">
        <f t="shared" si="6"/>
        <v>1</v>
      </c>
    </row>
    <row r="41" spans="1:23" x14ac:dyDescent="0.3">
      <c r="A41" s="184"/>
      <c r="B41" s="194">
        <v>5</v>
      </c>
      <c r="C41" s="195">
        <v>45785</v>
      </c>
      <c r="D41" s="196" t="s">
        <v>16</v>
      </c>
      <c r="E41" s="196" t="s">
        <v>1030</v>
      </c>
      <c r="F41" s="197">
        <v>1450</v>
      </c>
      <c r="G41" s="197">
        <v>1650</v>
      </c>
      <c r="H41" s="196">
        <v>200</v>
      </c>
      <c r="I41" s="197">
        <v>5</v>
      </c>
      <c r="J41" s="268">
        <f t="shared" si="4"/>
        <v>1000</v>
      </c>
      <c r="K41" s="185"/>
      <c r="V41" s="183">
        <f t="shared" si="5"/>
        <v>1</v>
      </c>
      <c r="W41" s="183">
        <f t="shared" si="6"/>
        <v>0</v>
      </c>
    </row>
    <row r="42" spans="1:23" x14ac:dyDescent="0.3">
      <c r="A42" s="184"/>
      <c r="B42" s="194">
        <v>6</v>
      </c>
      <c r="C42" s="195">
        <v>45786</v>
      </c>
      <c r="D42" s="196" t="s">
        <v>16</v>
      </c>
      <c r="E42" s="196" t="s">
        <v>1030</v>
      </c>
      <c r="F42" s="222">
        <v>2750</v>
      </c>
      <c r="G42" s="222">
        <v>2550</v>
      </c>
      <c r="H42" s="196">
        <v>-200</v>
      </c>
      <c r="I42" s="197">
        <v>5</v>
      </c>
      <c r="J42" s="268">
        <f t="shared" si="4"/>
        <v>-1000</v>
      </c>
      <c r="K42" s="185"/>
      <c r="V42" s="183">
        <f t="shared" si="5"/>
        <v>0</v>
      </c>
      <c r="W42" s="183">
        <f t="shared" si="6"/>
        <v>1</v>
      </c>
    </row>
    <row r="43" spans="1:23" x14ac:dyDescent="0.3">
      <c r="A43" s="184"/>
      <c r="B43" s="194">
        <v>7</v>
      </c>
      <c r="C43" s="195">
        <v>45789</v>
      </c>
      <c r="D43" s="196" t="s">
        <v>16</v>
      </c>
      <c r="E43" s="196" t="s">
        <v>1005</v>
      </c>
      <c r="F43" s="222">
        <v>3000</v>
      </c>
      <c r="G43" s="222">
        <v>3300</v>
      </c>
      <c r="H43" s="222">
        <v>300</v>
      </c>
      <c r="I43" s="197">
        <v>5</v>
      </c>
      <c r="J43" s="268">
        <f t="shared" si="4"/>
        <v>1500</v>
      </c>
      <c r="K43" s="185"/>
      <c r="V43" s="183">
        <f t="shared" si="5"/>
        <v>1</v>
      </c>
      <c r="W43" s="183">
        <f t="shared" si="6"/>
        <v>0</v>
      </c>
    </row>
    <row r="44" spans="1:23" x14ac:dyDescent="0.3">
      <c r="A44" s="184"/>
      <c r="B44" s="194">
        <v>8</v>
      </c>
      <c r="C44" s="195">
        <v>45790</v>
      </c>
      <c r="D44" s="196" t="s">
        <v>16</v>
      </c>
      <c r="E44" s="196" t="s">
        <v>1030</v>
      </c>
      <c r="F44" s="197">
        <v>3150</v>
      </c>
      <c r="G44" s="197">
        <v>2950</v>
      </c>
      <c r="H44" s="196">
        <v>-200</v>
      </c>
      <c r="I44" s="197">
        <v>5</v>
      </c>
      <c r="J44" s="268">
        <f t="shared" si="4"/>
        <v>-1000</v>
      </c>
      <c r="K44" s="185"/>
      <c r="V44" s="183">
        <f t="shared" si="5"/>
        <v>0</v>
      </c>
      <c r="W44" s="183">
        <f t="shared" si="6"/>
        <v>1</v>
      </c>
    </row>
    <row r="45" spans="1:23" x14ac:dyDescent="0.3">
      <c r="A45" s="184"/>
      <c r="B45" s="194">
        <v>9</v>
      </c>
      <c r="C45" s="195">
        <v>45791</v>
      </c>
      <c r="D45" s="196" t="s">
        <v>16</v>
      </c>
      <c r="E45" s="196" t="s">
        <v>1030</v>
      </c>
      <c r="F45" s="222">
        <v>2600</v>
      </c>
      <c r="G45" s="222">
        <v>2734</v>
      </c>
      <c r="H45" s="222">
        <f>2734-2600</f>
        <v>134</v>
      </c>
      <c r="I45" s="197">
        <v>5</v>
      </c>
      <c r="J45" s="268">
        <f t="shared" si="4"/>
        <v>670</v>
      </c>
      <c r="K45" s="185"/>
      <c r="V45" s="183">
        <f t="shared" si="5"/>
        <v>1</v>
      </c>
      <c r="W45" s="183">
        <f t="shared" si="6"/>
        <v>0</v>
      </c>
    </row>
    <row r="46" spans="1:23" x14ac:dyDescent="0.3">
      <c r="A46" s="184"/>
      <c r="B46" s="194">
        <v>10</v>
      </c>
      <c r="C46" s="195">
        <v>45792</v>
      </c>
      <c r="D46" s="196" t="s">
        <v>16</v>
      </c>
      <c r="E46" s="196" t="s">
        <v>1007</v>
      </c>
      <c r="F46" s="197">
        <v>2450</v>
      </c>
      <c r="G46" s="222">
        <v>2850</v>
      </c>
      <c r="H46" s="196">
        <v>400</v>
      </c>
      <c r="I46" s="197">
        <v>5</v>
      </c>
      <c r="J46" s="268">
        <f t="shared" si="4"/>
        <v>2000</v>
      </c>
      <c r="K46" s="185"/>
      <c r="V46" s="183">
        <f t="shared" si="5"/>
        <v>1</v>
      </c>
      <c r="W46" s="183">
        <f t="shared" si="6"/>
        <v>0</v>
      </c>
    </row>
    <row r="47" spans="1:23" x14ac:dyDescent="0.3">
      <c r="A47" s="184"/>
      <c r="B47" s="194">
        <v>11</v>
      </c>
      <c r="C47" s="195">
        <v>45793</v>
      </c>
      <c r="D47" s="196" t="s">
        <v>16</v>
      </c>
      <c r="E47" s="196" t="s">
        <v>1005</v>
      </c>
      <c r="F47" s="222">
        <v>2250</v>
      </c>
      <c r="G47" s="222">
        <v>2535</v>
      </c>
      <c r="H47" s="222">
        <f>2535-2250</f>
        <v>285</v>
      </c>
      <c r="I47" s="197">
        <v>5</v>
      </c>
      <c r="J47" s="268">
        <f t="shared" si="4"/>
        <v>1425</v>
      </c>
      <c r="K47" s="185"/>
      <c r="V47" s="183">
        <f t="shared" si="5"/>
        <v>1</v>
      </c>
      <c r="W47" s="183">
        <f t="shared" si="6"/>
        <v>0</v>
      </c>
    </row>
    <row r="48" spans="1:23" x14ac:dyDescent="0.3">
      <c r="A48" s="184"/>
      <c r="B48" s="194">
        <v>12</v>
      </c>
      <c r="C48" s="195">
        <v>45796</v>
      </c>
      <c r="D48" s="196" t="s">
        <v>16</v>
      </c>
      <c r="E48" s="196" t="s">
        <v>1018</v>
      </c>
      <c r="F48" s="197">
        <v>2550</v>
      </c>
      <c r="G48" s="222">
        <v>2715</v>
      </c>
      <c r="H48" s="196">
        <f>2715-2550</f>
        <v>165</v>
      </c>
      <c r="I48" s="197">
        <v>5</v>
      </c>
      <c r="J48" s="268">
        <f t="shared" si="4"/>
        <v>825</v>
      </c>
      <c r="K48" s="185"/>
      <c r="V48" s="183">
        <f t="shared" si="5"/>
        <v>1</v>
      </c>
      <c r="W48" s="183">
        <f t="shared" si="6"/>
        <v>0</v>
      </c>
    </row>
    <row r="49" spans="1:23" x14ac:dyDescent="0.3">
      <c r="A49" s="184"/>
      <c r="B49" s="194">
        <v>13</v>
      </c>
      <c r="C49" s="195">
        <v>45797</v>
      </c>
      <c r="D49" s="196" t="s">
        <v>16</v>
      </c>
      <c r="E49" s="196" t="s">
        <v>1007</v>
      </c>
      <c r="F49" s="222">
        <v>2650</v>
      </c>
      <c r="G49" s="222">
        <v>3050</v>
      </c>
      <c r="H49" s="196">
        <f>3050-2650</f>
        <v>400</v>
      </c>
      <c r="I49" s="197">
        <v>5</v>
      </c>
      <c r="J49" s="268">
        <f t="shared" si="4"/>
        <v>2000</v>
      </c>
      <c r="K49" s="185"/>
      <c r="V49" s="183">
        <f t="shared" si="5"/>
        <v>1</v>
      </c>
      <c r="W49" s="183">
        <f t="shared" si="6"/>
        <v>0</v>
      </c>
    </row>
    <row r="50" spans="1:23" x14ac:dyDescent="0.3">
      <c r="A50" s="184"/>
      <c r="B50" s="194">
        <v>14</v>
      </c>
      <c r="C50" s="195">
        <v>45798</v>
      </c>
      <c r="D50" s="196" t="s">
        <v>16</v>
      </c>
      <c r="E50" s="196" t="s">
        <v>1031</v>
      </c>
      <c r="F50" s="197">
        <v>2510</v>
      </c>
      <c r="G50" s="222">
        <v>2310</v>
      </c>
      <c r="H50" s="196">
        <v>-200</v>
      </c>
      <c r="I50" s="197">
        <v>5</v>
      </c>
      <c r="J50" s="268">
        <f t="shared" si="4"/>
        <v>-1000</v>
      </c>
      <c r="K50" s="185"/>
      <c r="V50" s="183">
        <f t="shared" si="5"/>
        <v>0</v>
      </c>
      <c r="W50" s="183">
        <f t="shared" si="6"/>
        <v>1</v>
      </c>
    </row>
    <row r="51" spans="1:23" x14ac:dyDescent="0.3">
      <c r="A51" s="184"/>
      <c r="B51" s="194">
        <v>15</v>
      </c>
      <c r="C51" s="195">
        <v>45799</v>
      </c>
      <c r="D51" s="196" t="s">
        <v>16</v>
      </c>
      <c r="E51" s="196" t="s">
        <v>1048</v>
      </c>
      <c r="F51" s="222">
        <v>2520</v>
      </c>
      <c r="G51" s="222">
        <v>2620</v>
      </c>
      <c r="H51" s="196">
        <v>100</v>
      </c>
      <c r="I51" s="197">
        <v>5</v>
      </c>
      <c r="J51" s="268">
        <f t="shared" si="4"/>
        <v>500</v>
      </c>
      <c r="K51" s="185"/>
      <c r="V51" s="183">
        <f t="shared" si="5"/>
        <v>1</v>
      </c>
      <c r="W51" s="183">
        <f t="shared" si="6"/>
        <v>0</v>
      </c>
    </row>
    <row r="52" spans="1:23" x14ac:dyDescent="0.3">
      <c r="A52" s="184"/>
      <c r="B52" s="194">
        <v>16</v>
      </c>
      <c r="C52" s="195">
        <v>45800</v>
      </c>
      <c r="D52" s="196" t="s">
        <v>16</v>
      </c>
      <c r="E52" s="196" t="s">
        <v>1031</v>
      </c>
      <c r="F52" s="197">
        <v>2520</v>
      </c>
      <c r="G52" s="197">
        <v>2320</v>
      </c>
      <c r="H52" s="196">
        <v>-100</v>
      </c>
      <c r="I52" s="197">
        <v>5</v>
      </c>
      <c r="J52" s="268">
        <f t="shared" si="4"/>
        <v>-500</v>
      </c>
      <c r="K52" s="185"/>
      <c r="V52" s="183">
        <f t="shared" si="5"/>
        <v>0</v>
      </c>
      <c r="W52" s="183">
        <f t="shared" si="6"/>
        <v>1</v>
      </c>
    </row>
    <row r="53" spans="1:23" x14ac:dyDescent="0.3">
      <c r="A53" s="184"/>
      <c r="B53" s="194">
        <v>17</v>
      </c>
      <c r="C53" s="195">
        <v>45803</v>
      </c>
      <c r="D53" s="196" t="s">
        <v>16</v>
      </c>
      <c r="E53" s="196" t="s">
        <v>1031</v>
      </c>
      <c r="F53" s="222">
        <v>2500</v>
      </c>
      <c r="G53" s="222">
        <v>2300</v>
      </c>
      <c r="H53" s="222">
        <v>-200</v>
      </c>
      <c r="I53" s="197">
        <v>5</v>
      </c>
      <c r="J53" s="268">
        <f t="shared" si="4"/>
        <v>-1000</v>
      </c>
      <c r="K53" s="185"/>
      <c r="V53" s="183">
        <f t="shared" si="5"/>
        <v>0</v>
      </c>
      <c r="W53" s="183">
        <f t="shared" si="6"/>
        <v>1</v>
      </c>
    </row>
    <row r="54" spans="1:23" x14ac:dyDescent="0.3">
      <c r="A54" s="184"/>
      <c r="B54" s="194">
        <v>18</v>
      </c>
      <c r="C54" s="195">
        <v>45804</v>
      </c>
      <c r="D54" s="196" t="s">
        <v>16</v>
      </c>
      <c r="E54" s="196" t="s">
        <v>1020</v>
      </c>
      <c r="F54" s="197">
        <v>2320</v>
      </c>
      <c r="G54" s="197">
        <v>2625</v>
      </c>
      <c r="H54" s="196">
        <f>2625-2320</f>
        <v>305</v>
      </c>
      <c r="I54" s="197">
        <v>5</v>
      </c>
      <c r="J54" s="268">
        <f t="shared" si="4"/>
        <v>1525</v>
      </c>
      <c r="K54" s="185"/>
      <c r="V54" s="183">
        <f t="shared" si="5"/>
        <v>1</v>
      </c>
      <c r="W54" s="183">
        <f t="shared" si="6"/>
        <v>0</v>
      </c>
    </row>
    <row r="55" spans="1:23" x14ac:dyDescent="0.3">
      <c r="A55" s="184"/>
      <c r="B55" s="194">
        <v>19</v>
      </c>
      <c r="C55" s="195">
        <v>45805</v>
      </c>
      <c r="D55" s="196" t="s">
        <v>16</v>
      </c>
      <c r="E55" s="196" t="s">
        <v>1031</v>
      </c>
      <c r="F55" s="222">
        <v>2170</v>
      </c>
      <c r="G55" s="222">
        <v>2295</v>
      </c>
      <c r="H55" s="196">
        <f>2295-2170</f>
        <v>125</v>
      </c>
      <c r="I55" s="197">
        <v>5</v>
      </c>
      <c r="J55" s="268">
        <f t="shared" si="4"/>
        <v>625</v>
      </c>
      <c r="K55" s="185"/>
      <c r="V55" s="183">
        <f t="shared" si="5"/>
        <v>1</v>
      </c>
      <c r="W55" s="183">
        <f t="shared" si="6"/>
        <v>0</v>
      </c>
    </row>
    <row r="56" spans="1:23" x14ac:dyDescent="0.3">
      <c r="A56" s="184"/>
      <c r="B56" s="194">
        <v>20</v>
      </c>
      <c r="C56" s="195">
        <v>45806</v>
      </c>
      <c r="D56" s="196" t="s">
        <v>16</v>
      </c>
      <c r="E56" s="196" t="s">
        <v>1007</v>
      </c>
      <c r="F56" s="197">
        <v>1800</v>
      </c>
      <c r="G56" s="197">
        <v>2000</v>
      </c>
      <c r="H56" s="196">
        <v>200</v>
      </c>
      <c r="I56" s="197">
        <v>5</v>
      </c>
      <c r="J56" s="268">
        <f t="shared" si="4"/>
        <v>1000</v>
      </c>
      <c r="K56" s="185"/>
      <c r="V56" s="183">
        <f t="shared" si="5"/>
        <v>1</v>
      </c>
      <c r="W56" s="183">
        <f t="shared" si="6"/>
        <v>0</v>
      </c>
    </row>
    <row r="57" spans="1:23" ht="15" thickBot="1" x14ac:dyDescent="0.35">
      <c r="A57" s="184"/>
      <c r="B57" s="194">
        <v>21</v>
      </c>
      <c r="C57" s="195">
        <v>45807</v>
      </c>
      <c r="D57" s="196" t="s">
        <v>16</v>
      </c>
      <c r="E57" s="196" t="s">
        <v>1031</v>
      </c>
      <c r="F57" s="197">
        <v>1820</v>
      </c>
      <c r="G57" s="222">
        <v>1950</v>
      </c>
      <c r="H57" s="222">
        <v>130</v>
      </c>
      <c r="I57" s="197">
        <v>5</v>
      </c>
      <c r="J57" s="268">
        <f t="shared" si="4"/>
        <v>650</v>
      </c>
      <c r="K57" s="185"/>
      <c r="V57" s="183">
        <f t="shared" si="5"/>
        <v>1</v>
      </c>
      <c r="W57" s="183">
        <f t="shared" si="6"/>
        <v>0</v>
      </c>
    </row>
    <row r="58" spans="1:23" hidden="1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4"/>
        <v>0</v>
      </c>
      <c r="K58" s="185"/>
      <c r="V58" s="183">
        <f t="shared" si="5"/>
        <v>0</v>
      </c>
      <c r="W58" s="183">
        <f t="shared" si="6"/>
        <v>0</v>
      </c>
    </row>
    <row r="59" spans="1:23" ht="15" hidden="1" thickBot="1" x14ac:dyDescent="0.35">
      <c r="A59" s="184"/>
      <c r="B59" s="194">
        <v>23</v>
      </c>
      <c r="C59" s="195"/>
      <c r="D59" s="196"/>
      <c r="E59" s="196"/>
      <c r="F59" s="197"/>
      <c r="G59" s="222"/>
      <c r="H59" s="222"/>
      <c r="I59" s="197"/>
      <c r="J59" s="268">
        <f t="shared" si="4"/>
        <v>0</v>
      </c>
      <c r="K59" s="185"/>
      <c r="V59" s="183">
        <f t="shared" si="5"/>
        <v>0</v>
      </c>
      <c r="W59" s="183">
        <f t="shared" si="6"/>
        <v>0</v>
      </c>
    </row>
    <row r="60" spans="1:23" ht="24" thickBot="1" x14ac:dyDescent="0.5">
      <c r="A60" s="184"/>
      <c r="B60" s="368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11970</v>
      </c>
      <c r="K60" s="185"/>
      <c r="V60" s="183">
        <f>SUM(V37:V59)</f>
        <v>15</v>
      </c>
      <c r="W60" s="183">
        <f>SUM(W37:W59)</f>
        <v>6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45778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997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1017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45779</v>
      </c>
      <c r="D68" s="216" t="s">
        <v>23</v>
      </c>
      <c r="E68" s="256" t="s">
        <v>25</v>
      </c>
      <c r="F68" s="256">
        <v>5000</v>
      </c>
      <c r="G68" s="256">
        <v>4947</v>
      </c>
      <c r="H68" s="256">
        <f>5000-4947</f>
        <v>53</v>
      </c>
      <c r="I68" s="218">
        <v>100</v>
      </c>
      <c r="J68" s="273">
        <f>I68*H68</f>
        <v>5300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45782</v>
      </c>
      <c r="D69" s="196" t="s">
        <v>23</v>
      </c>
      <c r="E69" s="222" t="s">
        <v>25</v>
      </c>
      <c r="F69" s="222">
        <v>4820</v>
      </c>
      <c r="G69" s="222">
        <v>4860</v>
      </c>
      <c r="H69" s="222">
        <f>4860-4820</f>
        <v>40</v>
      </c>
      <c r="I69" s="218">
        <v>100</v>
      </c>
      <c r="J69" s="268">
        <f t="shared" ref="J69:J90" si="7">I69*H69</f>
        <v>4000</v>
      </c>
      <c r="K69" s="185"/>
      <c r="V69" s="183">
        <f t="shared" ref="V69:V90" si="8">IF($J69&gt;0,1,0)</f>
        <v>1</v>
      </c>
      <c r="W69" s="183">
        <f t="shared" ref="W69:W90" si="9">IF($J69&lt;0,1,0)</f>
        <v>0</v>
      </c>
    </row>
    <row r="70" spans="1:23" x14ac:dyDescent="0.3">
      <c r="A70" s="184"/>
      <c r="B70" s="194">
        <v>3</v>
      </c>
      <c r="C70" s="195">
        <v>45783</v>
      </c>
      <c r="D70" s="196" t="s">
        <v>23</v>
      </c>
      <c r="E70" s="222" t="s">
        <v>25</v>
      </c>
      <c r="F70" s="222">
        <v>4940</v>
      </c>
      <c r="G70" s="222">
        <v>4920</v>
      </c>
      <c r="H70" s="222">
        <v>20</v>
      </c>
      <c r="I70" s="218">
        <v>100</v>
      </c>
      <c r="J70" s="268">
        <f t="shared" si="7"/>
        <v>2000</v>
      </c>
      <c r="K70" s="185"/>
      <c r="M70" s="183" t="s">
        <v>870</v>
      </c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4</v>
      </c>
      <c r="C71" s="195">
        <v>45784</v>
      </c>
      <c r="D71" s="196" t="s">
        <v>23</v>
      </c>
      <c r="E71" s="222" t="s">
        <v>25</v>
      </c>
      <c r="F71" s="222">
        <v>5110</v>
      </c>
      <c r="G71" s="222">
        <v>5040</v>
      </c>
      <c r="H71" s="222">
        <f>5110-5040</f>
        <v>70</v>
      </c>
      <c r="I71" s="218">
        <v>100</v>
      </c>
      <c r="J71" s="268">
        <f t="shared" si="7"/>
        <v>7000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5</v>
      </c>
      <c r="C72" s="195">
        <v>45785</v>
      </c>
      <c r="D72" s="196" t="s">
        <v>23</v>
      </c>
      <c r="E72" s="222" t="s">
        <v>25</v>
      </c>
      <c r="F72" s="222">
        <v>5040</v>
      </c>
      <c r="G72" s="222">
        <v>5080</v>
      </c>
      <c r="H72" s="222">
        <v>-40</v>
      </c>
      <c r="I72" s="218">
        <v>100</v>
      </c>
      <c r="J72" s="268">
        <f t="shared" si="7"/>
        <v>-4000</v>
      </c>
      <c r="K72" s="185"/>
      <c r="V72" s="183">
        <f t="shared" si="8"/>
        <v>0</v>
      </c>
      <c r="W72" s="183">
        <f t="shared" si="9"/>
        <v>1</v>
      </c>
    </row>
    <row r="73" spans="1:23" x14ac:dyDescent="0.3">
      <c r="A73" s="184"/>
      <c r="B73" s="194">
        <v>6</v>
      </c>
      <c r="C73" s="195">
        <v>45786</v>
      </c>
      <c r="D73" s="196" t="s">
        <v>23</v>
      </c>
      <c r="E73" s="222" t="s">
        <v>25</v>
      </c>
      <c r="F73" s="222">
        <v>5205</v>
      </c>
      <c r="G73" s="222">
        <v>5165</v>
      </c>
      <c r="H73" s="222">
        <v>-40</v>
      </c>
      <c r="I73" s="218">
        <v>100</v>
      </c>
      <c r="J73" s="268">
        <f t="shared" si="7"/>
        <v>-4000</v>
      </c>
      <c r="K73" s="185"/>
      <c r="V73" s="183">
        <f t="shared" si="8"/>
        <v>0</v>
      </c>
      <c r="W73" s="183">
        <f t="shared" si="9"/>
        <v>1</v>
      </c>
    </row>
    <row r="74" spans="1:23" x14ac:dyDescent="0.3">
      <c r="A74" s="184"/>
      <c r="B74" s="194">
        <v>7</v>
      </c>
      <c r="C74" s="195">
        <v>45789</v>
      </c>
      <c r="D74" s="196" t="s">
        <v>23</v>
      </c>
      <c r="E74" s="222" t="s">
        <v>25</v>
      </c>
      <c r="F74" s="222">
        <v>5320</v>
      </c>
      <c r="G74" s="222">
        <v>5300</v>
      </c>
      <c r="H74" s="274">
        <v>20</v>
      </c>
      <c r="I74" s="218">
        <v>100</v>
      </c>
      <c r="J74" s="268">
        <f t="shared" si="7"/>
        <v>2000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8</v>
      </c>
      <c r="C75" s="195">
        <v>45790</v>
      </c>
      <c r="D75" s="196" t="s">
        <v>23</v>
      </c>
      <c r="E75" s="222" t="s">
        <v>25</v>
      </c>
      <c r="F75" s="222">
        <v>5320</v>
      </c>
      <c r="G75" s="222">
        <v>5360</v>
      </c>
      <c r="H75" s="222">
        <v>-40</v>
      </c>
      <c r="I75" s="197">
        <v>100</v>
      </c>
      <c r="J75" s="268">
        <f t="shared" si="7"/>
        <v>-4000</v>
      </c>
      <c r="K75" s="185"/>
      <c r="V75" s="183">
        <f t="shared" si="8"/>
        <v>0</v>
      </c>
      <c r="W75" s="183">
        <f t="shared" si="9"/>
        <v>1</v>
      </c>
    </row>
    <row r="76" spans="1:23" x14ac:dyDescent="0.3">
      <c r="A76" s="184"/>
      <c r="B76" s="194">
        <v>9</v>
      </c>
      <c r="C76" s="195">
        <v>45791</v>
      </c>
      <c r="D76" s="196" t="s">
        <v>23</v>
      </c>
      <c r="E76" s="222" t="s">
        <v>25</v>
      </c>
      <c r="F76" s="222">
        <v>5410</v>
      </c>
      <c r="G76" s="222">
        <v>5355</v>
      </c>
      <c r="H76" s="222">
        <f>5410-5355</f>
        <v>55</v>
      </c>
      <c r="I76" s="197">
        <v>100</v>
      </c>
      <c r="J76" s="268">
        <f t="shared" si="7"/>
        <v>5500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10</v>
      </c>
      <c r="C77" s="195">
        <v>45792</v>
      </c>
      <c r="D77" s="196" t="s">
        <v>23</v>
      </c>
      <c r="E77" s="222" t="s">
        <v>25</v>
      </c>
      <c r="F77" s="222">
        <v>5210</v>
      </c>
      <c r="G77" s="222">
        <v>5185</v>
      </c>
      <c r="H77" s="222">
        <f>5210-5185</f>
        <v>25</v>
      </c>
      <c r="I77" s="197">
        <v>100</v>
      </c>
      <c r="J77" s="268">
        <f t="shared" si="7"/>
        <v>2500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11</v>
      </c>
      <c r="C78" s="195">
        <v>45793</v>
      </c>
      <c r="D78" s="196" t="s">
        <v>23</v>
      </c>
      <c r="E78" s="222" t="s">
        <v>25</v>
      </c>
      <c r="F78" s="222">
        <v>5260</v>
      </c>
      <c r="G78" s="222">
        <v>5232</v>
      </c>
      <c r="H78" s="274">
        <f>5260-5232</f>
        <v>28</v>
      </c>
      <c r="I78" s="197">
        <v>100</v>
      </c>
      <c r="J78" s="268">
        <f t="shared" si="7"/>
        <v>2800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12</v>
      </c>
      <c r="C79" s="195">
        <v>45796</v>
      </c>
      <c r="D79" s="196" t="s">
        <v>23</v>
      </c>
      <c r="E79" s="222" t="s">
        <v>25</v>
      </c>
      <c r="F79" s="222">
        <v>5315</v>
      </c>
      <c r="G79" s="222">
        <v>5275</v>
      </c>
      <c r="H79" s="274">
        <f>5315-5275</f>
        <v>40</v>
      </c>
      <c r="I79" s="197">
        <v>100</v>
      </c>
      <c r="J79" s="268">
        <f t="shared" si="7"/>
        <v>4000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13</v>
      </c>
      <c r="C80" s="195">
        <v>45797</v>
      </c>
      <c r="D80" s="196" t="s">
        <v>23</v>
      </c>
      <c r="E80" s="222" t="s">
        <v>25</v>
      </c>
      <c r="F80" s="222">
        <v>5340</v>
      </c>
      <c r="G80" s="222">
        <v>5310</v>
      </c>
      <c r="H80" s="274">
        <v>30</v>
      </c>
      <c r="I80" s="197">
        <v>100</v>
      </c>
      <c r="J80" s="268">
        <f t="shared" si="7"/>
        <v>3000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14</v>
      </c>
      <c r="C81" s="195">
        <v>45798</v>
      </c>
      <c r="D81" s="196" t="s">
        <v>23</v>
      </c>
      <c r="E81" s="222" t="s">
        <v>25</v>
      </c>
      <c r="F81" s="222">
        <v>5415</v>
      </c>
      <c r="G81" s="222">
        <v>5385</v>
      </c>
      <c r="H81" s="274">
        <f>5415-5385</f>
        <v>30</v>
      </c>
      <c r="I81" s="197">
        <v>100</v>
      </c>
      <c r="J81" s="268">
        <f t="shared" si="7"/>
        <v>3000</v>
      </c>
      <c r="K81" s="185"/>
      <c r="V81" s="183">
        <f t="shared" si="8"/>
        <v>1</v>
      </c>
      <c r="W81" s="183">
        <f t="shared" si="9"/>
        <v>0</v>
      </c>
    </row>
    <row r="82" spans="1:23" x14ac:dyDescent="0.3">
      <c r="A82" s="184"/>
      <c r="B82" s="194">
        <v>15</v>
      </c>
      <c r="C82" s="195">
        <v>45799</v>
      </c>
      <c r="D82" s="196" t="s">
        <v>23</v>
      </c>
      <c r="E82" s="196" t="s">
        <v>25</v>
      </c>
      <c r="F82" s="222">
        <v>5265</v>
      </c>
      <c r="G82" s="222">
        <v>5203</v>
      </c>
      <c r="H82" s="222">
        <v>62</v>
      </c>
      <c r="I82" s="197">
        <v>100</v>
      </c>
      <c r="J82" s="268">
        <f t="shared" si="7"/>
        <v>6200</v>
      </c>
      <c r="K82" s="185"/>
      <c r="V82" s="183">
        <f t="shared" si="8"/>
        <v>1</v>
      </c>
      <c r="W82" s="183">
        <f t="shared" si="9"/>
        <v>0</v>
      </c>
    </row>
    <row r="83" spans="1:23" x14ac:dyDescent="0.3">
      <c r="A83" s="184"/>
      <c r="B83" s="194">
        <v>16</v>
      </c>
      <c r="C83" s="195">
        <v>45800</v>
      </c>
      <c r="D83" s="196" t="s">
        <v>23</v>
      </c>
      <c r="E83" s="196" t="s">
        <v>25</v>
      </c>
      <c r="F83" s="222">
        <v>5215</v>
      </c>
      <c r="G83" s="222">
        <v>5149</v>
      </c>
      <c r="H83" s="222">
        <f>5215-5149</f>
        <v>66</v>
      </c>
      <c r="I83" s="197">
        <v>100</v>
      </c>
      <c r="J83" s="268">
        <f t="shared" si="7"/>
        <v>6600</v>
      </c>
      <c r="K83" s="185"/>
      <c r="V83" s="183">
        <f t="shared" si="8"/>
        <v>1</v>
      </c>
      <c r="W83" s="183">
        <f t="shared" si="9"/>
        <v>0</v>
      </c>
    </row>
    <row r="84" spans="1:23" x14ac:dyDescent="0.3">
      <c r="A84" s="184"/>
      <c r="B84" s="194">
        <v>17</v>
      </c>
      <c r="C84" s="195">
        <v>45803</v>
      </c>
      <c r="D84" s="196" t="s">
        <v>23</v>
      </c>
      <c r="E84" s="196" t="s">
        <v>25</v>
      </c>
      <c r="F84" s="222">
        <v>5290</v>
      </c>
      <c r="G84" s="274">
        <v>5229</v>
      </c>
      <c r="H84" s="274">
        <f>5290-5229</f>
        <v>61</v>
      </c>
      <c r="I84" s="197">
        <v>100</v>
      </c>
      <c r="J84" s="268">
        <f t="shared" si="7"/>
        <v>6100</v>
      </c>
      <c r="K84" s="185"/>
      <c r="V84" s="183">
        <f t="shared" si="8"/>
        <v>1</v>
      </c>
      <c r="W84" s="183">
        <f t="shared" si="9"/>
        <v>0</v>
      </c>
    </row>
    <row r="85" spans="1:23" x14ac:dyDescent="0.3">
      <c r="A85" s="184"/>
      <c r="B85" s="194">
        <v>18</v>
      </c>
      <c r="C85" s="195">
        <v>45804</v>
      </c>
      <c r="D85" s="196" t="s">
        <v>23</v>
      </c>
      <c r="E85" s="196" t="s">
        <v>25</v>
      </c>
      <c r="F85" s="222">
        <v>5295</v>
      </c>
      <c r="G85" s="222">
        <v>5230</v>
      </c>
      <c r="H85" s="274">
        <f>5295-5230</f>
        <v>65</v>
      </c>
      <c r="I85" s="197">
        <v>100</v>
      </c>
      <c r="J85" s="268">
        <f t="shared" si="7"/>
        <v>6500</v>
      </c>
      <c r="K85" s="185"/>
      <c r="V85" s="183">
        <f t="shared" si="8"/>
        <v>1</v>
      </c>
      <c r="W85" s="183">
        <f t="shared" si="9"/>
        <v>0</v>
      </c>
    </row>
    <row r="86" spans="1:23" x14ac:dyDescent="0.3">
      <c r="A86" s="184"/>
      <c r="B86" s="194">
        <v>19</v>
      </c>
      <c r="C86" s="195">
        <v>45805</v>
      </c>
      <c r="D86" s="196" t="s">
        <v>23</v>
      </c>
      <c r="E86" s="196" t="s">
        <v>25</v>
      </c>
      <c r="F86" s="222">
        <v>5250</v>
      </c>
      <c r="G86" s="222">
        <v>5210</v>
      </c>
      <c r="H86" s="274">
        <v>-40</v>
      </c>
      <c r="I86" s="197">
        <v>100</v>
      </c>
      <c r="J86" s="268">
        <f t="shared" si="7"/>
        <v>-4000</v>
      </c>
      <c r="K86" s="185"/>
      <c r="V86" s="183">
        <f t="shared" si="8"/>
        <v>0</v>
      </c>
      <c r="W86" s="183">
        <f t="shared" si="9"/>
        <v>1</v>
      </c>
    </row>
    <row r="87" spans="1:23" x14ac:dyDescent="0.3">
      <c r="A87" s="184"/>
      <c r="B87" s="194">
        <v>20</v>
      </c>
      <c r="C87" s="195">
        <v>45806</v>
      </c>
      <c r="D87" s="196" t="s">
        <v>23</v>
      </c>
      <c r="E87" s="196" t="s">
        <v>25</v>
      </c>
      <c r="F87" s="222">
        <v>5380</v>
      </c>
      <c r="G87" s="222">
        <v>5310</v>
      </c>
      <c r="H87" s="274">
        <v>70</v>
      </c>
      <c r="I87" s="197">
        <v>100</v>
      </c>
      <c r="J87" s="268">
        <f t="shared" si="7"/>
        <v>7000</v>
      </c>
      <c r="K87" s="185"/>
      <c r="V87" s="183">
        <f t="shared" si="8"/>
        <v>1</v>
      </c>
      <c r="W87" s="183">
        <f t="shared" si="9"/>
        <v>0</v>
      </c>
    </row>
    <row r="88" spans="1:23" x14ac:dyDescent="0.3">
      <c r="A88" s="184"/>
      <c r="B88" s="194">
        <v>21</v>
      </c>
      <c r="C88" s="195">
        <v>45807</v>
      </c>
      <c r="D88" s="196" t="s">
        <v>23</v>
      </c>
      <c r="E88" s="196" t="s">
        <v>25</v>
      </c>
      <c r="F88" s="222">
        <v>5250</v>
      </c>
      <c r="G88" s="222">
        <v>5180</v>
      </c>
      <c r="H88" s="274">
        <v>70</v>
      </c>
      <c r="I88" s="197">
        <v>100</v>
      </c>
      <c r="J88" s="268">
        <f t="shared" si="7"/>
        <v>7000</v>
      </c>
      <c r="K88" s="185"/>
      <c r="V88" s="183">
        <f t="shared" si="8"/>
        <v>1</v>
      </c>
      <c r="W88" s="183">
        <f t="shared" si="9"/>
        <v>0</v>
      </c>
    </row>
    <row r="89" spans="1:23" hidden="1" x14ac:dyDescent="0.3">
      <c r="A89" s="184"/>
      <c r="B89" s="194">
        <v>22</v>
      </c>
      <c r="C89" s="195"/>
      <c r="D89" s="196"/>
      <c r="E89" s="196"/>
      <c r="F89" s="222"/>
      <c r="G89" s="222"/>
      <c r="H89" s="274"/>
      <c r="I89" s="197"/>
      <c r="J89" s="268">
        <f t="shared" si="7"/>
        <v>0</v>
      </c>
      <c r="K89" s="185"/>
      <c r="V89" s="183">
        <f t="shared" si="8"/>
        <v>0</v>
      </c>
      <c r="W89" s="183">
        <f t="shared" si="9"/>
        <v>0</v>
      </c>
    </row>
    <row r="90" spans="1:23" hidden="1" x14ac:dyDescent="0.3">
      <c r="A90" s="184"/>
      <c r="B90" s="194">
        <v>23</v>
      </c>
      <c r="C90" s="195"/>
      <c r="D90" s="196"/>
      <c r="E90" s="196"/>
      <c r="F90" s="222"/>
      <c r="G90" s="222"/>
      <c r="H90" s="274"/>
      <c r="I90" s="197"/>
      <c r="J90" s="268">
        <f t="shared" si="7"/>
        <v>0</v>
      </c>
      <c r="K90" s="185"/>
      <c r="V90" s="183">
        <f t="shared" si="8"/>
        <v>0</v>
      </c>
      <c r="W90" s="183">
        <f t="shared" si="9"/>
        <v>0</v>
      </c>
    </row>
    <row r="91" spans="1:23" ht="24" thickBot="1" x14ac:dyDescent="0.5">
      <c r="A91" s="184"/>
      <c r="B91" s="373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64500</v>
      </c>
      <c r="K91" s="185"/>
      <c r="V91" s="183">
        <f>SUM(V68:V90)</f>
        <v>17</v>
      </c>
      <c r="W91" s="183">
        <f>SUM(W68:W90)</f>
        <v>4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  <c r="L92" s="183" t="s">
        <v>926</v>
      </c>
    </row>
    <row r="93" spans="1:23" ht="15" thickBot="1" x14ac:dyDescent="0.35"/>
    <row r="94" spans="1:23" ht="30" customHeight="1" thickBot="1" x14ac:dyDescent="0.35">
      <c r="A94" s="180"/>
      <c r="B94" s="181"/>
      <c r="C94" s="181"/>
      <c r="D94" s="181"/>
      <c r="E94" s="181"/>
      <c r="F94" s="181"/>
      <c r="G94" s="181"/>
      <c r="H94" s="259"/>
      <c r="I94" s="181"/>
      <c r="J94" s="259"/>
      <c r="K94" s="182"/>
    </row>
    <row r="95" spans="1:23" ht="25.2" thickBot="1" x14ac:dyDescent="0.35">
      <c r="A95" s="184" t="s">
        <v>0</v>
      </c>
      <c r="B95" s="307" t="s">
        <v>873</v>
      </c>
      <c r="C95" s="308"/>
      <c r="D95" s="308"/>
      <c r="E95" s="308"/>
      <c r="F95" s="308"/>
      <c r="G95" s="308"/>
      <c r="H95" s="308"/>
      <c r="I95" s="308"/>
      <c r="J95" s="309"/>
      <c r="K95" s="185"/>
    </row>
    <row r="96" spans="1:23" ht="16.2" thickBot="1" x14ac:dyDescent="0.35">
      <c r="A96" s="184"/>
      <c r="B96" s="310">
        <v>45778</v>
      </c>
      <c r="C96" s="311"/>
      <c r="D96" s="311"/>
      <c r="E96" s="311"/>
      <c r="F96" s="311"/>
      <c r="G96" s="311"/>
      <c r="H96" s="311"/>
      <c r="I96" s="311"/>
      <c r="J96" s="312"/>
      <c r="K96" s="185"/>
    </row>
    <row r="97" spans="1:23" ht="16.2" thickBot="1" x14ac:dyDescent="0.35">
      <c r="A97" s="184"/>
      <c r="B97" s="313" t="s">
        <v>905</v>
      </c>
      <c r="C97" s="314"/>
      <c r="D97" s="314"/>
      <c r="E97" s="314"/>
      <c r="F97" s="314"/>
      <c r="G97" s="314"/>
      <c r="H97" s="314"/>
      <c r="I97" s="314"/>
      <c r="J97" s="315"/>
      <c r="K97" s="185"/>
    </row>
    <row r="98" spans="1:23" ht="15" thickBot="1" x14ac:dyDescent="0.35">
      <c r="A98" s="208"/>
      <c r="B98" s="186" t="s">
        <v>876</v>
      </c>
      <c r="C98" s="187" t="s">
        <v>1</v>
      </c>
      <c r="D98" s="188" t="s">
        <v>2</v>
      </c>
      <c r="E98" s="188" t="s">
        <v>3</v>
      </c>
      <c r="F98" s="189" t="s">
        <v>4</v>
      </c>
      <c r="G98" s="189" t="s">
        <v>5</v>
      </c>
      <c r="H98" s="260" t="s">
        <v>720</v>
      </c>
      <c r="I98" s="189" t="s">
        <v>1017</v>
      </c>
      <c r="J98" s="266" t="s">
        <v>7</v>
      </c>
      <c r="K98" s="209"/>
      <c r="L98" s="198"/>
      <c r="V98" s="183" t="s">
        <v>254</v>
      </c>
      <c r="W98" s="183" t="s">
        <v>255</v>
      </c>
    </row>
    <row r="99" spans="1:23" x14ac:dyDescent="0.3">
      <c r="A99" s="184"/>
      <c r="B99" s="214">
        <v>1</v>
      </c>
      <c r="C99" s="215">
        <v>45779</v>
      </c>
      <c r="D99" s="216" t="s">
        <v>16</v>
      </c>
      <c r="E99" s="256" t="s">
        <v>1060</v>
      </c>
      <c r="F99" s="256">
        <v>160</v>
      </c>
      <c r="G99" s="256">
        <v>186</v>
      </c>
      <c r="H99" s="256">
        <f>186-160</f>
        <v>26</v>
      </c>
      <c r="I99" s="218">
        <v>100</v>
      </c>
      <c r="J99" s="273">
        <f>I99*H99</f>
        <v>2600</v>
      </c>
      <c r="K99" s="185"/>
      <c r="V99" s="183">
        <f>IF($J99&gt;0,1,0)</f>
        <v>1</v>
      </c>
      <c r="W99" s="183">
        <f>IF($J99&lt;0,1,0)</f>
        <v>0</v>
      </c>
    </row>
    <row r="100" spans="1:23" x14ac:dyDescent="0.3">
      <c r="A100" s="184"/>
      <c r="B100" s="194">
        <v>2</v>
      </c>
      <c r="C100" s="195">
        <v>45782</v>
      </c>
      <c r="D100" s="196" t="s">
        <v>16</v>
      </c>
      <c r="E100" s="222" t="s">
        <v>1060</v>
      </c>
      <c r="F100" s="222">
        <v>210</v>
      </c>
      <c r="G100" s="222">
        <v>190</v>
      </c>
      <c r="H100" s="222">
        <v>-20</v>
      </c>
      <c r="I100" s="218">
        <v>100</v>
      </c>
      <c r="J100" s="268">
        <f t="shared" ref="J100:J119" si="10">I100*H100</f>
        <v>-2000</v>
      </c>
      <c r="K100" s="185"/>
      <c r="V100" s="183">
        <f t="shared" ref="V100:V121" si="11">IF($J100&gt;0,1,0)</f>
        <v>0</v>
      </c>
      <c r="W100" s="183">
        <f t="shared" ref="W100:W121" si="12">IF($J100&lt;0,1,0)</f>
        <v>1</v>
      </c>
    </row>
    <row r="101" spans="1:23" x14ac:dyDescent="0.3">
      <c r="A101" s="184"/>
      <c r="B101" s="194">
        <v>3</v>
      </c>
      <c r="C101" s="195">
        <v>45783</v>
      </c>
      <c r="D101" s="196" t="s">
        <v>16</v>
      </c>
      <c r="E101" s="222" t="s">
        <v>1061</v>
      </c>
      <c r="F101" s="222">
        <v>155</v>
      </c>
      <c r="G101" s="222">
        <v>171.5</v>
      </c>
      <c r="H101" s="222">
        <f>171.5-155</f>
        <v>16.5</v>
      </c>
      <c r="I101" s="218">
        <v>100</v>
      </c>
      <c r="J101" s="268">
        <f t="shared" si="10"/>
        <v>1650</v>
      </c>
      <c r="K101" s="185"/>
      <c r="M101" s="183" t="s">
        <v>870</v>
      </c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4</v>
      </c>
      <c r="C102" s="195">
        <v>45784</v>
      </c>
      <c r="D102" s="196" t="s">
        <v>16</v>
      </c>
      <c r="E102" s="222" t="s">
        <v>1045</v>
      </c>
      <c r="F102" s="222">
        <v>182</v>
      </c>
      <c r="G102" s="222">
        <v>220</v>
      </c>
      <c r="H102" s="222">
        <f>220-182</f>
        <v>38</v>
      </c>
      <c r="I102" s="218">
        <v>100</v>
      </c>
      <c r="J102" s="268">
        <f t="shared" si="10"/>
        <v>3800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5</v>
      </c>
      <c r="C103" s="195">
        <v>45785</v>
      </c>
      <c r="D103" s="196" t="s">
        <v>16</v>
      </c>
      <c r="E103" s="222" t="s">
        <v>1044</v>
      </c>
      <c r="F103" s="222">
        <v>150</v>
      </c>
      <c r="G103" s="222">
        <v>130</v>
      </c>
      <c r="H103" s="222">
        <v>-20</v>
      </c>
      <c r="I103" s="218">
        <v>100</v>
      </c>
      <c r="J103" s="268">
        <f t="shared" si="10"/>
        <v>-2000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6</v>
      </c>
      <c r="C104" s="195">
        <v>45786</v>
      </c>
      <c r="D104" s="196" t="s">
        <v>16</v>
      </c>
      <c r="E104" s="222" t="s">
        <v>1046</v>
      </c>
      <c r="F104" s="222">
        <v>170</v>
      </c>
      <c r="G104" s="222">
        <v>140</v>
      </c>
      <c r="H104" s="222">
        <v>-30</v>
      </c>
      <c r="I104" s="218">
        <v>100</v>
      </c>
      <c r="J104" s="268">
        <f t="shared" si="10"/>
        <v>-3000</v>
      </c>
      <c r="K104" s="185"/>
      <c r="V104" s="183">
        <f t="shared" si="11"/>
        <v>0</v>
      </c>
      <c r="W104" s="183">
        <f t="shared" si="12"/>
        <v>1</v>
      </c>
    </row>
    <row r="105" spans="1:23" x14ac:dyDescent="0.3">
      <c r="A105" s="184"/>
      <c r="B105" s="194">
        <v>7</v>
      </c>
      <c r="C105" s="195">
        <v>45789</v>
      </c>
      <c r="D105" s="196" t="s">
        <v>16</v>
      </c>
      <c r="E105" s="222" t="s">
        <v>918</v>
      </c>
      <c r="F105" s="222">
        <v>140</v>
      </c>
      <c r="G105" s="222">
        <v>150</v>
      </c>
      <c r="H105" s="274">
        <v>10</v>
      </c>
      <c r="I105" s="218">
        <v>100</v>
      </c>
      <c r="J105" s="268">
        <f t="shared" si="10"/>
        <v>1000</v>
      </c>
      <c r="K105" s="185"/>
      <c r="M105" s="183" t="s">
        <v>942</v>
      </c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8</v>
      </c>
      <c r="C106" s="195">
        <v>45790</v>
      </c>
      <c r="D106" s="196" t="s">
        <v>16</v>
      </c>
      <c r="E106" s="222" t="s">
        <v>918</v>
      </c>
      <c r="F106" s="222">
        <v>200</v>
      </c>
      <c r="G106" s="222">
        <v>180</v>
      </c>
      <c r="H106" s="222">
        <v>-20</v>
      </c>
      <c r="I106" s="218">
        <v>100</v>
      </c>
      <c r="J106" s="268">
        <f t="shared" si="10"/>
        <v>-2000</v>
      </c>
      <c r="K106" s="185"/>
      <c r="V106" s="183">
        <f t="shared" si="11"/>
        <v>0</v>
      </c>
      <c r="W106" s="183">
        <f t="shared" si="12"/>
        <v>1</v>
      </c>
    </row>
    <row r="107" spans="1:23" x14ac:dyDescent="0.3">
      <c r="A107" s="184"/>
      <c r="B107" s="194">
        <v>9</v>
      </c>
      <c r="C107" s="195">
        <v>45791</v>
      </c>
      <c r="D107" s="196" t="s">
        <v>16</v>
      </c>
      <c r="E107" s="222" t="s">
        <v>917</v>
      </c>
      <c r="F107" s="222">
        <v>210</v>
      </c>
      <c r="G107" s="222">
        <v>250</v>
      </c>
      <c r="H107" s="222">
        <v>40</v>
      </c>
      <c r="I107" s="218">
        <v>100</v>
      </c>
      <c r="J107" s="268">
        <f t="shared" si="10"/>
        <v>4000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10</v>
      </c>
      <c r="C108" s="195">
        <v>45792</v>
      </c>
      <c r="D108" s="196" t="s">
        <v>16</v>
      </c>
      <c r="E108" s="222" t="s">
        <v>1061</v>
      </c>
      <c r="F108" s="222">
        <v>160</v>
      </c>
      <c r="G108" s="222">
        <v>140</v>
      </c>
      <c r="H108" s="222">
        <v>-20</v>
      </c>
      <c r="I108" s="218">
        <v>100</v>
      </c>
      <c r="J108" s="268">
        <f t="shared" si="10"/>
        <v>-2000</v>
      </c>
      <c r="K108" s="185"/>
      <c r="V108" s="183">
        <f t="shared" si="11"/>
        <v>0</v>
      </c>
      <c r="W108" s="183">
        <f t="shared" si="12"/>
        <v>1</v>
      </c>
    </row>
    <row r="109" spans="1:23" x14ac:dyDescent="0.3">
      <c r="A109" s="184"/>
      <c r="B109" s="194">
        <v>11</v>
      </c>
      <c r="C109" s="195">
        <v>45793</v>
      </c>
      <c r="D109" s="196" t="s">
        <v>16</v>
      </c>
      <c r="E109" s="222" t="s">
        <v>1045</v>
      </c>
      <c r="F109" s="222">
        <v>210</v>
      </c>
      <c r="G109" s="222">
        <v>190</v>
      </c>
      <c r="H109" s="274">
        <v>-20</v>
      </c>
      <c r="I109" s="218">
        <v>100</v>
      </c>
      <c r="J109" s="268">
        <f t="shared" si="10"/>
        <v>-2000</v>
      </c>
      <c r="K109" s="185"/>
      <c r="V109" s="183">
        <f t="shared" si="11"/>
        <v>0</v>
      </c>
      <c r="W109" s="183">
        <f t="shared" si="12"/>
        <v>1</v>
      </c>
    </row>
    <row r="110" spans="1:23" x14ac:dyDescent="0.3">
      <c r="A110" s="184"/>
      <c r="B110" s="194">
        <v>12</v>
      </c>
      <c r="C110" s="195">
        <v>45796</v>
      </c>
      <c r="D110" s="196" t="s">
        <v>16</v>
      </c>
      <c r="E110" s="222" t="s">
        <v>1046</v>
      </c>
      <c r="F110" s="222">
        <v>225</v>
      </c>
      <c r="G110" s="222">
        <v>252</v>
      </c>
      <c r="H110" s="274">
        <f>252-225</f>
        <v>27</v>
      </c>
      <c r="I110" s="218">
        <v>100</v>
      </c>
      <c r="J110" s="268">
        <f t="shared" si="10"/>
        <v>2700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13</v>
      </c>
      <c r="C111" s="195">
        <v>45828</v>
      </c>
      <c r="D111" s="196" t="s">
        <v>16</v>
      </c>
      <c r="E111" s="222" t="s">
        <v>1045</v>
      </c>
      <c r="F111" s="222">
        <v>150</v>
      </c>
      <c r="G111" s="222">
        <v>166</v>
      </c>
      <c r="H111" s="274">
        <v>16</v>
      </c>
      <c r="I111" s="218">
        <v>100</v>
      </c>
      <c r="J111" s="268">
        <f t="shared" si="10"/>
        <v>1600</v>
      </c>
      <c r="K111" s="185"/>
      <c r="V111" s="183">
        <f t="shared" si="11"/>
        <v>1</v>
      </c>
      <c r="W111" s="183">
        <f t="shared" si="12"/>
        <v>0</v>
      </c>
    </row>
    <row r="112" spans="1:23" x14ac:dyDescent="0.3">
      <c r="A112" s="184"/>
      <c r="B112" s="194">
        <v>14</v>
      </c>
      <c r="C112" s="195">
        <v>45798</v>
      </c>
      <c r="D112" s="196" t="s">
        <v>16</v>
      </c>
      <c r="E112" s="222" t="s">
        <v>1046</v>
      </c>
      <c r="F112" s="222">
        <v>150</v>
      </c>
      <c r="G112" s="222">
        <v>190</v>
      </c>
      <c r="H112" s="274">
        <v>40</v>
      </c>
      <c r="I112" s="218">
        <v>100</v>
      </c>
      <c r="J112" s="268">
        <f t="shared" si="10"/>
        <v>4000</v>
      </c>
      <c r="K112" s="185"/>
      <c r="V112" s="183">
        <f t="shared" si="11"/>
        <v>1</v>
      </c>
      <c r="W112" s="183">
        <f t="shared" si="12"/>
        <v>0</v>
      </c>
    </row>
    <row r="113" spans="1:23" x14ac:dyDescent="0.3">
      <c r="A113" s="184"/>
      <c r="B113" s="194">
        <v>15</v>
      </c>
      <c r="C113" s="195">
        <v>45799</v>
      </c>
      <c r="D113" s="196" t="s">
        <v>16</v>
      </c>
      <c r="E113" s="196" t="s">
        <v>1045</v>
      </c>
      <c r="F113" s="222">
        <v>180</v>
      </c>
      <c r="G113" s="222">
        <v>212</v>
      </c>
      <c r="H113" s="222">
        <f>212-180</f>
        <v>32</v>
      </c>
      <c r="I113" s="218">
        <v>100</v>
      </c>
      <c r="J113" s="268">
        <f t="shared" si="10"/>
        <v>3200</v>
      </c>
      <c r="K113" s="185"/>
      <c r="V113" s="183">
        <f t="shared" si="11"/>
        <v>1</v>
      </c>
      <c r="W113" s="183">
        <f t="shared" si="12"/>
        <v>0</v>
      </c>
    </row>
    <row r="114" spans="1:23" x14ac:dyDescent="0.3">
      <c r="A114" s="184"/>
      <c r="B114" s="194">
        <v>16</v>
      </c>
      <c r="C114" s="195">
        <v>45800</v>
      </c>
      <c r="D114" s="196" t="s">
        <v>16</v>
      </c>
      <c r="E114" s="196" t="s">
        <v>1045</v>
      </c>
      <c r="F114" s="222">
        <v>200</v>
      </c>
      <c r="G114" s="274">
        <v>240</v>
      </c>
      <c r="H114" s="274">
        <v>40</v>
      </c>
      <c r="I114" s="218">
        <v>100</v>
      </c>
      <c r="J114" s="268">
        <f t="shared" si="10"/>
        <v>4000</v>
      </c>
      <c r="K114" s="185"/>
      <c r="V114" s="183">
        <f t="shared" si="11"/>
        <v>1</v>
      </c>
      <c r="W114" s="183">
        <f t="shared" si="12"/>
        <v>0</v>
      </c>
    </row>
    <row r="115" spans="1:23" x14ac:dyDescent="0.3">
      <c r="A115" s="184"/>
      <c r="B115" s="194">
        <v>17</v>
      </c>
      <c r="C115" s="195">
        <v>45803</v>
      </c>
      <c r="D115" s="196" t="s">
        <v>16</v>
      </c>
      <c r="E115" s="196" t="s">
        <v>1045</v>
      </c>
      <c r="F115" s="222">
        <v>170</v>
      </c>
      <c r="G115" s="222">
        <v>193</v>
      </c>
      <c r="H115" s="222">
        <f>193-170</f>
        <v>23</v>
      </c>
      <c r="I115" s="218">
        <v>100</v>
      </c>
      <c r="J115" s="268">
        <f t="shared" si="10"/>
        <v>2300</v>
      </c>
      <c r="K115" s="185"/>
      <c r="V115" s="183">
        <f t="shared" si="11"/>
        <v>1</v>
      </c>
      <c r="W115" s="183">
        <f t="shared" si="12"/>
        <v>0</v>
      </c>
    </row>
    <row r="116" spans="1:23" x14ac:dyDescent="0.3">
      <c r="A116" s="184"/>
      <c r="B116" s="194">
        <v>18</v>
      </c>
      <c r="C116" s="195">
        <v>45804</v>
      </c>
      <c r="D116" s="196" t="s">
        <v>16</v>
      </c>
      <c r="E116" s="196" t="s">
        <v>1045</v>
      </c>
      <c r="F116" s="222">
        <v>155</v>
      </c>
      <c r="G116" s="222">
        <v>194.2</v>
      </c>
      <c r="H116" s="274">
        <f>194.2-155</f>
        <v>39.199999999999989</v>
      </c>
      <c r="I116" s="218">
        <v>100</v>
      </c>
      <c r="J116" s="268">
        <f t="shared" si="10"/>
        <v>3919.9999999999991</v>
      </c>
      <c r="K116" s="185"/>
      <c r="V116" s="183">
        <f t="shared" si="11"/>
        <v>1</v>
      </c>
      <c r="W116" s="183">
        <f t="shared" si="12"/>
        <v>0</v>
      </c>
    </row>
    <row r="117" spans="1:23" x14ac:dyDescent="0.3">
      <c r="A117" s="184"/>
      <c r="B117" s="194">
        <v>19</v>
      </c>
      <c r="C117" s="195">
        <v>45805</v>
      </c>
      <c r="D117" s="196" t="s">
        <v>16</v>
      </c>
      <c r="E117" s="196" t="s">
        <v>1045</v>
      </c>
      <c r="F117" s="222">
        <v>170</v>
      </c>
      <c r="G117" s="222">
        <v>150</v>
      </c>
      <c r="H117" s="274">
        <v>-20</v>
      </c>
      <c r="I117" s="218">
        <v>100</v>
      </c>
      <c r="J117" s="268">
        <f t="shared" si="10"/>
        <v>-2000</v>
      </c>
      <c r="K117" s="185"/>
      <c r="V117" s="183">
        <f t="shared" si="11"/>
        <v>0</v>
      </c>
      <c r="W117" s="183">
        <f t="shared" si="12"/>
        <v>1</v>
      </c>
    </row>
    <row r="118" spans="1:23" x14ac:dyDescent="0.3">
      <c r="A118" s="184"/>
      <c r="B118" s="194">
        <v>20</v>
      </c>
      <c r="C118" s="195">
        <v>45806</v>
      </c>
      <c r="D118" s="196" t="s">
        <v>16</v>
      </c>
      <c r="E118" s="222" t="s">
        <v>918</v>
      </c>
      <c r="F118" s="222">
        <v>190</v>
      </c>
      <c r="G118" s="222">
        <v>230</v>
      </c>
      <c r="H118" s="274">
        <v>40</v>
      </c>
      <c r="I118" s="218">
        <v>100</v>
      </c>
      <c r="J118" s="268">
        <f t="shared" si="10"/>
        <v>4000</v>
      </c>
      <c r="K118" s="185"/>
      <c r="V118" s="183">
        <f t="shared" si="11"/>
        <v>1</v>
      </c>
      <c r="W118" s="183">
        <f t="shared" si="12"/>
        <v>0</v>
      </c>
    </row>
    <row r="119" spans="1:23" ht="15" thickBot="1" x14ac:dyDescent="0.35">
      <c r="A119" s="184"/>
      <c r="B119" s="194">
        <v>21</v>
      </c>
      <c r="C119" s="195">
        <v>45807</v>
      </c>
      <c r="D119" s="196" t="s">
        <v>16</v>
      </c>
      <c r="E119" s="222" t="s">
        <v>1046</v>
      </c>
      <c r="F119" s="222">
        <v>195</v>
      </c>
      <c r="G119" s="222">
        <v>235</v>
      </c>
      <c r="H119" s="274">
        <v>40</v>
      </c>
      <c r="I119" s="218">
        <v>100</v>
      </c>
      <c r="J119" s="268">
        <f t="shared" si="10"/>
        <v>4000</v>
      </c>
      <c r="K119" s="185"/>
      <c r="V119" s="183">
        <f t="shared" si="11"/>
        <v>1</v>
      </c>
      <c r="W119" s="183">
        <f t="shared" si="12"/>
        <v>0</v>
      </c>
    </row>
    <row r="120" spans="1:23" hidden="1" x14ac:dyDescent="0.3">
      <c r="A120" s="184"/>
      <c r="B120" s="194">
        <v>22</v>
      </c>
      <c r="C120" s="195"/>
      <c r="D120" s="196"/>
      <c r="E120" s="222"/>
      <c r="F120" s="222"/>
      <c r="G120" s="222"/>
      <c r="H120" s="222"/>
      <c r="I120" s="218"/>
      <c r="J120" s="268">
        <f>I120*H120</f>
        <v>0</v>
      </c>
      <c r="K120" s="185"/>
      <c r="V120" s="183">
        <f t="shared" si="11"/>
        <v>0</v>
      </c>
      <c r="W120" s="183">
        <f t="shared" si="12"/>
        <v>0</v>
      </c>
    </row>
    <row r="121" spans="1:23" ht="15" hidden="1" thickBot="1" x14ac:dyDescent="0.35">
      <c r="A121" s="184"/>
      <c r="B121" s="199">
        <v>23</v>
      </c>
      <c r="C121" s="200"/>
      <c r="D121" s="201"/>
      <c r="E121" s="201"/>
      <c r="F121" s="284"/>
      <c r="G121" s="284"/>
      <c r="H121" s="284"/>
      <c r="I121" s="285"/>
      <c r="J121" s="269">
        <f>I121*H121</f>
        <v>0</v>
      </c>
      <c r="K121" s="185"/>
      <c r="V121" s="183">
        <f t="shared" si="11"/>
        <v>0</v>
      </c>
      <c r="W121" s="183">
        <f t="shared" si="12"/>
        <v>0</v>
      </c>
    </row>
    <row r="122" spans="1:23" ht="24" thickBot="1" x14ac:dyDescent="0.5">
      <c r="A122" s="184"/>
      <c r="B122" s="304" t="s">
        <v>879</v>
      </c>
      <c r="C122" s="305"/>
      <c r="D122" s="305"/>
      <c r="E122" s="305"/>
      <c r="F122" s="305"/>
      <c r="G122" s="305"/>
      <c r="H122" s="306"/>
      <c r="I122" s="203" t="s">
        <v>880</v>
      </c>
      <c r="J122" s="204">
        <f>SUM(J99:J121)</f>
        <v>27770</v>
      </c>
      <c r="K122" s="185"/>
      <c r="V122" s="183">
        <f>SUM(V99:V121)</f>
        <v>14</v>
      </c>
      <c r="W122" s="183">
        <f>SUM(W99:W121)</f>
        <v>7</v>
      </c>
    </row>
    <row r="123" spans="1:23" ht="30" customHeight="1" thickBot="1" x14ac:dyDescent="0.35">
      <c r="A123" s="205"/>
      <c r="B123" s="286"/>
      <c r="C123" s="286"/>
      <c r="D123" s="286"/>
      <c r="E123" s="286"/>
      <c r="F123" s="286"/>
      <c r="G123" s="286"/>
      <c r="H123" s="287"/>
      <c r="I123" s="286"/>
      <c r="J123" s="287"/>
      <c r="K123" s="207"/>
    </row>
    <row r="124" spans="1:23" ht="15" thickBot="1" x14ac:dyDescent="0.35"/>
    <row r="125" spans="1:23" ht="15" thickBot="1" x14ac:dyDescent="0.35">
      <c r="A125" s="180"/>
      <c r="B125" s="181"/>
      <c r="C125" s="181"/>
      <c r="D125" s="181"/>
      <c r="E125" s="181"/>
      <c r="F125" s="181"/>
      <c r="G125" s="181"/>
      <c r="H125" s="259"/>
      <c r="I125" s="181"/>
      <c r="J125" s="259"/>
      <c r="K125" s="182"/>
    </row>
    <row r="126" spans="1:23" ht="25.2" thickBot="1" x14ac:dyDescent="0.35">
      <c r="A126" s="184" t="s">
        <v>0</v>
      </c>
      <c r="B126" s="307" t="s">
        <v>873</v>
      </c>
      <c r="C126" s="308"/>
      <c r="D126" s="308"/>
      <c r="E126" s="308"/>
      <c r="F126" s="308"/>
      <c r="G126" s="308"/>
      <c r="H126" s="308"/>
      <c r="I126" s="308"/>
      <c r="J126" s="309"/>
      <c r="K126" s="185"/>
    </row>
    <row r="127" spans="1:23" ht="16.2" thickBot="1" x14ac:dyDescent="0.35">
      <c r="A127" s="184"/>
      <c r="B127" s="310">
        <v>45778</v>
      </c>
      <c r="C127" s="311"/>
      <c r="D127" s="311"/>
      <c r="E127" s="311"/>
      <c r="F127" s="311"/>
      <c r="G127" s="311"/>
      <c r="H127" s="311"/>
      <c r="I127" s="311"/>
      <c r="J127" s="312"/>
      <c r="K127" s="185"/>
    </row>
    <row r="128" spans="1:23" ht="16.2" thickBot="1" x14ac:dyDescent="0.35">
      <c r="A128" s="184"/>
      <c r="B128" s="313" t="s">
        <v>995</v>
      </c>
      <c r="C128" s="314"/>
      <c r="D128" s="314"/>
      <c r="E128" s="314"/>
      <c r="F128" s="314"/>
      <c r="G128" s="314"/>
      <c r="H128" s="314"/>
      <c r="I128" s="314"/>
      <c r="J128" s="315"/>
      <c r="K128" s="185"/>
    </row>
    <row r="129" spans="1:23" ht="15" thickBot="1" x14ac:dyDescent="0.35">
      <c r="A129" s="208"/>
      <c r="B129" s="186" t="s">
        <v>876</v>
      </c>
      <c r="C129" s="187" t="s">
        <v>1</v>
      </c>
      <c r="D129" s="188" t="s">
        <v>2</v>
      </c>
      <c r="E129" s="188" t="s">
        <v>3</v>
      </c>
      <c r="F129" s="189" t="s">
        <v>4</v>
      </c>
      <c r="G129" s="189" t="s">
        <v>5</v>
      </c>
      <c r="H129" s="260" t="s">
        <v>720</v>
      </c>
      <c r="I129" s="189" t="s">
        <v>1017</v>
      </c>
      <c r="J129" s="266" t="s">
        <v>7</v>
      </c>
      <c r="K129" s="209"/>
    </row>
    <row r="130" spans="1:23" x14ac:dyDescent="0.3">
      <c r="A130" s="184"/>
      <c r="B130" s="214">
        <v>1</v>
      </c>
      <c r="C130" s="215">
        <v>45779</v>
      </c>
      <c r="D130" s="216" t="s">
        <v>16</v>
      </c>
      <c r="E130" s="256" t="s">
        <v>1053</v>
      </c>
      <c r="F130" s="256">
        <v>15</v>
      </c>
      <c r="G130" s="256">
        <v>12</v>
      </c>
      <c r="H130" s="256">
        <v>-3</v>
      </c>
      <c r="I130" s="218">
        <v>2500</v>
      </c>
      <c r="J130" s="273">
        <f>I130*H130</f>
        <v>-7500</v>
      </c>
      <c r="K130" s="185"/>
      <c r="V130" s="183">
        <f t="shared" ref="V130:V152" si="13">IF($J130&gt;0,1,0)</f>
        <v>0</v>
      </c>
      <c r="W130" s="183">
        <f t="shared" ref="W130:W152" si="14">IF($J130&lt;0,1,0)</f>
        <v>1</v>
      </c>
    </row>
    <row r="131" spans="1:23" x14ac:dyDescent="0.3">
      <c r="A131" s="184"/>
      <c r="B131" s="194">
        <v>2</v>
      </c>
      <c r="C131" s="195">
        <v>45782</v>
      </c>
      <c r="D131" s="196" t="s">
        <v>16</v>
      </c>
      <c r="E131" s="222" t="s">
        <v>1047</v>
      </c>
      <c r="F131" s="222">
        <v>19.5</v>
      </c>
      <c r="G131" s="222">
        <v>25.5</v>
      </c>
      <c r="H131" s="222">
        <v>6</v>
      </c>
      <c r="I131" s="218">
        <v>2500</v>
      </c>
      <c r="J131" s="268">
        <f t="shared" ref="J131:J150" si="15">I131*H131</f>
        <v>15000</v>
      </c>
      <c r="K131" s="185"/>
      <c r="V131" s="183">
        <f t="shared" si="13"/>
        <v>1</v>
      </c>
      <c r="W131" s="183">
        <f t="shared" si="14"/>
        <v>0</v>
      </c>
    </row>
    <row r="132" spans="1:23" x14ac:dyDescent="0.3">
      <c r="A132" s="184"/>
      <c r="B132" s="194">
        <v>3</v>
      </c>
      <c r="C132" s="195">
        <v>45783</v>
      </c>
      <c r="D132" s="196" t="s">
        <v>16</v>
      </c>
      <c r="E132" s="222" t="s">
        <v>1047</v>
      </c>
      <c r="F132" s="222">
        <v>20</v>
      </c>
      <c r="G132" s="222">
        <v>26</v>
      </c>
      <c r="H132" s="222">
        <v>6</v>
      </c>
      <c r="I132" s="218">
        <v>2500</v>
      </c>
      <c r="J132" s="268">
        <f t="shared" si="15"/>
        <v>15000</v>
      </c>
      <c r="K132" s="185"/>
      <c r="V132" s="183">
        <f t="shared" si="13"/>
        <v>1</v>
      </c>
      <c r="W132" s="183">
        <f t="shared" si="14"/>
        <v>0</v>
      </c>
    </row>
    <row r="133" spans="1:23" x14ac:dyDescent="0.3">
      <c r="A133" s="184"/>
      <c r="B133" s="194">
        <v>4</v>
      </c>
      <c r="C133" s="195">
        <v>45784</v>
      </c>
      <c r="D133" s="196" t="s">
        <v>16</v>
      </c>
      <c r="E133" s="222" t="s">
        <v>1010</v>
      </c>
      <c r="F133" s="222">
        <v>16</v>
      </c>
      <c r="G133" s="222">
        <v>17</v>
      </c>
      <c r="H133" s="222">
        <v>1</v>
      </c>
      <c r="I133" s="218">
        <v>2500</v>
      </c>
      <c r="J133" s="268">
        <f t="shared" si="15"/>
        <v>2500</v>
      </c>
      <c r="K133" s="185"/>
      <c r="V133" s="183">
        <f t="shared" si="13"/>
        <v>1</v>
      </c>
      <c r="W133" s="183">
        <f t="shared" si="14"/>
        <v>0</v>
      </c>
    </row>
    <row r="134" spans="1:23" x14ac:dyDescent="0.3">
      <c r="A134" s="184"/>
      <c r="B134" s="194">
        <v>5</v>
      </c>
      <c r="C134" s="195">
        <v>45785</v>
      </c>
      <c r="D134" s="196" t="s">
        <v>16</v>
      </c>
      <c r="E134" s="222" t="s">
        <v>1010</v>
      </c>
      <c r="F134" s="222">
        <v>12</v>
      </c>
      <c r="G134" s="222">
        <v>15</v>
      </c>
      <c r="H134" s="222">
        <v>3</v>
      </c>
      <c r="I134" s="218">
        <v>2500</v>
      </c>
      <c r="J134" s="268">
        <f t="shared" si="15"/>
        <v>7500</v>
      </c>
      <c r="K134" s="185"/>
      <c r="V134" s="183">
        <f t="shared" si="13"/>
        <v>1</v>
      </c>
      <c r="W134" s="183">
        <f t="shared" si="14"/>
        <v>0</v>
      </c>
    </row>
    <row r="135" spans="1:23" x14ac:dyDescent="0.3">
      <c r="A135" s="184"/>
      <c r="B135" s="194">
        <v>6</v>
      </c>
      <c r="C135" s="195">
        <v>45786</v>
      </c>
      <c r="D135" s="196" t="s">
        <v>16</v>
      </c>
      <c r="E135" s="222" t="s">
        <v>1010</v>
      </c>
      <c r="F135" s="222">
        <v>11</v>
      </c>
      <c r="G135" s="222">
        <v>8</v>
      </c>
      <c r="H135" s="222">
        <v>-3</v>
      </c>
      <c r="I135" s="218">
        <v>2500</v>
      </c>
      <c r="J135" s="268">
        <f t="shared" si="15"/>
        <v>-7500</v>
      </c>
      <c r="K135" s="185"/>
      <c r="V135" s="183">
        <f t="shared" si="13"/>
        <v>0</v>
      </c>
      <c r="W135" s="183">
        <f t="shared" si="14"/>
        <v>1</v>
      </c>
    </row>
    <row r="136" spans="1:23" x14ac:dyDescent="0.3">
      <c r="A136" s="184"/>
      <c r="B136" s="194">
        <v>7</v>
      </c>
      <c r="C136" s="195">
        <v>45789</v>
      </c>
      <c r="D136" s="196" t="s">
        <v>16</v>
      </c>
      <c r="E136" s="222" t="s">
        <v>1062</v>
      </c>
      <c r="F136" s="222">
        <v>13</v>
      </c>
      <c r="G136" s="222">
        <v>14.6</v>
      </c>
      <c r="H136" s="274">
        <v>1.6</v>
      </c>
      <c r="I136" s="218">
        <v>2500</v>
      </c>
      <c r="J136" s="268">
        <f t="shared" si="15"/>
        <v>4000</v>
      </c>
      <c r="K136" s="185"/>
      <c r="V136" s="183">
        <f t="shared" si="13"/>
        <v>1</v>
      </c>
      <c r="W136" s="183">
        <f t="shared" si="14"/>
        <v>0</v>
      </c>
    </row>
    <row r="137" spans="1:23" x14ac:dyDescent="0.3">
      <c r="A137" s="184"/>
      <c r="B137" s="194">
        <v>8</v>
      </c>
      <c r="C137" s="195">
        <v>45790</v>
      </c>
      <c r="D137" s="196" t="s">
        <v>16</v>
      </c>
      <c r="E137" s="222" t="s">
        <v>1015</v>
      </c>
      <c r="F137" s="222">
        <v>16</v>
      </c>
      <c r="G137" s="222">
        <v>22</v>
      </c>
      <c r="H137" s="222">
        <v>6</v>
      </c>
      <c r="I137" s="218">
        <v>2500</v>
      </c>
      <c r="J137" s="268">
        <f t="shared" si="15"/>
        <v>15000</v>
      </c>
      <c r="K137" s="185"/>
      <c r="V137" s="183">
        <f t="shared" si="13"/>
        <v>1</v>
      </c>
      <c r="W137" s="183">
        <f t="shared" si="14"/>
        <v>0</v>
      </c>
    </row>
    <row r="138" spans="1:23" x14ac:dyDescent="0.3">
      <c r="A138" s="184"/>
      <c r="B138" s="194">
        <v>9</v>
      </c>
      <c r="C138" s="195">
        <v>45791</v>
      </c>
      <c r="D138" s="196" t="s">
        <v>16</v>
      </c>
      <c r="E138" s="222" t="s">
        <v>1047</v>
      </c>
      <c r="F138" s="222">
        <v>15.5</v>
      </c>
      <c r="G138" s="222">
        <v>20</v>
      </c>
      <c r="H138" s="222">
        <v>0.5</v>
      </c>
      <c r="I138" s="218">
        <v>2500</v>
      </c>
      <c r="J138" s="268">
        <f t="shared" si="15"/>
        <v>1250</v>
      </c>
      <c r="K138" s="185"/>
      <c r="V138" s="183">
        <f t="shared" si="13"/>
        <v>1</v>
      </c>
      <c r="W138" s="183">
        <f t="shared" si="14"/>
        <v>0</v>
      </c>
    </row>
    <row r="139" spans="1:23" x14ac:dyDescent="0.3">
      <c r="A139" s="184"/>
      <c r="B139" s="194">
        <v>10</v>
      </c>
      <c r="C139" s="195">
        <v>45792</v>
      </c>
      <c r="D139" s="196" t="s">
        <v>16</v>
      </c>
      <c r="E139" s="222" t="s">
        <v>1047</v>
      </c>
      <c r="F139" s="222">
        <v>20</v>
      </c>
      <c r="G139" s="222">
        <v>24</v>
      </c>
      <c r="H139" s="222">
        <v>4</v>
      </c>
      <c r="I139" s="218">
        <v>2500</v>
      </c>
      <c r="J139" s="268">
        <f t="shared" si="15"/>
        <v>10000</v>
      </c>
      <c r="K139" s="185"/>
      <c r="V139" s="183">
        <f t="shared" si="13"/>
        <v>1</v>
      </c>
      <c r="W139" s="183">
        <f t="shared" si="14"/>
        <v>0</v>
      </c>
    </row>
    <row r="140" spans="1:23" x14ac:dyDescent="0.3">
      <c r="A140" s="184"/>
      <c r="B140" s="194">
        <v>11</v>
      </c>
      <c r="C140" s="195">
        <v>45793</v>
      </c>
      <c r="D140" s="196" t="s">
        <v>16</v>
      </c>
      <c r="E140" s="222" t="s">
        <v>1006</v>
      </c>
      <c r="F140" s="222">
        <v>15</v>
      </c>
      <c r="G140" s="222">
        <v>20</v>
      </c>
      <c r="H140" s="274">
        <v>5</v>
      </c>
      <c r="I140" s="218">
        <v>2500</v>
      </c>
      <c r="J140" s="268">
        <f t="shared" si="15"/>
        <v>12500</v>
      </c>
      <c r="K140" s="185"/>
      <c r="V140" s="183">
        <f t="shared" si="13"/>
        <v>1</v>
      </c>
      <c r="W140" s="183">
        <f t="shared" si="14"/>
        <v>0</v>
      </c>
    </row>
    <row r="141" spans="1:23" x14ac:dyDescent="0.3">
      <c r="A141" s="184"/>
      <c r="B141" s="194">
        <v>12</v>
      </c>
      <c r="C141" s="195">
        <v>45796</v>
      </c>
      <c r="D141" s="196" t="s">
        <v>16</v>
      </c>
      <c r="E141" s="222" t="s">
        <v>1053</v>
      </c>
      <c r="F141" s="222">
        <v>11</v>
      </c>
      <c r="G141" s="222">
        <v>14</v>
      </c>
      <c r="H141" s="274">
        <v>3</v>
      </c>
      <c r="I141" s="218">
        <v>2500</v>
      </c>
      <c r="J141" s="268">
        <f t="shared" si="15"/>
        <v>7500</v>
      </c>
      <c r="K141" s="185"/>
      <c r="V141" s="183">
        <f t="shared" si="13"/>
        <v>1</v>
      </c>
      <c r="W141" s="183">
        <f t="shared" si="14"/>
        <v>0</v>
      </c>
    </row>
    <row r="142" spans="1:23" x14ac:dyDescent="0.3">
      <c r="A142" s="184"/>
      <c r="B142" s="194">
        <v>13</v>
      </c>
      <c r="C142" s="195">
        <v>45797</v>
      </c>
      <c r="D142" s="196" t="s">
        <v>16</v>
      </c>
      <c r="E142" s="222" t="s">
        <v>1064</v>
      </c>
      <c r="F142" s="222">
        <v>11</v>
      </c>
      <c r="G142" s="222">
        <v>13</v>
      </c>
      <c r="H142" s="274">
        <v>2</v>
      </c>
      <c r="I142" s="218">
        <v>2500</v>
      </c>
      <c r="J142" s="268">
        <f t="shared" si="15"/>
        <v>5000</v>
      </c>
      <c r="K142" s="185"/>
      <c r="V142" s="183">
        <f t="shared" si="13"/>
        <v>1</v>
      </c>
      <c r="W142" s="183">
        <f t="shared" si="14"/>
        <v>0</v>
      </c>
    </row>
    <row r="143" spans="1:23" x14ac:dyDescent="0.3">
      <c r="A143" s="184"/>
      <c r="B143" s="194">
        <v>14</v>
      </c>
      <c r="C143" s="195">
        <v>45798</v>
      </c>
      <c r="D143" s="196" t="s">
        <v>16</v>
      </c>
      <c r="E143" s="222" t="s">
        <v>1065</v>
      </c>
      <c r="F143" s="222">
        <v>10.5</v>
      </c>
      <c r="G143" s="222">
        <v>15.7</v>
      </c>
      <c r="H143" s="274">
        <f>15.7-10.5</f>
        <v>5.1999999999999993</v>
      </c>
      <c r="I143" s="218">
        <v>2500</v>
      </c>
      <c r="J143" s="268">
        <f t="shared" si="15"/>
        <v>12999.999999999998</v>
      </c>
      <c r="K143" s="185"/>
      <c r="V143" s="183">
        <f t="shared" si="13"/>
        <v>1</v>
      </c>
      <c r="W143" s="183">
        <f t="shared" si="14"/>
        <v>0</v>
      </c>
    </row>
    <row r="144" spans="1:23" x14ac:dyDescent="0.3">
      <c r="A144" s="184"/>
      <c r="B144" s="194">
        <v>15</v>
      </c>
      <c r="C144" s="195">
        <v>45799</v>
      </c>
      <c r="D144" s="196" t="s">
        <v>16</v>
      </c>
      <c r="E144" s="196" t="s">
        <v>999</v>
      </c>
      <c r="F144" s="222">
        <v>12</v>
      </c>
      <c r="G144" s="222">
        <v>13</v>
      </c>
      <c r="H144" s="222">
        <v>1</v>
      </c>
      <c r="I144" s="218">
        <v>2500</v>
      </c>
      <c r="J144" s="268">
        <f t="shared" si="15"/>
        <v>2500</v>
      </c>
      <c r="K144" s="185"/>
      <c r="V144" s="183">
        <f t="shared" si="13"/>
        <v>1</v>
      </c>
      <c r="W144" s="183">
        <f t="shared" si="14"/>
        <v>0</v>
      </c>
    </row>
    <row r="145" spans="1:23" x14ac:dyDescent="0.3">
      <c r="A145" s="184"/>
      <c r="B145" s="194">
        <v>16</v>
      </c>
      <c r="C145" s="195">
        <v>45800</v>
      </c>
      <c r="D145" s="196" t="s">
        <v>16</v>
      </c>
      <c r="E145" s="196" t="s">
        <v>999</v>
      </c>
      <c r="F145" s="222">
        <v>12.4</v>
      </c>
      <c r="G145" s="274">
        <v>14.5</v>
      </c>
      <c r="H145" s="274">
        <f>14.5-12.4</f>
        <v>2.0999999999999996</v>
      </c>
      <c r="I145" s="218">
        <v>2500</v>
      </c>
      <c r="J145" s="268">
        <f t="shared" si="15"/>
        <v>5249.9999999999991</v>
      </c>
      <c r="K145" s="185"/>
      <c r="V145" s="183">
        <f t="shared" si="13"/>
        <v>1</v>
      </c>
      <c r="W145" s="183">
        <f t="shared" si="14"/>
        <v>0</v>
      </c>
    </row>
    <row r="146" spans="1:23" x14ac:dyDescent="0.3">
      <c r="A146" s="184"/>
      <c r="B146" s="194">
        <v>17</v>
      </c>
      <c r="C146" s="195">
        <v>45803</v>
      </c>
      <c r="D146" s="196" t="s">
        <v>16</v>
      </c>
      <c r="E146" s="196" t="s">
        <v>1010</v>
      </c>
      <c r="F146" s="222">
        <v>15.5</v>
      </c>
      <c r="G146" s="222">
        <v>17.5</v>
      </c>
      <c r="H146" s="263">
        <v>2</v>
      </c>
      <c r="I146" s="218">
        <v>2500</v>
      </c>
      <c r="J146" s="268">
        <f t="shared" si="15"/>
        <v>5000</v>
      </c>
      <c r="K146" s="185"/>
      <c r="V146" s="183">
        <f t="shared" si="13"/>
        <v>1</v>
      </c>
      <c r="W146" s="183">
        <f t="shared" si="14"/>
        <v>0</v>
      </c>
    </row>
    <row r="147" spans="1:23" x14ac:dyDescent="0.3">
      <c r="A147" s="184"/>
      <c r="B147" s="194">
        <v>18</v>
      </c>
      <c r="C147" s="195">
        <v>45804</v>
      </c>
      <c r="D147" s="196" t="s">
        <v>16</v>
      </c>
      <c r="E147" s="196" t="s">
        <v>1042</v>
      </c>
      <c r="F147" s="222">
        <v>19.2</v>
      </c>
      <c r="G147" s="222">
        <v>23.75</v>
      </c>
      <c r="H147" s="274">
        <f>23.75-19.2</f>
        <v>4.5500000000000007</v>
      </c>
      <c r="I147" s="218">
        <v>2500</v>
      </c>
      <c r="J147" s="268">
        <f t="shared" si="15"/>
        <v>11375.000000000002</v>
      </c>
      <c r="K147" s="185"/>
      <c r="V147" s="183">
        <f t="shared" si="13"/>
        <v>1</v>
      </c>
      <c r="W147" s="183">
        <f t="shared" si="14"/>
        <v>0</v>
      </c>
    </row>
    <row r="148" spans="1:23" x14ac:dyDescent="0.3">
      <c r="A148" s="184"/>
      <c r="B148" s="194">
        <v>19</v>
      </c>
      <c r="C148" s="195">
        <v>45805</v>
      </c>
      <c r="D148" s="196" t="s">
        <v>16</v>
      </c>
      <c r="E148" s="196" t="s">
        <v>1015</v>
      </c>
      <c r="F148" s="222">
        <v>22.5</v>
      </c>
      <c r="G148" s="222">
        <v>19.5</v>
      </c>
      <c r="H148" s="274">
        <v>-3</v>
      </c>
      <c r="I148" s="218">
        <v>2500</v>
      </c>
      <c r="J148" s="268">
        <f t="shared" si="15"/>
        <v>-7500</v>
      </c>
      <c r="K148" s="185"/>
      <c r="V148" s="183">
        <f t="shared" si="13"/>
        <v>0</v>
      </c>
      <c r="W148" s="183">
        <f t="shared" si="14"/>
        <v>1</v>
      </c>
    </row>
    <row r="149" spans="1:23" x14ac:dyDescent="0.3">
      <c r="A149" s="184"/>
      <c r="B149" s="194">
        <v>20</v>
      </c>
      <c r="C149" s="195">
        <v>45806</v>
      </c>
      <c r="D149" s="196" t="s">
        <v>16</v>
      </c>
      <c r="E149" s="222" t="s">
        <v>1010</v>
      </c>
      <c r="F149" s="222">
        <v>19</v>
      </c>
      <c r="G149" s="222">
        <v>22</v>
      </c>
      <c r="H149" s="274">
        <v>3</v>
      </c>
      <c r="I149" s="218">
        <v>2500</v>
      </c>
      <c r="J149" s="268">
        <f t="shared" si="15"/>
        <v>7500</v>
      </c>
      <c r="K149" s="185"/>
      <c r="V149" s="183">
        <f t="shared" si="13"/>
        <v>1</v>
      </c>
      <c r="W149" s="183">
        <f t="shared" si="14"/>
        <v>0</v>
      </c>
    </row>
    <row r="150" spans="1:23" ht="15" thickBot="1" x14ac:dyDescent="0.35">
      <c r="A150" s="184"/>
      <c r="B150" s="194">
        <v>21</v>
      </c>
      <c r="C150" s="195">
        <v>45807</v>
      </c>
      <c r="D150" s="196" t="s">
        <v>16</v>
      </c>
      <c r="E150" s="222" t="s">
        <v>1012</v>
      </c>
      <c r="F150" s="222">
        <v>19</v>
      </c>
      <c r="G150" s="222">
        <v>20</v>
      </c>
      <c r="H150" s="274">
        <v>1</v>
      </c>
      <c r="I150" s="218">
        <v>2500</v>
      </c>
      <c r="J150" s="268">
        <f t="shared" si="15"/>
        <v>2500</v>
      </c>
      <c r="K150" s="185"/>
      <c r="V150" s="183">
        <f t="shared" si="13"/>
        <v>1</v>
      </c>
      <c r="W150" s="183">
        <f t="shared" si="14"/>
        <v>0</v>
      </c>
    </row>
    <row r="151" spans="1:23" hidden="1" x14ac:dyDescent="0.3">
      <c r="A151" s="184"/>
      <c r="B151" s="194">
        <v>22</v>
      </c>
      <c r="C151" s="195"/>
      <c r="D151" s="196"/>
      <c r="E151" s="222"/>
      <c r="F151" s="222"/>
      <c r="G151" s="222"/>
      <c r="H151" s="222"/>
      <c r="I151" s="218"/>
      <c r="J151" s="268">
        <f>I151*H151</f>
        <v>0</v>
      </c>
      <c r="K151" s="185"/>
      <c r="V151" s="183">
        <f t="shared" si="13"/>
        <v>0</v>
      </c>
      <c r="W151" s="183">
        <f t="shared" si="14"/>
        <v>0</v>
      </c>
    </row>
    <row r="152" spans="1:23" ht="15" hidden="1" thickBot="1" x14ac:dyDescent="0.35">
      <c r="A152" s="184"/>
      <c r="B152" s="199">
        <v>23</v>
      </c>
      <c r="C152" s="200"/>
      <c r="D152" s="201"/>
      <c r="E152" s="201"/>
      <c r="F152" s="284"/>
      <c r="G152" s="284"/>
      <c r="H152" s="284"/>
      <c r="I152" s="285"/>
      <c r="J152" s="269">
        <f>I152*H152</f>
        <v>0</v>
      </c>
      <c r="K152" s="185"/>
      <c r="V152" s="183">
        <f t="shared" si="13"/>
        <v>0</v>
      </c>
      <c r="W152" s="183">
        <f t="shared" si="14"/>
        <v>0</v>
      </c>
    </row>
    <row r="153" spans="1:23" ht="24" thickBot="1" x14ac:dyDescent="0.5">
      <c r="A153" s="184"/>
      <c r="B153" s="304" t="s">
        <v>879</v>
      </c>
      <c r="C153" s="305"/>
      <c r="D153" s="305"/>
      <c r="E153" s="305"/>
      <c r="F153" s="305"/>
      <c r="G153" s="305"/>
      <c r="H153" s="306"/>
      <c r="I153" s="203" t="s">
        <v>880</v>
      </c>
      <c r="J153" s="204">
        <f>SUM(J130:J152)</f>
        <v>119875</v>
      </c>
      <c r="K153" s="185"/>
      <c r="V153" s="183">
        <f>SUM(V130:V152)</f>
        <v>18</v>
      </c>
      <c r="W153" s="183">
        <f>SUM(W130:W152)</f>
        <v>3</v>
      </c>
    </row>
    <row r="154" spans="1:23" ht="15" thickBot="1" x14ac:dyDescent="0.35">
      <c r="A154" s="205"/>
      <c r="B154" s="286"/>
      <c r="C154" s="286"/>
      <c r="D154" s="286"/>
      <c r="E154" s="286"/>
      <c r="F154" s="286"/>
      <c r="G154" s="286"/>
      <c r="H154" s="287"/>
      <c r="I154" s="286"/>
      <c r="J154" s="287"/>
      <c r="K154" s="207"/>
    </row>
    <row r="155" spans="1:23" ht="15" thickBot="1" x14ac:dyDescent="0.35"/>
    <row r="156" spans="1:23" ht="15" thickBot="1" x14ac:dyDescent="0.35">
      <c r="A156" s="180"/>
      <c r="B156" s="181"/>
      <c r="C156" s="181"/>
      <c r="D156" s="181"/>
      <c r="E156" s="181"/>
      <c r="F156" s="181"/>
      <c r="G156" s="181"/>
      <c r="H156" s="259"/>
      <c r="I156" s="181"/>
      <c r="J156" s="259"/>
      <c r="K156" s="182"/>
    </row>
    <row r="157" spans="1:23" ht="25.2" thickBot="1" x14ac:dyDescent="0.35">
      <c r="A157" s="184" t="s">
        <v>0</v>
      </c>
      <c r="B157" s="307" t="s">
        <v>873</v>
      </c>
      <c r="C157" s="308"/>
      <c r="D157" s="308"/>
      <c r="E157" s="308"/>
      <c r="F157" s="308"/>
      <c r="G157" s="308"/>
      <c r="H157" s="308"/>
      <c r="I157" s="308"/>
      <c r="J157" s="309"/>
      <c r="K157" s="185"/>
    </row>
    <row r="158" spans="1:23" ht="16.2" thickBot="1" x14ac:dyDescent="0.35">
      <c r="A158" s="184"/>
      <c r="B158" s="310">
        <v>45778</v>
      </c>
      <c r="C158" s="311"/>
      <c r="D158" s="311"/>
      <c r="E158" s="311"/>
      <c r="F158" s="311"/>
      <c r="G158" s="311"/>
      <c r="H158" s="311"/>
      <c r="I158" s="311"/>
      <c r="J158" s="312"/>
      <c r="K158" s="185"/>
    </row>
    <row r="159" spans="1:23" ht="16.2" thickBot="1" x14ac:dyDescent="0.35">
      <c r="A159" s="184"/>
      <c r="B159" s="313" t="s">
        <v>996</v>
      </c>
      <c r="C159" s="314"/>
      <c r="D159" s="314"/>
      <c r="E159" s="314"/>
      <c r="F159" s="314"/>
      <c r="G159" s="314"/>
      <c r="H159" s="314"/>
      <c r="I159" s="314"/>
      <c r="J159" s="315"/>
      <c r="K159" s="185"/>
    </row>
    <row r="160" spans="1:23" ht="15" thickBot="1" x14ac:dyDescent="0.35">
      <c r="A160" s="208"/>
      <c r="B160" s="186" t="s">
        <v>876</v>
      </c>
      <c r="C160" s="187" t="s">
        <v>1</v>
      </c>
      <c r="D160" s="188" t="s">
        <v>2</v>
      </c>
      <c r="E160" s="188" t="s">
        <v>3</v>
      </c>
      <c r="F160" s="189" t="s">
        <v>4</v>
      </c>
      <c r="G160" s="189" t="s">
        <v>5</v>
      </c>
      <c r="H160" s="260" t="s">
        <v>720</v>
      </c>
      <c r="I160" s="189" t="s">
        <v>1017</v>
      </c>
      <c r="J160" s="266" t="s">
        <v>7</v>
      </c>
      <c r="K160" s="209"/>
    </row>
    <row r="161" spans="1:23" x14ac:dyDescent="0.3">
      <c r="A161" s="184"/>
      <c r="B161" s="214">
        <v>1</v>
      </c>
      <c r="C161" s="215">
        <v>45779</v>
      </c>
      <c r="D161" s="216" t="s">
        <v>23</v>
      </c>
      <c r="E161" s="256" t="s">
        <v>28</v>
      </c>
      <c r="F161" s="256">
        <v>245</v>
      </c>
      <c r="G161" s="256">
        <v>244.5</v>
      </c>
      <c r="H161" s="256">
        <v>0.5</v>
      </c>
      <c r="I161" s="218">
        <v>5000</v>
      </c>
      <c r="J161" s="273">
        <f>I161*H161</f>
        <v>2500</v>
      </c>
      <c r="K161" s="185"/>
      <c r="V161" s="183">
        <f t="shared" ref="V161:V183" si="16">IF($J161&gt;0,1,0)</f>
        <v>1</v>
      </c>
      <c r="W161" s="183">
        <f t="shared" ref="W161:W183" si="17">IF($J161&lt;0,1,0)</f>
        <v>0</v>
      </c>
    </row>
    <row r="162" spans="1:23" x14ac:dyDescent="0.3">
      <c r="A162" s="184"/>
      <c r="B162" s="194">
        <v>2</v>
      </c>
      <c r="C162" s="195">
        <v>45782</v>
      </c>
      <c r="D162" s="196" t="s">
        <v>23</v>
      </c>
      <c r="E162" s="222" t="s">
        <v>28</v>
      </c>
      <c r="F162" s="222">
        <v>244.8</v>
      </c>
      <c r="G162" s="222">
        <v>245.8</v>
      </c>
      <c r="H162" s="222">
        <v>-1</v>
      </c>
      <c r="I162" s="218">
        <v>5000</v>
      </c>
      <c r="J162" s="268">
        <f t="shared" ref="J162:J181" si="18">I162*H162</f>
        <v>-5000</v>
      </c>
      <c r="K162" s="185"/>
      <c r="V162" s="183">
        <f t="shared" si="16"/>
        <v>0</v>
      </c>
      <c r="W162" s="183">
        <f t="shared" si="17"/>
        <v>1</v>
      </c>
    </row>
    <row r="163" spans="1:23" x14ac:dyDescent="0.3">
      <c r="A163" s="184"/>
      <c r="B163" s="194">
        <v>3</v>
      </c>
      <c r="C163" s="195">
        <v>45783</v>
      </c>
      <c r="D163" s="196" t="s">
        <v>23</v>
      </c>
      <c r="E163" s="222" t="s">
        <v>28</v>
      </c>
      <c r="F163" s="222">
        <v>247.2</v>
      </c>
      <c r="G163" s="222">
        <v>246.2</v>
      </c>
      <c r="H163" s="222">
        <v>1</v>
      </c>
      <c r="I163" s="218">
        <v>5000</v>
      </c>
      <c r="J163" s="268">
        <f t="shared" si="18"/>
        <v>5000</v>
      </c>
      <c r="K163" s="185"/>
      <c r="V163" s="183">
        <f t="shared" si="16"/>
        <v>1</v>
      </c>
      <c r="W163" s="183">
        <f t="shared" si="17"/>
        <v>0</v>
      </c>
    </row>
    <row r="164" spans="1:23" x14ac:dyDescent="0.3">
      <c r="A164" s="184"/>
      <c r="B164" s="194">
        <v>4</v>
      </c>
      <c r="C164" s="195">
        <v>45784</v>
      </c>
      <c r="D164" s="196" t="s">
        <v>23</v>
      </c>
      <c r="E164" s="222" t="s">
        <v>28</v>
      </c>
      <c r="F164" s="222">
        <v>247.5</v>
      </c>
      <c r="G164" s="222">
        <v>247.1</v>
      </c>
      <c r="H164" s="222">
        <v>0.4</v>
      </c>
      <c r="I164" s="218">
        <v>5000</v>
      </c>
      <c r="J164" s="268">
        <f t="shared" si="18"/>
        <v>2000</v>
      </c>
      <c r="K164" s="185"/>
      <c r="V164" s="183">
        <f t="shared" si="16"/>
        <v>1</v>
      </c>
      <c r="W164" s="183">
        <f t="shared" si="17"/>
        <v>0</v>
      </c>
    </row>
    <row r="165" spans="1:23" x14ac:dyDescent="0.3">
      <c r="A165" s="184"/>
      <c r="B165" s="194">
        <v>5</v>
      </c>
      <c r="C165" s="195">
        <v>45785</v>
      </c>
      <c r="D165" s="196" t="s">
        <v>23</v>
      </c>
      <c r="E165" s="222" t="s">
        <v>28</v>
      </c>
      <c r="F165" s="222">
        <v>248</v>
      </c>
      <c r="G165" s="222">
        <v>246.8</v>
      </c>
      <c r="H165" s="222">
        <f>248-246.8</f>
        <v>1.1999999999999886</v>
      </c>
      <c r="I165" s="218">
        <v>5000</v>
      </c>
      <c r="J165" s="268">
        <f t="shared" si="18"/>
        <v>5999.9999999999436</v>
      </c>
      <c r="K165" s="185"/>
      <c r="V165" s="183">
        <f t="shared" si="16"/>
        <v>1</v>
      </c>
      <c r="W165" s="183">
        <f t="shared" si="17"/>
        <v>0</v>
      </c>
    </row>
    <row r="166" spans="1:23" x14ac:dyDescent="0.3">
      <c r="A166" s="184"/>
      <c r="B166" s="194">
        <v>6</v>
      </c>
      <c r="C166" s="195">
        <v>45786</v>
      </c>
      <c r="D166" s="196" t="s">
        <v>23</v>
      </c>
      <c r="E166" s="222" t="s">
        <v>28</v>
      </c>
      <c r="F166" s="222">
        <v>251.3</v>
      </c>
      <c r="G166" s="222">
        <v>250.3</v>
      </c>
      <c r="H166" s="222">
        <v>1</v>
      </c>
      <c r="I166" s="218">
        <v>5000</v>
      </c>
      <c r="J166" s="268">
        <f t="shared" si="18"/>
        <v>5000</v>
      </c>
      <c r="K166" s="185"/>
      <c r="V166" s="183">
        <f t="shared" si="16"/>
        <v>1</v>
      </c>
      <c r="W166" s="183">
        <f t="shared" si="17"/>
        <v>0</v>
      </c>
    </row>
    <row r="167" spans="1:23" x14ac:dyDescent="0.3">
      <c r="A167" s="184"/>
      <c r="B167" s="194">
        <v>7</v>
      </c>
      <c r="C167" s="195">
        <v>45789</v>
      </c>
      <c r="D167" s="196" t="s">
        <v>16</v>
      </c>
      <c r="E167" s="222" t="s">
        <v>28</v>
      </c>
      <c r="F167" s="222">
        <v>252.5</v>
      </c>
      <c r="G167" s="222">
        <v>254.5</v>
      </c>
      <c r="H167" s="274">
        <v>2</v>
      </c>
      <c r="I167" s="218">
        <v>5000</v>
      </c>
      <c r="J167" s="268">
        <f t="shared" si="18"/>
        <v>10000</v>
      </c>
      <c r="K167" s="185"/>
      <c r="V167" s="183">
        <f t="shared" si="16"/>
        <v>1</v>
      </c>
      <c r="W167" s="183">
        <f t="shared" si="17"/>
        <v>0</v>
      </c>
    </row>
    <row r="168" spans="1:23" x14ac:dyDescent="0.3">
      <c r="A168" s="184"/>
      <c r="B168" s="194">
        <v>8</v>
      </c>
      <c r="C168" s="195">
        <v>45790</v>
      </c>
      <c r="D168" s="196" t="s">
        <v>23</v>
      </c>
      <c r="E168" s="222" t="s">
        <v>28</v>
      </c>
      <c r="F168" s="222">
        <v>253.5</v>
      </c>
      <c r="G168" s="222">
        <v>252.7</v>
      </c>
      <c r="H168" s="222">
        <f>253.5-252.7</f>
        <v>0.80000000000001137</v>
      </c>
      <c r="I168" s="218">
        <v>5000</v>
      </c>
      <c r="J168" s="268">
        <f t="shared" si="18"/>
        <v>4000.0000000000568</v>
      </c>
      <c r="K168" s="185"/>
      <c r="V168" s="183">
        <f t="shared" si="16"/>
        <v>1</v>
      </c>
      <c r="W168" s="183">
        <f t="shared" si="17"/>
        <v>0</v>
      </c>
    </row>
    <row r="169" spans="1:23" x14ac:dyDescent="0.3">
      <c r="A169" s="184"/>
      <c r="B169" s="194">
        <v>9</v>
      </c>
      <c r="C169" s="195">
        <v>45791</v>
      </c>
      <c r="D169" s="196" t="s">
        <v>23</v>
      </c>
      <c r="E169" s="222" t="s">
        <v>28</v>
      </c>
      <c r="F169" s="222">
        <v>259.60000000000002</v>
      </c>
      <c r="G169" s="222">
        <v>260.60000000000002</v>
      </c>
      <c r="H169" s="222">
        <v>1</v>
      </c>
      <c r="I169" s="218">
        <v>5000</v>
      </c>
      <c r="J169" s="268">
        <f t="shared" si="18"/>
        <v>5000</v>
      </c>
      <c r="K169" s="185"/>
      <c r="V169" s="183">
        <f t="shared" si="16"/>
        <v>1</v>
      </c>
      <c r="W169" s="183">
        <f t="shared" si="17"/>
        <v>0</v>
      </c>
    </row>
    <row r="170" spans="1:23" x14ac:dyDescent="0.3">
      <c r="A170" s="184"/>
      <c r="B170" s="194">
        <v>10</v>
      </c>
      <c r="C170" s="195">
        <v>45792</v>
      </c>
      <c r="D170" s="196" t="s">
        <v>23</v>
      </c>
      <c r="E170" s="222" t="s">
        <v>28</v>
      </c>
      <c r="F170" s="222">
        <v>258.60000000000002</v>
      </c>
      <c r="G170" s="222">
        <v>257.60000000000002</v>
      </c>
      <c r="H170" s="222">
        <v>1</v>
      </c>
      <c r="I170" s="218">
        <v>5000</v>
      </c>
      <c r="J170" s="268">
        <f t="shared" si="18"/>
        <v>5000</v>
      </c>
      <c r="K170" s="185"/>
      <c r="V170" s="183">
        <f t="shared" si="16"/>
        <v>1</v>
      </c>
      <c r="W170" s="183">
        <f t="shared" si="17"/>
        <v>0</v>
      </c>
    </row>
    <row r="171" spans="1:23" x14ac:dyDescent="0.3">
      <c r="A171" s="184"/>
      <c r="B171" s="194">
        <v>11</v>
      </c>
      <c r="C171" s="195">
        <v>45793</v>
      </c>
      <c r="D171" s="196" t="s">
        <v>23</v>
      </c>
      <c r="E171" s="222" t="s">
        <v>28</v>
      </c>
      <c r="F171" s="222">
        <v>256.5</v>
      </c>
      <c r="G171" s="222">
        <v>255.9</v>
      </c>
      <c r="H171" s="274">
        <f>256.5-255.9</f>
        <v>0.59999999999999432</v>
      </c>
      <c r="I171" s="218">
        <v>5000</v>
      </c>
      <c r="J171" s="268">
        <f t="shared" si="18"/>
        <v>2999.9999999999718</v>
      </c>
      <c r="K171" s="185"/>
      <c r="V171" s="183">
        <f t="shared" si="16"/>
        <v>1</v>
      </c>
      <c r="W171" s="183">
        <f t="shared" si="17"/>
        <v>0</v>
      </c>
    </row>
    <row r="172" spans="1:23" x14ac:dyDescent="0.3">
      <c r="A172" s="184"/>
      <c r="B172" s="194">
        <v>12</v>
      </c>
      <c r="C172" s="195">
        <v>45796</v>
      </c>
      <c r="D172" s="196" t="s">
        <v>16</v>
      </c>
      <c r="E172" s="222" t="s">
        <v>28</v>
      </c>
      <c r="F172" s="222">
        <v>257.2</v>
      </c>
      <c r="G172" s="222">
        <v>257.60000000000002</v>
      </c>
      <c r="H172" s="274">
        <v>0.4</v>
      </c>
      <c r="I172" s="218">
        <v>5000</v>
      </c>
      <c r="J172" s="268">
        <f t="shared" si="18"/>
        <v>2000</v>
      </c>
      <c r="K172" s="185"/>
      <c r="V172" s="183">
        <f t="shared" si="16"/>
        <v>1</v>
      </c>
      <c r="W172" s="183">
        <f t="shared" si="17"/>
        <v>0</v>
      </c>
    </row>
    <row r="173" spans="1:23" x14ac:dyDescent="0.3">
      <c r="A173" s="184"/>
      <c r="B173" s="194">
        <v>13</v>
      </c>
      <c r="C173" s="195">
        <v>45797</v>
      </c>
      <c r="D173" s="196" t="s">
        <v>16</v>
      </c>
      <c r="E173" s="222" t="s">
        <v>28</v>
      </c>
      <c r="F173" s="222">
        <v>258</v>
      </c>
      <c r="G173" s="222">
        <v>259</v>
      </c>
      <c r="H173" s="274">
        <v>1</v>
      </c>
      <c r="I173" s="218">
        <v>5000</v>
      </c>
      <c r="J173" s="268">
        <f t="shared" si="18"/>
        <v>5000</v>
      </c>
      <c r="K173" s="185"/>
      <c r="V173" s="183">
        <f t="shared" si="16"/>
        <v>1</v>
      </c>
      <c r="W173" s="183">
        <f t="shared" si="17"/>
        <v>0</v>
      </c>
    </row>
    <row r="174" spans="1:23" x14ac:dyDescent="0.3">
      <c r="A174" s="184"/>
      <c r="B174" s="194">
        <v>14</v>
      </c>
      <c r="C174" s="195">
        <v>45798</v>
      </c>
      <c r="D174" s="196" t="s">
        <v>16</v>
      </c>
      <c r="E174" s="222" t="s">
        <v>28</v>
      </c>
      <c r="F174" s="222">
        <v>261</v>
      </c>
      <c r="G174" s="222">
        <v>260</v>
      </c>
      <c r="H174" s="274">
        <v>-1</v>
      </c>
      <c r="I174" s="218">
        <v>5000</v>
      </c>
      <c r="J174" s="268">
        <f t="shared" si="18"/>
        <v>-5000</v>
      </c>
      <c r="K174" s="185"/>
      <c r="V174" s="183">
        <f t="shared" si="16"/>
        <v>0</v>
      </c>
      <c r="W174" s="183">
        <f t="shared" si="17"/>
        <v>1</v>
      </c>
    </row>
    <row r="175" spans="1:23" x14ac:dyDescent="0.3">
      <c r="A175" s="184"/>
      <c r="B175" s="194">
        <v>15</v>
      </c>
      <c r="C175" s="195">
        <v>45799</v>
      </c>
      <c r="D175" s="196" t="s">
        <v>16</v>
      </c>
      <c r="E175" s="196" t="s">
        <v>28</v>
      </c>
      <c r="F175" s="222">
        <v>260.2</v>
      </c>
      <c r="G175" s="222">
        <v>259.2</v>
      </c>
      <c r="H175" s="222">
        <v>-1</v>
      </c>
      <c r="I175" s="218">
        <v>5000</v>
      </c>
      <c r="J175" s="268">
        <f t="shared" si="18"/>
        <v>-5000</v>
      </c>
      <c r="K175" s="185"/>
      <c r="V175" s="183">
        <f t="shared" si="16"/>
        <v>0</v>
      </c>
      <c r="W175" s="183">
        <f t="shared" si="17"/>
        <v>1</v>
      </c>
    </row>
    <row r="176" spans="1:23" x14ac:dyDescent="0.3">
      <c r="A176" s="184"/>
      <c r="B176" s="194">
        <v>16</v>
      </c>
      <c r="C176" s="195">
        <v>45800</v>
      </c>
      <c r="D176" s="196" t="s">
        <v>23</v>
      </c>
      <c r="E176" s="196" t="s">
        <v>28</v>
      </c>
      <c r="F176" s="222">
        <v>259.7</v>
      </c>
      <c r="G176" s="274">
        <v>257.7</v>
      </c>
      <c r="H176" s="274">
        <v>2</v>
      </c>
      <c r="I176" s="218">
        <v>5000</v>
      </c>
      <c r="J176" s="268">
        <f t="shared" si="18"/>
        <v>10000</v>
      </c>
      <c r="K176" s="185"/>
      <c r="V176" s="183">
        <f t="shared" si="16"/>
        <v>1</v>
      </c>
      <c r="W176" s="183">
        <f t="shared" si="17"/>
        <v>0</v>
      </c>
    </row>
    <row r="177" spans="1:23" x14ac:dyDescent="0.3">
      <c r="A177" s="184"/>
      <c r="B177" s="194">
        <v>17</v>
      </c>
      <c r="C177" s="195">
        <v>45803</v>
      </c>
      <c r="D177" s="196" t="s">
        <v>23</v>
      </c>
      <c r="E177" s="196" t="s">
        <v>28</v>
      </c>
      <c r="F177" s="222">
        <v>257.8</v>
      </c>
      <c r="G177" s="222">
        <v>257.8</v>
      </c>
      <c r="H177" s="274">
        <v>0</v>
      </c>
      <c r="I177" s="218">
        <v>5000</v>
      </c>
      <c r="J177" s="268">
        <f t="shared" si="18"/>
        <v>0</v>
      </c>
      <c r="K177" s="185"/>
      <c r="V177" s="183">
        <f t="shared" si="16"/>
        <v>0</v>
      </c>
      <c r="W177" s="183">
        <f t="shared" si="17"/>
        <v>0</v>
      </c>
    </row>
    <row r="178" spans="1:23" x14ac:dyDescent="0.3">
      <c r="A178" s="184"/>
      <c r="B178" s="194">
        <v>18</v>
      </c>
      <c r="C178" s="195">
        <v>45804</v>
      </c>
      <c r="D178" s="196" t="s">
        <v>16</v>
      </c>
      <c r="E178" s="196" t="s">
        <v>28</v>
      </c>
      <c r="F178" s="222">
        <v>257.2</v>
      </c>
      <c r="G178" s="222">
        <v>256.2</v>
      </c>
      <c r="H178" s="274">
        <v>-1</v>
      </c>
      <c r="I178" s="218">
        <v>5000</v>
      </c>
      <c r="J178" s="268">
        <f t="shared" si="18"/>
        <v>-5000</v>
      </c>
      <c r="K178" s="185"/>
      <c r="V178" s="183">
        <f t="shared" si="16"/>
        <v>0</v>
      </c>
      <c r="W178" s="183">
        <f t="shared" si="17"/>
        <v>1</v>
      </c>
    </row>
    <row r="179" spans="1:23" x14ac:dyDescent="0.3">
      <c r="A179" s="184"/>
      <c r="B179" s="194">
        <v>19</v>
      </c>
      <c r="C179" s="195">
        <v>45805</v>
      </c>
      <c r="D179" s="196" t="s">
        <v>16</v>
      </c>
      <c r="E179" s="196" t="s">
        <v>28</v>
      </c>
      <c r="F179" s="222">
        <v>257.2</v>
      </c>
      <c r="G179" s="222">
        <v>256.2</v>
      </c>
      <c r="H179" s="274">
        <v>-1</v>
      </c>
      <c r="I179" s="218">
        <v>5000</v>
      </c>
      <c r="J179" s="268">
        <f t="shared" si="18"/>
        <v>-5000</v>
      </c>
      <c r="K179" s="185"/>
      <c r="V179" s="183">
        <f t="shared" si="16"/>
        <v>0</v>
      </c>
      <c r="W179" s="183">
        <f t="shared" si="17"/>
        <v>1</v>
      </c>
    </row>
    <row r="180" spans="1:23" x14ac:dyDescent="0.3">
      <c r="A180" s="184"/>
      <c r="B180" s="194">
        <v>20</v>
      </c>
      <c r="C180" s="195">
        <v>45806</v>
      </c>
      <c r="D180" s="196" t="s">
        <v>23</v>
      </c>
      <c r="E180" s="222" t="s">
        <v>28</v>
      </c>
      <c r="F180" s="222">
        <v>257.3</v>
      </c>
      <c r="G180" s="222">
        <v>255.3</v>
      </c>
      <c r="H180" s="274">
        <v>2</v>
      </c>
      <c r="I180" s="218">
        <v>5000</v>
      </c>
      <c r="J180" s="268">
        <f t="shared" si="18"/>
        <v>10000</v>
      </c>
      <c r="K180" s="185"/>
      <c r="V180" s="183">
        <f t="shared" si="16"/>
        <v>1</v>
      </c>
      <c r="W180" s="183">
        <f t="shared" si="17"/>
        <v>0</v>
      </c>
    </row>
    <row r="181" spans="1:23" ht="15" thickBot="1" x14ac:dyDescent="0.35">
      <c r="A181" s="184"/>
      <c r="B181" s="194">
        <v>21</v>
      </c>
      <c r="C181" s="195">
        <v>45807</v>
      </c>
      <c r="D181" s="196" t="s">
        <v>23</v>
      </c>
      <c r="E181" s="222" t="s">
        <v>28</v>
      </c>
      <c r="F181" s="222">
        <v>253.5</v>
      </c>
      <c r="G181" s="222">
        <v>251.5</v>
      </c>
      <c r="H181" s="274">
        <v>2</v>
      </c>
      <c r="I181" s="218">
        <v>5000</v>
      </c>
      <c r="J181" s="268">
        <f t="shared" si="18"/>
        <v>10000</v>
      </c>
      <c r="K181" s="185"/>
      <c r="V181" s="183">
        <f t="shared" si="16"/>
        <v>1</v>
      </c>
      <c r="W181" s="183">
        <f t="shared" si="17"/>
        <v>0</v>
      </c>
    </row>
    <row r="182" spans="1:23" hidden="1" x14ac:dyDescent="0.3">
      <c r="A182" s="184"/>
      <c r="B182" s="194">
        <v>22</v>
      </c>
      <c r="C182" s="195"/>
      <c r="D182" s="196"/>
      <c r="E182" s="222"/>
      <c r="F182" s="222"/>
      <c r="G182" s="222"/>
      <c r="H182" s="222"/>
      <c r="I182" s="218"/>
      <c r="J182" s="268">
        <f>I182*H182</f>
        <v>0</v>
      </c>
      <c r="K182" s="185"/>
      <c r="V182" s="183">
        <f t="shared" si="16"/>
        <v>0</v>
      </c>
      <c r="W182" s="183">
        <f t="shared" si="17"/>
        <v>0</v>
      </c>
    </row>
    <row r="183" spans="1:23" ht="15" hidden="1" thickBot="1" x14ac:dyDescent="0.35">
      <c r="A183" s="184"/>
      <c r="B183" s="199">
        <v>23</v>
      </c>
      <c r="C183" s="200"/>
      <c r="D183" s="201"/>
      <c r="E183" s="201"/>
      <c r="F183" s="284"/>
      <c r="G183" s="284"/>
      <c r="H183" s="284"/>
      <c r="I183" s="285"/>
      <c r="J183" s="269">
        <f>I183*H183</f>
        <v>0</v>
      </c>
      <c r="K183" s="185"/>
      <c r="V183" s="183">
        <f t="shared" si="16"/>
        <v>0</v>
      </c>
      <c r="W183" s="183">
        <f t="shared" si="17"/>
        <v>0</v>
      </c>
    </row>
    <row r="184" spans="1:23" ht="24" thickBot="1" x14ac:dyDescent="0.5">
      <c r="A184" s="184"/>
      <c r="B184" s="304" t="s">
        <v>879</v>
      </c>
      <c r="C184" s="305"/>
      <c r="D184" s="305"/>
      <c r="E184" s="305"/>
      <c r="F184" s="305"/>
      <c r="G184" s="305"/>
      <c r="H184" s="306"/>
      <c r="I184" s="203" t="s">
        <v>880</v>
      </c>
      <c r="J184" s="204">
        <f>SUM(J161:J183)</f>
        <v>59499.999999999971</v>
      </c>
      <c r="K184" s="185"/>
      <c r="V184" s="183">
        <f>SUM(V161:V183)</f>
        <v>15</v>
      </c>
      <c r="W184" s="183">
        <f>SUM(W161:W183)</f>
        <v>5</v>
      </c>
    </row>
    <row r="185" spans="1:23" ht="15" thickBot="1" x14ac:dyDescent="0.35">
      <c r="A185" s="205"/>
      <c r="B185" s="286"/>
      <c r="C185" s="286"/>
      <c r="D185" s="286"/>
      <c r="E185" s="286"/>
      <c r="F185" s="286"/>
      <c r="G185" s="286"/>
      <c r="H185" s="287"/>
      <c r="I185" s="286"/>
      <c r="J185" s="287"/>
      <c r="K185" s="207"/>
    </row>
  </sheetData>
  <mergeCells count="74">
    <mergeCell ref="B153:H153"/>
    <mergeCell ref="B157:J157"/>
    <mergeCell ref="B158:J158"/>
    <mergeCell ref="B159:J159"/>
    <mergeCell ref="B184:H184"/>
    <mergeCell ref="B128:J128"/>
    <mergeCell ref="B60:H60"/>
    <mergeCell ref="B64:J64"/>
    <mergeCell ref="B65:J65"/>
    <mergeCell ref="B66:J66"/>
    <mergeCell ref="B91:H91"/>
    <mergeCell ref="B95:J95"/>
    <mergeCell ref="B96:J96"/>
    <mergeCell ref="B97:J97"/>
    <mergeCell ref="B122:H122"/>
    <mergeCell ref="B126:J126"/>
    <mergeCell ref="B127:J127"/>
    <mergeCell ref="P14:P15"/>
    <mergeCell ref="Q14:Q15"/>
    <mergeCell ref="B35:J35"/>
    <mergeCell ref="M16:M17"/>
    <mergeCell ref="N16:N17"/>
    <mergeCell ref="O16:O17"/>
    <mergeCell ref="P16:P17"/>
    <mergeCell ref="M18:O20"/>
    <mergeCell ref="P18:R20"/>
    <mergeCell ref="B29:H29"/>
    <mergeCell ref="B33:J33"/>
    <mergeCell ref="B34:J34"/>
    <mergeCell ref="Q16:Q17"/>
    <mergeCell ref="R16:R17"/>
    <mergeCell ref="R14:R15"/>
    <mergeCell ref="M14:M15"/>
    <mergeCell ref="M12:M13"/>
    <mergeCell ref="N12:N13"/>
    <mergeCell ref="O12:O13"/>
    <mergeCell ref="P12:P13"/>
    <mergeCell ref="Q12:Q13"/>
    <mergeCell ref="N10:N11"/>
    <mergeCell ref="O10:O11"/>
    <mergeCell ref="P10:P11"/>
    <mergeCell ref="Q10:Q11"/>
    <mergeCell ref="R10:R11"/>
    <mergeCell ref="N14:N15"/>
    <mergeCell ref="O14:O15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12:R13"/>
    <mergeCell ref="M10:M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C13E43E4-62A7-44DC-8DF2-24510B1C1CAE}"/>
    <hyperlink ref="B60" r:id="rId2" xr:uid="{EB97192D-A34C-4E4A-AA5B-67BBB0821D1E}"/>
    <hyperlink ref="M4:M5" location="'MAY 2025'!A1" display="GOLDM OPTION" xr:uid="{F2AED1C7-1396-4850-8E32-33ACAE0A8A81}"/>
    <hyperlink ref="B91" r:id="rId3" xr:uid="{1E9E034E-808E-4FF5-A3A1-7ED8DFA26D5E}"/>
    <hyperlink ref="M8:M9" location="'MAY 2025'!A75" display="CRUDEOIL" xr:uid="{6FC0F130-00F5-4BFA-A863-D5C324D82456}"/>
    <hyperlink ref="M1" location="MASTER!A1" display="Back" xr:uid="{02B0DFFF-A843-4CD1-9835-332D9C2F492A}"/>
    <hyperlink ref="M6:M7" location="'MAY 2025'!A33" display="SILVERM OPTION" xr:uid="{AF07E0CA-F97B-40AC-9096-FC4E769EFE8A}"/>
    <hyperlink ref="B122" r:id="rId4" xr:uid="{580706B7-7717-4ACD-BD43-B3D4D0CD0405}"/>
    <hyperlink ref="M10:M11" location="'MAY 2025'!A110" display="CRUDEOIL OPTION" xr:uid="{4CF2A3E0-7FA3-4D1D-8A01-B7F42C0E85A0}"/>
    <hyperlink ref="B153" r:id="rId5" xr:uid="{EA0B17C5-EB03-45F3-B1C2-8FC6984C8539}"/>
    <hyperlink ref="B184" r:id="rId6" xr:uid="{EBFDEC07-423E-4472-BE9C-B7EA58E3B04B}"/>
    <hyperlink ref="M12:M13" location="'MAY 2025'!A140" display="NATURALGAS OPTION" xr:uid="{952E6A75-4F12-4F32-BF09-5E4BDC117926}"/>
    <hyperlink ref="M14:M15" location="'MAY 2025'!A170" display="BASE METAL" xr:uid="{50674060-3DCD-4977-969E-29C8DF3539DE}"/>
  </hyperlinks>
  <pageMargins left="0" right="0" top="0" bottom="0" header="0" footer="0"/>
  <pageSetup paperSize="9" orientation="portrait" r:id="rId7"/>
  <drawing r:id="rId8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1322E-F5E6-4852-9A11-6F960844A7A2}">
  <dimension ref="A1:X185"/>
  <sheetViews>
    <sheetView topLeftCell="A31" zoomScaleNormal="100" workbookViewId="0">
      <selection activeCell="M171" sqref="M17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8.44140625" style="183" customWidth="1"/>
    <col min="6" max="6" width="13" style="183" customWidth="1"/>
    <col min="7" max="7" width="11.6640625" style="183" customWidth="1"/>
    <col min="8" max="8" width="10.886718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6" style="183" customWidth="1"/>
    <col min="14" max="14" width="11" style="183" customWidth="1"/>
    <col min="15" max="17" width="9.109375" style="183"/>
    <col min="18" max="18" width="10.6640625" style="183" bestFit="1" customWidth="1"/>
    <col min="19" max="20" width="9.109375" style="183" customWidth="1"/>
    <col min="21" max="21" width="9.109375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25" width="9.109375" style="183" customWidth="1"/>
    <col min="26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45809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950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960</v>
      </c>
      <c r="N4" s="354">
        <f>COUNT(C6:C28)</f>
        <v>21</v>
      </c>
      <c r="O4" s="369">
        <f>V29</f>
        <v>18</v>
      </c>
      <c r="P4" s="369">
        <f>W29</f>
        <v>3</v>
      </c>
      <c r="Q4" s="349">
        <f>N4-O4-P4</f>
        <v>0</v>
      </c>
      <c r="R4" s="343">
        <f>O4/N4</f>
        <v>0.8571428571428571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1017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45810</v>
      </c>
      <c r="D6" s="192" t="s">
        <v>16</v>
      </c>
      <c r="E6" s="192" t="s">
        <v>1030</v>
      </c>
      <c r="F6" s="193">
        <v>1600</v>
      </c>
      <c r="G6" s="193">
        <v>1800</v>
      </c>
      <c r="H6" s="192">
        <v>200</v>
      </c>
      <c r="I6" s="193">
        <v>10</v>
      </c>
      <c r="J6" s="267">
        <f>H6*I6</f>
        <v>2000</v>
      </c>
      <c r="K6" s="185"/>
      <c r="M6" s="364" t="s">
        <v>959</v>
      </c>
      <c r="N6" s="347">
        <f>COUNT(C37:C59)</f>
        <v>20</v>
      </c>
      <c r="O6" s="348">
        <f>V60</f>
        <v>14</v>
      </c>
      <c r="P6" s="348">
        <f>W60</f>
        <v>6</v>
      </c>
      <c r="Q6" s="349">
        <f>N6-O6-P6</f>
        <v>0</v>
      </c>
      <c r="R6" s="345">
        <f t="shared" ref="R6" si="0">O6/N6</f>
        <v>0.7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45811</v>
      </c>
      <c r="D7" s="196" t="s">
        <v>16</v>
      </c>
      <c r="E7" s="196" t="s">
        <v>1030</v>
      </c>
      <c r="F7" s="197">
        <v>1900</v>
      </c>
      <c r="G7" s="197">
        <v>1800</v>
      </c>
      <c r="H7" s="196">
        <v>-100</v>
      </c>
      <c r="I7" s="197">
        <v>10</v>
      </c>
      <c r="J7" s="268">
        <f t="shared" ref="J7:J28" si="1">H7*I7</f>
        <v>-1000</v>
      </c>
      <c r="K7" s="185"/>
      <c r="M7" s="365"/>
      <c r="N7" s="347"/>
      <c r="O7" s="348"/>
      <c r="P7" s="348"/>
      <c r="Q7" s="350"/>
      <c r="R7" s="345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v>3</v>
      </c>
      <c r="C8" s="195">
        <v>45812</v>
      </c>
      <c r="D8" s="196" t="s">
        <v>16</v>
      </c>
      <c r="E8" s="196" t="s">
        <v>1030</v>
      </c>
      <c r="F8" s="197">
        <v>1950</v>
      </c>
      <c r="G8" s="197">
        <v>2012</v>
      </c>
      <c r="H8" s="196">
        <f>2012-1950</f>
        <v>62</v>
      </c>
      <c r="I8" s="197">
        <v>10</v>
      </c>
      <c r="J8" s="268">
        <f t="shared" si="1"/>
        <v>620</v>
      </c>
      <c r="K8" s="185"/>
      <c r="M8" s="362" t="s">
        <v>125</v>
      </c>
      <c r="N8" s="347">
        <f>COUNT(C68:C90)</f>
        <v>21</v>
      </c>
      <c r="O8" s="348">
        <f>V91</f>
        <v>20</v>
      </c>
      <c r="P8" s="348">
        <f>W91</f>
        <v>1</v>
      </c>
      <c r="Q8" s="349">
        <f>N8-O8-P8</f>
        <v>0</v>
      </c>
      <c r="R8" s="345">
        <f>O8/N8</f>
        <v>0.95238095238095233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45813</v>
      </c>
      <c r="D9" s="196" t="s">
        <v>16</v>
      </c>
      <c r="E9" s="196" t="s">
        <v>1031</v>
      </c>
      <c r="F9" s="197">
        <v>1580</v>
      </c>
      <c r="G9" s="197">
        <v>1780</v>
      </c>
      <c r="H9" s="196">
        <f>1780-1580</f>
        <v>200</v>
      </c>
      <c r="I9" s="197">
        <v>10</v>
      </c>
      <c r="J9" s="268">
        <f t="shared" si="1"/>
        <v>2000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45814</v>
      </c>
      <c r="D10" s="196" t="s">
        <v>16</v>
      </c>
      <c r="E10" s="196" t="s">
        <v>1020</v>
      </c>
      <c r="F10" s="197">
        <v>1320</v>
      </c>
      <c r="G10" s="197">
        <v>1420</v>
      </c>
      <c r="H10" s="196">
        <v>100</v>
      </c>
      <c r="I10" s="197">
        <v>10</v>
      </c>
      <c r="J10" s="268">
        <f t="shared" si="1"/>
        <v>1000</v>
      </c>
      <c r="K10" s="185"/>
      <c r="M10" s="364" t="s">
        <v>906</v>
      </c>
      <c r="N10" s="347">
        <f>COUNT(C99:C121)</f>
        <v>21</v>
      </c>
      <c r="O10" s="348">
        <f>V122</f>
        <v>14</v>
      </c>
      <c r="P10" s="348">
        <f>W122</f>
        <v>7</v>
      </c>
      <c r="Q10" s="349">
        <f>N10-O10-P10</f>
        <v>0</v>
      </c>
      <c r="R10" s="345">
        <f>O10/N10</f>
        <v>0.66666666666666663</v>
      </c>
      <c r="V10" s="183">
        <f t="shared" si="2"/>
        <v>1</v>
      </c>
      <c r="W10" s="183">
        <f t="shared" si="3"/>
        <v>0</v>
      </c>
    </row>
    <row r="11" spans="1:23" x14ac:dyDescent="0.3">
      <c r="A11" s="184"/>
      <c r="B11" s="194">
        <v>6</v>
      </c>
      <c r="C11" s="195">
        <v>45817</v>
      </c>
      <c r="D11" s="196" t="s">
        <v>16</v>
      </c>
      <c r="E11" s="196" t="s">
        <v>1049</v>
      </c>
      <c r="F11" s="197">
        <v>1250</v>
      </c>
      <c r="G11" s="197">
        <v>1345</v>
      </c>
      <c r="H11" s="196">
        <f>1345-1250</f>
        <v>95</v>
      </c>
      <c r="I11" s="197">
        <v>10</v>
      </c>
      <c r="J11" s="268">
        <f t="shared" si="1"/>
        <v>950</v>
      </c>
      <c r="K11" s="185"/>
      <c r="M11" s="365"/>
      <c r="N11" s="347"/>
      <c r="O11" s="348"/>
      <c r="P11" s="348"/>
      <c r="Q11" s="350"/>
      <c r="R11" s="345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45818</v>
      </c>
      <c r="D12" s="196" t="s">
        <v>16</v>
      </c>
      <c r="E12" s="196" t="s">
        <v>1049</v>
      </c>
      <c r="F12" s="197">
        <v>1110</v>
      </c>
      <c r="G12" s="197">
        <v>1010</v>
      </c>
      <c r="H12" s="196">
        <v>-100</v>
      </c>
      <c r="I12" s="197">
        <v>10</v>
      </c>
      <c r="J12" s="268">
        <f t="shared" si="1"/>
        <v>-1000</v>
      </c>
      <c r="K12" s="185"/>
      <c r="M12" s="362" t="s">
        <v>998</v>
      </c>
      <c r="N12" s="347">
        <f>COUNT(C130:C152)</f>
        <v>21</v>
      </c>
      <c r="O12" s="348">
        <f>V153</f>
        <v>19</v>
      </c>
      <c r="P12" s="348">
        <f>W153</f>
        <v>2</v>
      </c>
      <c r="Q12" s="349">
        <f>N12-O12-P12</f>
        <v>0</v>
      </c>
      <c r="R12" s="345">
        <f>O12/N12</f>
        <v>0.90476190476190477</v>
      </c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45819</v>
      </c>
      <c r="D13" s="196" t="s">
        <v>16</v>
      </c>
      <c r="E13" s="196" t="s">
        <v>1030</v>
      </c>
      <c r="F13" s="197">
        <v>1210</v>
      </c>
      <c r="G13" s="197">
        <v>1260</v>
      </c>
      <c r="H13" s="196">
        <v>50</v>
      </c>
      <c r="I13" s="197">
        <v>10</v>
      </c>
      <c r="J13" s="268">
        <f t="shared" si="1"/>
        <v>500</v>
      </c>
      <c r="K13" s="185"/>
      <c r="M13" s="362"/>
      <c r="N13" s="347"/>
      <c r="O13" s="348"/>
      <c r="P13" s="348"/>
      <c r="Q13" s="350"/>
      <c r="R13" s="345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45820</v>
      </c>
      <c r="D14" s="196" t="s">
        <v>16</v>
      </c>
      <c r="E14" s="196" t="s">
        <v>1020</v>
      </c>
      <c r="F14" s="197">
        <v>1220</v>
      </c>
      <c r="G14" s="197">
        <v>1320</v>
      </c>
      <c r="H14" s="196">
        <v>100</v>
      </c>
      <c r="I14" s="197">
        <v>10</v>
      </c>
      <c r="J14" s="268">
        <f t="shared" si="1"/>
        <v>1000</v>
      </c>
      <c r="K14" s="185"/>
      <c r="M14" s="364" t="s">
        <v>877</v>
      </c>
      <c r="N14" s="383">
        <f>COUNT(C161:C183)</f>
        <v>21</v>
      </c>
      <c r="O14" s="374">
        <f>V184</f>
        <v>17</v>
      </c>
      <c r="P14" s="374">
        <f>W184</f>
        <v>4</v>
      </c>
      <c r="Q14" s="366">
        <f>N14-O14-P14</f>
        <v>0</v>
      </c>
      <c r="R14" s="381">
        <f>O14/N14</f>
        <v>0.80952380952380953</v>
      </c>
      <c r="V14" s="183">
        <f t="shared" si="2"/>
        <v>1</v>
      </c>
      <c r="W14" s="183">
        <f t="shared" si="3"/>
        <v>0</v>
      </c>
    </row>
    <row r="15" spans="1:23" ht="15" thickBot="1" x14ac:dyDescent="0.35">
      <c r="A15" s="184"/>
      <c r="B15" s="194">
        <v>10</v>
      </c>
      <c r="C15" s="195">
        <v>45821</v>
      </c>
      <c r="D15" s="196" t="s">
        <v>16</v>
      </c>
      <c r="E15" s="196" t="s">
        <v>1048</v>
      </c>
      <c r="F15" s="197">
        <v>1500</v>
      </c>
      <c r="G15" s="197">
        <v>1550</v>
      </c>
      <c r="H15" s="196">
        <v>50</v>
      </c>
      <c r="I15" s="197">
        <v>10</v>
      </c>
      <c r="J15" s="268">
        <f t="shared" si="1"/>
        <v>500</v>
      </c>
      <c r="K15" s="185"/>
      <c r="M15" s="382"/>
      <c r="N15" s="384"/>
      <c r="O15" s="375"/>
      <c r="P15" s="375"/>
      <c r="Q15" s="376"/>
      <c r="R15" s="380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45824</v>
      </c>
      <c r="D16" s="196" t="s">
        <v>16</v>
      </c>
      <c r="E16" s="196" t="s">
        <v>1048</v>
      </c>
      <c r="F16" s="197">
        <v>1320</v>
      </c>
      <c r="G16" s="197">
        <v>1480</v>
      </c>
      <c r="H16" s="196">
        <f>1480-1320</f>
        <v>160</v>
      </c>
      <c r="I16" s="197">
        <v>10</v>
      </c>
      <c r="J16" s="268">
        <f t="shared" si="1"/>
        <v>1600</v>
      </c>
      <c r="K16" s="185"/>
      <c r="M16" s="377" t="s">
        <v>300</v>
      </c>
      <c r="N16" s="371">
        <f>SUM(N4:N11)</f>
        <v>83</v>
      </c>
      <c r="O16" s="371">
        <f>SUM(O4:O11)</f>
        <v>66</v>
      </c>
      <c r="P16" s="371">
        <f>SUM(P4:P11)</f>
        <v>17</v>
      </c>
      <c r="Q16" s="371">
        <f>SUM(Q4:Q11)</f>
        <v>0</v>
      </c>
      <c r="R16" s="379">
        <f>O16/N16</f>
        <v>0.79518072289156627</v>
      </c>
      <c r="V16" s="183">
        <f t="shared" si="2"/>
        <v>1</v>
      </c>
      <c r="W16" s="183">
        <f t="shared" si="3"/>
        <v>0</v>
      </c>
    </row>
    <row r="17" spans="1:23" ht="15" thickBot="1" x14ac:dyDescent="0.35">
      <c r="A17" s="184"/>
      <c r="B17" s="194">
        <v>12</v>
      </c>
      <c r="C17" s="195">
        <v>45825</v>
      </c>
      <c r="D17" s="196" t="s">
        <v>16</v>
      </c>
      <c r="E17" s="196" t="s">
        <v>1048</v>
      </c>
      <c r="F17" s="197">
        <v>960</v>
      </c>
      <c r="G17" s="197">
        <v>1160</v>
      </c>
      <c r="H17" s="196">
        <f>1160-960</f>
        <v>200</v>
      </c>
      <c r="I17" s="197">
        <v>10</v>
      </c>
      <c r="J17" s="268">
        <f t="shared" si="1"/>
        <v>2000</v>
      </c>
      <c r="K17" s="185"/>
      <c r="M17" s="378"/>
      <c r="N17" s="372"/>
      <c r="O17" s="372"/>
      <c r="P17" s="372"/>
      <c r="Q17" s="372"/>
      <c r="R17" s="380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45826</v>
      </c>
      <c r="D18" s="196" t="s">
        <v>16</v>
      </c>
      <c r="E18" s="196" t="s">
        <v>1048</v>
      </c>
      <c r="F18" s="197">
        <v>1130</v>
      </c>
      <c r="G18" s="197">
        <v>1030</v>
      </c>
      <c r="H18" s="196">
        <v>-200</v>
      </c>
      <c r="I18" s="197">
        <v>10</v>
      </c>
      <c r="J18" s="268">
        <f t="shared" si="1"/>
        <v>-2000</v>
      </c>
      <c r="K18" s="185"/>
      <c r="M18" s="323" t="s">
        <v>878</v>
      </c>
      <c r="N18" s="324"/>
      <c r="O18" s="325"/>
      <c r="P18" s="332">
        <f>R16</f>
        <v>0.79518072289156627</v>
      </c>
      <c r="Q18" s="333"/>
      <c r="R18" s="334"/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45827</v>
      </c>
      <c r="D19" s="196" t="s">
        <v>16</v>
      </c>
      <c r="E19" s="196" t="s">
        <v>1066</v>
      </c>
      <c r="F19" s="197">
        <v>1000</v>
      </c>
      <c r="G19" s="197">
        <v>1100</v>
      </c>
      <c r="H19" s="196">
        <v>100</v>
      </c>
      <c r="I19" s="197">
        <v>10</v>
      </c>
      <c r="J19" s="268">
        <f t="shared" si="1"/>
        <v>1000</v>
      </c>
      <c r="K19" s="185"/>
      <c r="M19" s="326"/>
      <c r="N19" s="327"/>
      <c r="O19" s="328"/>
      <c r="P19" s="335"/>
      <c r="Q19" s="336"/>
      <c r="R19" s="337"/>
      <c r="V19" s="183">
        <f t="shared" si="2"/>
        <v>1</v>
      </c>
      <c r="W19" s="183">
        <f t="shared" si="3"/>
        <v>0</v>
      </c>
    </row>
    <row r="20" spans="1:23" ht="15" thickBot="1" x14ac:dyDescent="0.35">
      <c r="A20" s="184"/>
      <c r="B20" s="194">
        <v>15</v>
      </c>
      <c r="C20" s="195">
        <v>45828</v>
      </c>
      <c r="D20" s="196" t="s">
        <v>16</v>
      </c>
      <c r="E20" s="196" t="s">
        <v>1031</v>
      </c>
      <c r="F20" s="197">
        <v>960</v>
      </c>
      <c r="G20" s="197">
        <v>1060</v>
      </c>
      <c r="H20" s="196">
        <v>100</v>
      </c>
      <c r="I20" s="197">
        <v>10</v>
      </c>
      <c r="J20" s="268">
        <f t="shared" si="1"/>
        <v>1000</v>
      </c>
      <c r="K20" s="185"/>
      <c r="M20" s="329"/>
      <c r="N20" s="330"/>
      <c r="O20" s="331"/>
      <c r="P20" s="338"/>
      <c r="Q20" s="339"/>
      <c r="R20" s="340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45831</v>
      </c>
      <c r="D21" s="196" t="s">
        <v>16</v>
      </c>
      <c r="E21" s="196" t="s">
        <v>1031</v>
      </c>
      <c r="F21" s="197">
        <v>920</v>
      </c>
      <c r="G21" s="197">
        <v>1120</v>
      </c>
      <c r="H21" s="196">
        <f>1120-920</f>
        <v>200</v>
      </c>
      <c r="I21" s="197">
        <v>10</v>
      </c>
      <c r="J21" s="268">
        <f t="shared" si="1"/>
        <v>2000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45832</v>
      </c>
      <c r="D22" s="196" t="s">
        <v>16</v>
      </c>
      <c r="E22" s="196" t="s">
        <v>1030</v>
      </c>
      <c r="F22" s="197">
        <v>450</v>
      </c>
      <c r="G22" s="197">
        <v>542</v>
      </c>
      <c r="H22" s="196">
        <f>542-450</f>
        <v>92</v>
      </c>
      <c r="I22" s="197">
        <v>10</v>
      </c>
      <c r="J22" s="268">
        <f t="shared" si="1"/>
        <v>920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45833</v>
      </c>
      <c r="D23" s="196" t="s">
        <v>16</v>
      </c>
      <c r="E23" s="196" t="s">
        <v>1030</v>
      </c>
      <c r="F23" s="197">
        <v>1800</v>
      </c>
      <c r="G23" s="197">
        <v>1850</v>
      </c>
      <c r="H23" s="196">
        <v>50</v>
      </c>
      <c r="I23" s="197">
        <v>10</v>
      </c>
      <c r="J23" s="268">
        <f t="shared" si="1"/>
        <v>500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45834</v>
      </c>
      <c r="D24" s="196" t="s">
        <v>16</v>
      </c>
      <c r="E24" s="196" t="s">
        <v>1030</v>
      </c>
      <c r="F24" s="197">
        <v>1670</v>
      </c>
      <c r="G24" s="197">
        <v>1710</v>
      </c>
      <c r="H24" s="196">
        <f>1710-1670</f>
        <v>40</v>
      </c>
      <c r="I24" s="197">
        <v>10</v>
      </c>
      <c r="J24" s="268">
        <f t="shared" si="1"/>
        <v>400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45835</v>
      </c>
      <c r="D25" s="196" t="s">
        <v>16</v>
      </c>
      <c r="E25" s="196" t="s">
        <v>1005</v>
      </c>
      <c r="F25" s="197">
        <v>1050</v>
      </c>
      <c r="G25" s="197">
        <v>1250</v>
      </c>
      <c r="H25" s="196">
        <f>1250-1050</f>
        <v>200</v>
      </c>
      <c r="I25" s="197">
        <v>10</v>
      </c>
      <c r="J25" s="268">
        <f t="shared" si="1"/>
        <v>2000</v>
      </c>
      <c r="K25" s="185"/>
      <c r="V25" s="183">
        <f t="shared" si="2"/>
        <v>1</v>
      </c>
      <c r="W25" s="183">
        <f t="shared" si="3"/>
        <v>0</v>
      </c>
    </row>
    <row r="26" spans="1:23" ht="15" thickBot="1" x14ac:dyDescent="0.35">
      <c r="A26" s="184"/>
      <c r="B26" s="194">
        <v>21</v>
      </c>
      <c r="C26" s="195">
        <v>45838</v>
      </c>
      <c r="D26" s="196" t="s">
        <v>16</v>
      </c>
      <c r="E26" s="196" t="s">
        <v>1018</v>
      </c>
      <c r="F26" s="197">
        <v>1450</v>
      </c>
      <c r="G26" s="197">
        <v>1530</v>
      </c>
      <c r="H26" s="196">
        <f>1530-1450</f>
        <v>80</v>
      </c>
      <c r="I26" s="197">
        <v>10</v>
      </c>
      <c r="J26" s="268">
        <f t="shared" si="1"/>
        <v>800</v>
      </c>
      <c r="K26" s="185"/>
      <c r="V26" s="183">
        <f t="shared" si="2"/>
        <v>1</v>
      </c>
      <c r="W26" s="183">
        <f t="shared" si="3"/>
        <v>0</v>
      </c>
    </row>
    <row r="27" spans="1:23" ht="15" hidden="1" thickBot="1" x14ac:dyDescent="0.35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hidden="1" thickBot="1" x14ac:dyDescent="0.35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16790</v>
      </c>
      <c r="K29" s="185"/>
      <c r="V29" s="183">
        <f>SUM(V6:V28)</f>
        <v>18</v>
      </c>
      <c r="W29" s="183">
        <f>SUM(W6:W28)</f>
        <v>3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45809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949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1017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45810</v>
      </c>
      <c r="D37" s="192" t="s">
        <v>16</v>
      </c>
      <c r="E37" s="192" t="s">
        <v>1031</v>
      </c>
      <c r="F37" s="193">
        <v>2050</v>
      </c>
      <c r="G37" s="193">
        <v>2450</v>
      </c>
      <c r="H37" s="192">
        <f>2450-2050</f>
        <v>400</v>
      </c>
      <c r="I37" s="193">
        <v>5</v>
      </c>
      <c r="J37" s="267">
        <f t="shared" ref="J37:J59" si="4">I37*H37</f>
        <v>2000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45811</v>
      </c>
      <c r="D38" s="196" t="s">
        <v>16</v>
      </c>
      <c r="E38" s="196" t="s">
        <v>1022</v>
      </c>
      <c r="F38" s="222">
        <v>2370</v>
      </c>
      <c r="G38" s="222">
        <v>2770</v>
      </c>
      <c r="H38" s="222">
        <f>2770-2370</f>
        <v>400</v>
      </c>
      <c r="I38" s="197">
        <v>5</v>
      </c>
      <c r="J38" s="268">
        <f t="shared" si="4"/>
        <v>2000</v>
      </c>
      <c r="K38" s="185"/>
      <c r="V38" s="183">
        <f t="shared" ref="V38:V59" si="5">IF($J38&gt;0,1,0)</f>
        <v>1</v>
      </c>
      <c r="W38" s="183">
        <f t="shared" ref="W38:W59" si="6">IF($J38&lt;0,1,0)</f>
        <v>0</v>
      </c>
    </row>
    <row r="39" spans="1:23" x14ac:dyDescent="0.3">
      <c r="A39" s="184"/>
      <c r="B39" s="194">
        <v>3</v>
      </c>
      <c r="C39" s="195">
        <v>45812</v>
      </c>
      <c r="D39" s="196" t="s">
        <v>16</v>
      </c>
      <c r="E39" s="196" t="s">
        <v>1022</v>
      </c>
      <c r="F39" s="197">
        <v>2850</v>
      </c>
      <c r="G39" s="197">
        <v>2650</v>
      </c>
      <c r="H39" s="222">
        <v>-200</v>
      </c>
      <c r="I39" s="197">
        <v>5</v>
      </c>
      <c r="J39" s="268">
        <f t="shared" si="4"/>
        <v>-1000</v>
      </c>
      <c r="K39" s="185"/>
      <c r="V39" s="183">
        <f t="shared" si="5"/>
        <v>0</v>
      </c>
      <c r="W39" s="183">
        <f t="shared" si="6"/>
        <v>1</v>
      </c>
    </row>
    <row r="40" spans="1:23" x14ac:dyDescent="0.3">
      <c r="A40" s="184"/>
      <c r="B40" s="194">
        <v>4</v>
      </c>
      <c r="C40" s="195">
        <v>45813</v>
      </c>
      <c r="D40" s="196" t="s">
        <v>16</v>
      </c>
      <c r="E40" s="196" t="s">
        <v>1022</v>
      </c>
      <c r="F40" s="222">
        <v>3350</v>
      </c>
      <c r="G40" s="222">
        <v>3750</v>
      </c>
      <c r="H40" s="222">
        <v>400</v>
      </c>
      <c r="I40" s="197">
        <v>5</v>
      </c>
      <c r="J40" s="268">
        <f t="shared" si="4"/>
        <v>2000</v>
      </c>
      <c r="K40" s="185"/>
      <c r="V40" s="183">
        <f t="shared" si="5"/>
        <v>1</v>
      </c>
      <c r="W40" s="183">
        <f t="shared" si="6"/>
        <v>0</v>
      </c>
    </row>
    <row r="41" spans="1:23" x14ac:dyDescent="0.3">
      <c r="A41" s="184"/>
      <c r="B41" s="194">
        <v>5</v>
      </c>
      <c r="C41" s="195">
        <v>45814</v>
      </c>
      <c r="D41" s="196" t="s">
        <v>16</v>
      </c>
      <c r="E41" s="196" t="s">
        <v>1067</v>
      </c>
      <c r="F41" s="197">
        <v>2150</v>
      </c>
      <c r="G41" s="197">
        <v>2300</v>
      </c>
      <c r="H41" s="196">
        <f>2300-2150</f>
        <v>150</v>
      </c>
      <c r="I41" s="197">
        <v>5</v>
      </c>
      <c r="J41" s="268">
        <f t="shared" si="4"/>
        <v>750</v>
      </c>
      <c r="K41" s="185"/>
      <c r="V41" s="183">
        <f t="shared" si="5"/>
        <v>1</v>
      </c>
      <c r="W41" s="183">
        <f t="shared" si="6"/>
        <v>0</v>
      </c>
    </row>
    <row r="42" spans="1:23" x14ac:dyDescent="0.3">
      <c r="A42" s="184"/>
      <c r="B42" s="194">
        <v>6</v>
      </c>
      <c r="C42" s="195">
        <v>45817</v>
      </c>
      <c r="D42" s="196" t="s">
        <v>16</v>
      </c>
      <c r="E42" s="196" t="s">
        <v>1068</v>
      </c>
      <c r="F42" s="222">
        <v>2200</v>
      </c>
      <c r="G42" s="222">
        <v>2447</v>
      </c>
      <c r="H42" s="196">
        <f>2447-2200</f>
        <v>247</v>
      </c>
      <c r="I42" s="197">
        <v>5</v>
      </c>
      <c r="J42" s="268">
        <f t="shared" si="4"/>
        <v>1235</v>
      </c>
      <c r="K42" s="185"/>
      <c r="V42" s="183">
        <f t="shared" si="5"/>
        <v>1</v>
      </c>
      <c r="W42" s="183">
        <f t="shared" si="6"/>
        <v>0</v>
      </c>
    </row>
    <row r="43" spans="1:23" x14ac:dyDescent="0.3">
      <c r="A43" s="184"/>
      <c r="B43" s="194">
        <v>7</v>
      </c>
      <c r="C43" s="195">
        <v>45818</v>
      </c>
      <c r="D43" s="196" t="s">
        <v>16</v>
      </c>
      <c r="E43" s="196" t="s">
        <v>1068</v>
      </c>
      <c r="F43" s="222">
        <v>1700</v>
      </c>
      <c r="G43" s="222">
        <v>1900</v>
      </c>
      <c r="H43" s="222">
        <v>200</v>
      </c>
      <c r="I43" s="197">
        <v>5</v>
      </c>
      <c r="J43" s="268">
        <f t="shared" si="4"/>
        <v>1000</v>
      </c>
      <c r="K43" s="185"/>
      <c r="V43" s="183">
        <f t="shared" si="5"/>
        <v>1</v>
      </c>
      <c r="W43" s="183">
        <f t="shared" si="6"/>
        <v>0</v>
      </c>
    </row>
    <row r="44" spans="1:23" x14ac:dyDescent="0.3">
      <c r="A44" s="184"/>
      <c r="B44" s="194">
        <v>8</v>
      </c>
      <c r="C44" s="195">
        <v>45819</v>
      </c>
      <c r="D44" s="196" t="s">
        <v>16</v>
      </c>
      <c r="E44" s="196" t="s">
        <v>1069</v>
      </c>
      <c r="F44" s="197">
        <v>1500</v>
      </c>
      <c r="G44" s="197">
        <v>1300</v>
      </c>
      <c r="H44" s="196">
        <v>-200</v>
      </c>
      <c r="I44" s="197">
        <v>5</v>
      </c>
      <c r="J44" s="268">
        <f t="shared" si="4"/>
        <v>-1000</v>
      </c>
      <c r="K44" s="185"/>
      <c r="V44" s="183">
        <f t="shared" si="5"/>
        <v>0</v>
      </c>
      <c r="W44" s="183">
        <f t="shared" si="6"/>
        <v>1</v>
      </c>
    </row>
    <row r="45" spans="1:23" x14ac:dyDescent="0.3">
      <c r="A45" s="184"/>
      <c r="B45" s="194">
        <v>9</v>
      </c>
      <c r="C45" s="195">
        <v>45820</v>
      </c>
      <c r="D45" s="196" t="s">
        <v>16</v>
      </c>
      <c r="E45" s="196" t="s">
        <v>1067</v>
      </c>
      <c r="F45" s="222">
        <v>1950</v>
      </c>
      <c r="G45" s="222">
        <v>1750</v>
      </c>
      <c r="H45" s="222">
        <v>200</v>
      </c>
      <c r="I45" s="197">
        <v>5</v>
      </c>
      <c r="J45" s="268">
        <f t="shared" si="4"/>
        <v>1000</v>
      </c>
      <c r="K45" s="185"/>
      <c r="V45" s="183">
        <f t="shared" si="5"/>
        <v>1</v>
      </c>
      <c r="W45" s="183">
        <f t="shared" si="6"/>
        <v>0</v>
      </c>
    </row>
    <row r="46" spans="1:23" x14ac:dyDescent="0.3">
      <c r="A46" s="184"/>
      <c r="B46" s="194">
        <v>10</v>
      </c>
      <c r="C46" s="195">
        <v>45821</v>
      </c>
      <c r="D46" s="196" t="s">
        <v>16</v>
      </c>
      <c r="E46" s="196" t="s">
        <v>1070</v>
      </c>
      <c r="F46" s="197">
        <v>1650</v>
      </c>
      <c r="G46" s="222">
        <v>1848</v>
      </c>
      <c r="H46" s="196">
        <f>1848-1650</f>
        <v>198</v>
      </c>
      <c r="I46" s="197">
        <v>5</v>
      </c>
      <c r="J46" s="268">
        <f t="shared" si="4"/>
        <v>990</v>
      </c>
      <c r="K46" s="185"/>
      <c r="V46" s="183">
        <f t="shared" si="5"/>
        <v>1</v>
      </c>
      <c r="W46" s="183">
        <f t="shared" si="6"/>
        <v>0</v>
      </c>
    </row>
    <row r="47" spans="1:23" x14ac:dyDescent="0.3">
      <c r="A47" s="184"/>
      <c r="B47" s="194">
        <v>11</v>
      </c>
      <c r="C47" s="195">
        <v>45824</v>
      </c>
      <c r="D47" s="196" t="s">
        <v>16</v>
      </c>
      <c r="E47" s="196" t="s">
        <v>1070</v>
      </c>
      <c r="F47" s="222">
        <v>1500</v>
      </c>
      <c r="G47" s="222">
        <v>1620</v>
      </c>
      <c r="H47" s="222">
        <f>1620-1500</f>
        <v>120</v>
      </c>
      <c r="I47" s="197">
        <v>5</v>
      </c>
      <c r="J47" s="268">
        <f t="shared" si="4"/>
        <v>600</v>
      </c>
      <c r="K47" s="185"/>
      <c r="V47" s="183">
        <f t="shared" si="5"/>
        <v>1</v>
      </c>
      <c r="W47" s="183">
        <f t="shared" si="6"/>
        <v>0</v>
      </c>
    </row>
    <row r="48" spans="1:23" x14ac:dyDescent="0.3">
      <c r="A48" s="184"/>
      <c r="B48" s="194">
        <v>12</v>
      </c>
      <c r="C48" s="195">
        <v>45826</v>
      </c>
      <c r="D48" s="196" t="s">
        <v>16</v>
      </c>
      <c r="E48" s="196" t="s">
        <v>1074</v>
      </c>
      <c r="F48" s="197">
        <v>1010</v>
      </c>
      <c r="G48" s="222">
        <v>1095</v>
      </c>
      <c r="H48" s="196">
        <f>1095-1010</f>
        <v>85</v>
      </c>
      <c r="I48" s="197">
        <v>5</v>
      </c>
      <c r="J48" s="268">
        <f t="shared" si="4"/>
        <v>425</v>
      </c>
      <c r="K48" s="185"/>
      <c r="V48" s="183">
        <f t="shared" si="5"/>
        <v>1</v>
      </c>
      <c r="W48" s="183">
        <f t="shared" si="6"/>
        <v>0</v>
      </c>
    </row>
    <row r="49" spans="1:23" x14ac:dyDescent="0.3">
      <c r="A49" s="184"/>
      <c r="B49" s="194">
        <v>13</v>
      </c>
      <c r="C49" s="195">
        <v>45827</v>
      </c>
      <c r="D49" s="196" t="s">
        <v>16</v>
      </c>
      <c r="E49" s="196" t="s">
        <v>1075</v>
      </c>
      <c r="F49" s="222">
        <v>900</v>
      </c>
      <c r="G49" s="222">
        <v>1100</v>
      </c>
      <c r="H49" s="196">
        <v>200</v>
      </c>
      <c r="I49" s="197">
        <v>5</v>
      </c>
      <c r="J49" s="268">
        <f t="shared" si="4"/>
        <v>1000</v>
      </c>
      <c r="K49" s="185"/>
      <c r="V49" s="183">
        <f t="shared" si="5"/>
        <v>1</v>
      </c>
      <c r="W49" s="183">
        <f t="shared" si="6"/>
        <v>0</v>
      </c>
    </row>
    <row r="50" spans="1:23" x14ac:dyDescent="0.3">
      <c r="A50" s="184"/>
      <c r="B50" s="194">
        <v>14</v>
      </c>
      <c r="C50" s="195">
        <v>45828</v>
      </c>
      <c r="D50" s="196" t="s">
        <v>16</v>
      </c>
      <c r="E50" s="196" t="s">
        <v>1076</v>
      </c>
      <c r="F50" s="197">
        <v>2760</v>
      </c>
      <c r="G50" s="222">
        <v>2960</v>
      </c>
      <c r="H50" s="196">
        <v>200</v>
      </c>
      <c r="I50" s="197">
        <v>5</v>
      </c>
      <c r="J50" s="268">
        <f t="shared" si="4"/>
        <v>1000</v>
      </c>
      <c r="K50" s="185"/>
      <c r="V50" s="183">
        <f t="shared" si="5"/>
        <v>1</v>
      </c>
      <c r="W50" s="183">
        <f t="shared" si="6"/>
        <v>0</v>
      </c>
    </row>
    <row r="51" spans="1:23" x14ac:dyDescent="0.3">
      <c r="A51" s="184"/>
      <c r="B51" s="194">
        <v>15</v>
      </c>
      <c r="C51" s="195">
        <v>45831</v>
      </c>
      <c r="D51" s="196" t="s">
        <v>16</v>
      </c>
      <c r="E51" s="196" t="s">
        <v>1076</v>
      </c>
      <c r="F51" s="222">
        <v>2850</v>
      </c>
      <c r="G51" s="222">
        <v>3000</v>
      </c>
      <c r="H51" s="196">
        <f>3000-2850</f>
        <v>150</v>
      </c>
      <c r="I51" s="197">
        <v>5</v>
      </c>
      <c r="J51" s="268">
        <f t="shared" si="4"/>
        <v>750</v>
      </c>
      <c r="K51" s="185"/>
      <c r="V51" s="183">
        <f t="shared" si="5"/>
        <v>1</v>
      </c>
      <c r="W51" s="183">
        <f t="shared" si="6"/>
        <v>0</v>
      </c>
    </row>
    <row r="52" spans="1:23" x14ac:dyDescent="0.3">
      <c r="A52" s="184"/>
      <c r="B52" s="194">
        <v>16</v>
      </c>
      <c r="C52" s="195">
        <v>45832</v>
      </c>
      <c r="D52" s="196" t="s">
        <v>16</v>
      </c>
      <c r="E52" s="196" t="s">
        <v>1069</v>
      </c>
      <c r="F52" s="197">
        <v>2670</v>
      </c>
      <c r="G52" s="197">
        <v>2780</v>
      </c>
      <c r="H52" s="196">
        <f>2780-2670</f>
        <v>110</v>
      </c>
      <c r="I52" s="197">
        <v>5</v>
      </c>
      <c r="J52" s="268">
        <f t="shared" si="4"/>
        <v>550</v>
      </c>
      <c r="K52" s="185"/>
      <c r="V52" s="183">
        <f t="shared" si="5"/>
        <v>1</v>
      </c>
      <c r="W52" s="183">
        <f t="shared" si="6"/>
        <v>0</v>
      </c>
    </row>
    <row r="53" spans="1:23" x14ac:dyDescent="0.3">
      <c r="A53" s="184"/>
      <c r="B53" s="194">
        <v>17</v>
      </c>
      <c r="C53" s="195">
        <v>45833</v>
      </c>
      <c r="D53" s="196" t="s">
        <v>16</v>
      </c>
      <c r="E53" s="196" t="s">
        <v>1069</v>
      </c>
      <c r="F53" s="222">
        <v>2520</v>
      </c>
      <c r="G53" s="222">
        <v>2320</v>
      </c>
      <c r="H53" s="222">
        <v>-200</v>
      </c>
      <c r="I53" s="197">
        <v>5</v>
      </c>
      <c r="J53" s="268">
        <f t="shared" si="4"/>
        <v>-1000</v>
      </c>
      <c r="K53" s="185"/>
      <c r="V53" s="183">
        <f t="shared" si="5"/>
        <v>0</v>
      </c>
      <c r="W53" s="183">
        <f t="shared" si="6"/>
        <v>1</v>
      </c>
    </row>
    <row r="54" spans="1:23" x14ac:dyDescent="0.3">
      <c r="A54" s="184"/>
      <c r="B54" s="194">
        <v>18</v>
      </c>
      <c r="C54" s="195">
        <v>45834</v>
      </c>
      <c r="D54" s="196" t="s">
        <v>16</v>
      </c>
      <c r="E54" s="196" t="s">
        <v>1076</v>
      </c>
      <c r="F54" s="197">
        <v>2920</v>
      </c>
      <c r="G54" s="197">
        <v>2720</v>
      </c>
      <c r="H54" s="196">
        <v>-200</v>
      </c>
      <c r="I54" s="197">
        <v>5</v>
      </c>
      <c r="J54" s="268">
        <f t="shared" si="4"/>
        <v>-1000</v>
      </c>
      <c r="K54" s="185"/>
      <c r="V54" s="183">
        <f t="shared" si="5"/>
        <v>0</v>
      </c>
      <c r="W54" s="183">
        <f t="shared" si="6"/>
        <v>1</v>
      </c>
    </row>
    <row r="55" spans="1:23" x14ac:dyDescent="0.3">
      <c r="A55" s="184"/>
      <c r="B55" s="194">
        <v>19</v>
      </c>
      <c r="C55" s="195">
        <v>45835</v>
      </c>
      <c r="D55" s="196" t="s">
        <v>16</v>
      </c>
      <c r="E55" s="196" t="s">
        <v>1068</v>
      </c>
      <c r="F55" s="222">
        <v>2850</v>
      </c>
      <c r="G55" s="222">
        <v>2650</v>
      </c>
      <c r="H55" s="196">
        <v>-200</v>
      </c>
      <c r="I55" s="197">
        <v>5</v>
      </c>
      <c r="J55" s="268">
        <f t="shared" si="4"/>
        <v>-1000</v>
      </c>
      <c r="K55" s="185"/>
      <c r="V55" s="183">
        <f t="shared" si="5"/>
        <v>0</v>
      </c>
      <c r="W55" s="183">
        <f t="shared" si="6"/>
        <v>1</v>
      </c>
    </row>
    <row r="56" spans="1:23" ht="15" thickBot="1" x14ac:dyDescent="0.35">
      <c r="A56" s="184"/>
      <c r="B56" s="194">
        <v>20</v>
      </c>
      <c r="C56" s="195">
        <v>45838</v>
      </c>
      <c r="D56" s="196" t="s">
        <v>16</v>
      </c>
      <c r="E56" s="196" t="s">
        <v>1069</v>
      </c>
      <c r="F56" s="197">
        <v>2500</v>
      </c>
      <c r="G56" s="197">
        <v>2300</v>
      </c>
      <c r="H56" s="196">
        <v>-200</v>
      </c>
      <c r="I56" s="197">
        <v>5</v>
      </c>
      <c r="J56" s="268">
        <f t="shared" si="4"/>
        <v>-1000</v>
      </c>
      <c r="K56" s="185"/>
      <c r="V56" s="183">
        <f t="shared" si="5"/>
        <v>0</v>
      </c>
      <c r="W56" s="183">
        <f t="shared" si="6"/>
        <v>1</v>
      </c>
    </row>
    <row r="57" spans="1:23" ht="15" hidden="1" thickBot="1" x14ac:dyDescent="0.35">
      <c r="A57" s="184"/>
      <c r="B57" s="194">
        <v>21</v>
      </c>
      <c r="C57" s="195"/>
      <c r="D57" s="196"/>
      <c r="E57" s="196"/>
      <c r="F57" s="197"/>
      <c r="G57" s="222"/>
      <c r="H57" s="222"/>
      <c r="I57" s="197">
        <v>5</v>
      </c>
      <c r="J57" s="268">
        <f t="shared" si="4"/>
        <v>0</v>
      </c>
      <c r="K57" s="185"/>
      <c r="V57" s="183">
        <f t="shared" si="5"/>
        <v>0</v>
      </c>
      <c r="W57" s="183">
        <f t="shared" si="6"/>
        <v>0</v>
      </c>
    </row>
    <row r="58" spans="1:23" ht="15" hidden="1" thickBot="1" x14ac:dyDescent="0.35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4"/>
        <v>0</v>
      </c>
      <c r="K58" s="185"/>
      <c r="V58" s="183">
        <f t="shared" si="5"/>
        <v>0</v>
      </c>
      <c r="W58" s="183">
        <f t="shared" si="6"/>
        <v>0</v>
      </c>
    </row>
    <row r="59" spans="1:23" ht="15" hidden="1" thickBot="1" x14ac:dyDescent="0.35">
      <c r="A59" s="184"/>
      <c r="B59" s="194">
        <v>23</v>
      </c>
      <c r="C59" s="195"/>
      <c r="D59" s="196"/>
      <c r="E59" s="196"/>
      <c r="F59" s="197"/>
      <c r="G59" s="222"/>
      <c r="H59" s="222"/>
      <c r="I59" s="197"/>
      <c r="J59" s="268">
        <f t="shared" si="4"/>
        <v>0</v>
      </c>
      <c r="K59" s="185"/>
      <c r="V59" s="183">
        <f t="shared" si="5"/>
        <v>0</v>
      </c>
      <c r="W59" s="183">
        <f t="shared" si="6"/>
        <v>0</v>
      </c>
    </row>
    <row r="60" spans="1:23" ht="24" thickBot="1" x14ac:dyDescent="0.5">
      <c r="A60" s="184"/>
      <c r="B60" s="368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9300</v>
      </c>
      <c r="K60" s="185"/>
      <c r="V60" s="183">
        <f>SUM(V37:V59)</f>
        <v>14</v>
      </c>
      <c r="W60" s="183">
        <f>SUM(W37:W59)</f>
        <v>6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45809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997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1017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45810</v>
      </c>
      <c r="D68" s="216" t="s">
        <v>23</v>
      </c>
      <c r="E68" s="256" t="s">
        <v>25</v>
      </c>
      <c r="F68" s="256">
        <v>5380</v>
      </c>
      <c r="G68" s="256">
        <v>5350</v>
      </c>
      <c r="H68" s="256">
        <v>30</v>
      </c>
      <c r="I68" s="218">
        <v>100</v>
      </c>
      <c r="J68" s="273">
        <f>I68*H68</f>
        <v>3000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45811</v>
      </c>
      <c r="D69" s="196" t="s">
        <v>23</v>
      </c>
      <c r="E69" s="222" t="s">
        <v>25</v>
      </c>
      <c r="F69" s="222">
        <v>5380</v>
      </c>
      <c r="G69" s="222">
        <v>5350</v>
      </c>
      <c r="H69" s="222">
        <v>30</v>
      </c>
      <c r="I69" s="218">
        <v>100</v>
      </c>
      <c r="J69" s="268">
        <f t="shared" ref="J69:J90" si="7">I69*H69</f>
        <v>3000</v>
      </c>
      <c r="K69" s="185"/>
      <c r="V69" s="183">
        <f t="shared" ref="V69:V90" si="8">IF($J69&gt;0,1,0)</f>
        <v>1</v>
      </c>
      <c r="W69" s="183">
        <f t="shared" ref="W69:W90" si="9">IF($J69&lt;0,1,0)</f>
        <v>0</v>
      </c>
    </row>
    <row r="70" spans="1:23" x14ac:dyDescent="0.3">
      <c r="A70" s="184"/>
      <c r="B70" s="194">
        <v>3</v>
      </c>
      <c r="C70" s="195">
        <v>45812</v>
      </c>
      <c r="D70" s="196" t="s">
        <v>23</v>
      </c>
      <c r="E70" s="222" t="s">
        <v>25</v>
      </c>
      <c r="F70" s="222">
        <v>5460</v>
      </c>
      <c r="G70" s="222">
        <v>5415</v>
      </c>
      <c r="H70" s="222">
        <f>5460-5415</f>
        <v>45</v>
      </c>
      <c r="I70" s="218">
        <v>100</v>
      </c>
      <c r="J70" s="268">
        <f t="shared" si="7"/>
        <v>4500</v>
      </c>
      <c r="K70" s="185"/>
      <c r="M70" s="183" t="s">
        <v>870</v>
      </c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4</v>
      </c>
      <c r="C71" s="195">
        <v>45813</v>
      </c>
      <c r="D71" s="196" t="s">
        <v>23</v>
      </c>
      <c r="E71" s="222" t="s">
        <v>25</v>
      </c>
      <c r="F71" s="222">
        <v>5410</v>
      </c>
      <c r="G71" s="222">
        <v>5395</v>
      </c>
      <c r="H71" s="222">
        <f>5410-5395</f>
        <v>15</v>
      </c>
      <c r="I71" s="218">
        <v>100</v>
      </c>
      <c r="J71" s="268">
        <f t="shared" si="7"/>
        <v>1500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5</v>
      </c>
      <c r="C72" s="195">
        <v>45814</v>
      </c>
      <c r="D72" s="196" t="s">
        <v>23</v>
      </c>
      <c r="E72" s="222" t="s">
        <v>25</v>
      </c>
      <c r="F72" s="222">
        <v>5420</v>
      </c>
      <c r="G72" s="222">
        <v>5405</v>
      </c>
      <c r="H72" s="222">
        <f>5420-5405</f>
        <v>15</v>
      </c>
      <c r="I72" s="218">
        <v>100</v>
      </c>
      <c r="J72" s="268">
        <f t="shared" si="7"/>
        <v>1500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6</v>
      </c>
      <c r="C73" s="195">
        <v>45817</v>
      </c>
      <c r="D73" s="196" t="s">
        <v>23</v>
      </c>
      <c r="E73" s="222" t="s">
        <v>25</v>
      </c>
      <c r="F73" s="222">
        <v>5510</v>
      </c>
      <c r="G73" s="222">
        <v>5550</v>
      </c>
      <c r="H73" s="222">
        <v>40</v>
      </c>
      <c r="I73" s="218">
        <v>100</v>
      </c>
      <c r="J73" s="268">
        <f t="shared" si="7"/>
        <v>4000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7</v>
      </c>
      <c r="C74" s="195">
        <v>45818</v>
      </c>
      <c r="D74" s="196" t="s">
        <v>23</v>
      </c>
      <c r="E74" s="222" t="s">
        <v>25</v>
      </c>
      <c r="F74" s="222">
        <v>5615</v>
      </c>
      <c r="G74" s="222">
        <v>5595</v>
      </c>
      <c r="H74" s="274">
        <f>5615-5595</f>
        <v>20</v>
      </c>
      <c r="I74" s="218">
        <v>100</v>
      </c>
      <c r="J74" s="268">
        <f t="shared" si="7"/>
        <v>2000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8</v>
      </c>
      <c r="C75" s="195">
        <v>45819</v>
      </c>
      <c r="D75" s="196" t="s">
        <v>23</v>
      </c>
      <c r="E75" s="222" t="s">
        <v>25</v>
      </c>
      <c r="F75" s="222">
        <v>5575</v>
      </c>
      <c r="G75" s="222">
        <v>5534</v>
      </c>
      <c r="H75" s="222">
        <f>5575-5534</f>
        <v>41</v>
      </c>
      <c r="I75" s="197">
        <v>100</v>
      </c>
      <c r="J75" s="268">
        <f t="shared" si="7"/>
        <v>4100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9</v>
      </c>
      <c r="C76" s="195">
        <v>45820</v>
      </c>
      <c r="D76" s="196" t="s">
        <v>23</v>
      </c>
      <c r="E76" s="222" t="s">
        <v>25</v>
      </c>
      <c r="F76" s="222">
        <v>5780</v>
      </c>
      <c r="G76" s="222">
        <v>5710</v>
      </c>
      <c r="H76" s="222">
        <v>70</v>
      </c>
      <c r="I76" s="197">
        <v>100</v>
      </c>
      <c r="J76" s="268">
        <f t="shared" si="7"/>
        <v>7000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10</v>
      </c>
      <c r="C77" s="195">
        <v>45821</v>
      </c>
      <c r="D77" s="196" t="s">
        <v>23</v>
      </c>
      <c r="E77" s="222" t="s">
        <v>25</v>
      </c>
      <c r="F77" s="222">
        <v>6255</v>
      </c>
      <c r="G77" s="222">
        <v>6235</v>
      </c>
      <c r="H77" s="222">
        <f>6255-6235</f>
        <v>20</v>
      </c>
      <c r="I77" s="197">
        <v>100</v>
      </c>
      <c r="J77" s="268">
        <f t="shared" si="7"/>
        <v>2000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11</v>
      </c>
      <c r="C78" s="195">
        <v>45824</v>
      </c>
      <c r="D78" s="196" t="s">
        <v>23</v>
      </c>
      <c r="E78" s="222" t="s">
        <v>25</v>
      </c>
      <c r="F78" s="222">
        <v>6250</v>
      </c>
      <c r="G78" s="222">
        <v>6184</v>
      </c>
      <c r="H78" s="274">
        <f>6250-6184</f>
        <v>66</v>
      </c>
      <c r="I78" s="197">
        <v>100</v>
      </c>
      <c r="J78" s="268">
        <f t="shared" si="7"/>
        <v>6600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12</v>
      </c>
      <c r="C79" s="195">
        <v>45825</v>
      </c>
      <c r="D79" s="196" t="s">
        <v>23</v>
      </c>
      <c r="E79" s="222" t="s">
        <v>25</v>
      </c>
      <c r="F79" s="222">
        <v>6270</v>
      </c>
      <c r="G79" s="222">
        <v>6240</v>
      </c>
      <c r="H79" s="274">
        <v>30</v>
      </c>
      <c r="I79" s="197">
        <v>100</v>
      </c>
      <c r="J79" s="268">
        <f t="shared" si="7"/>
        <v>3000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13</v>
      </c>
      <c r="C80" s="195">
        <v>45826</v>
      </c>
      <c r="D80" s="196" t="s">
        <v>23</v>
      </c>
      <c r="E80" s="222" t="s">
        <v>25</v>
      </c>
      <c r="F80" s="222">
        <v>6380</v>
      </c>
      <c r="G80" s="222">
        <v>6420</v>
      </c>
      <c r="H80" s="274">
        <f>6420-6380</f>
        <v>40</v>
      </c>
      <c r="I80" s="197">
        <v>100</v>
      </c>
      <c r="J80" s="268">
        <f t="shared" si="7"/>
        <v>4000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14</v>
      </c>
      <c r="C81" s="195">
        <v>45827</v>
      </c>
      <c r="D81" s="196" t="s">
        <v>23</v>
      </c>
      <c r="E81" s="222" t="s">
        <v>25</v>
      </c>
      <c r="F81" s="222">
        <v>6410</v>
      </c>
      <c r="G81" s="222">
        <v>6391</v>
      </c>
      <c r="H81" s="274">
        <f>6410-6391</f>
        <v>19</v>
      </c>
      <c r="I81" s="197">
        <v>100</v>
      </c>
      <c r="J81" s="268">
        <f t="shared" si="7"/>
        <v>1900</v>
      </c>
      <c r="K81" s="185"/>
      <c r="V81" s="183">
        <f t="shared" si="8"/>
        <v>1</v>
      </c>
      <c r="W81" s="183">
        <f t="shared" si="9"/>
        <v>0</v>
      </c>
    </row>
    <row r="82" spans="1:23" x14ac:dyDescent="0.3">
      <c r="A82" s="184"/>
      <c r="B82" s="194">
        <v>15</v>
      </c>
      <c r="C82" s="195">
        <v>45828</v>
      </c>
      <c r="D82" s="196" t="s">
        <v>23</v>
      </c>
      <c r="E82" s="196" t="s">
        <v>25</v>
      </c>
      <c r="F82" s="222">
        <v>6420</v>
      </c>
      <c r="G82" s="222">
        <v>6350</v>
      </c>
      <c r="H82" s="222">
        <f>6420-6350</f>
        <v>70</v>
      </c>
      <c r="I82" s="197">
        <v>100</v>
      </c>
      <c r="J82" s="268">
        <f t="shared" si="7"/>
        <v>7000</v>
      </c>
      <c r="K82" s="185"/>
      <c r="V82" s="183">
        <f t="shared" si="8"/>
        <v>1</v>
      </c>
      <c r="W82" s="183">
        <f t="shared" si="9"/>
        <v>0</v>
      </c>
    </row>
    <row r="83" spans="1:23" x14ac:dyDescent="0.3">
      <c r="A83" s="184"/>
      <c r="B83" s="194">
        <v>16</v>
      </c>
      <c r="C83" s="195">
        <v>45831</v>
      </c>
      <c r="D83" s="196" t="s">
        <v>23</v>
      </c>
      <c r="E83" s="196" t="s">
        <v>25</v>
      </c>
      <c r="F83" s="222">
        <v>6380</v>
      </c>
      <c r="G83" s="222">
        <v>6365</v>
      </c>
      <c r="H83" s="222">
        <f>6380-6365</f>
        <v>15</v>
      </c>
      <c r="I83" s="197">
        <v>100</v>
      </c>
      <c r="J83" s="268">
        <f t="shared" si="7"/>
        <v>1500</v>
      </c>
      <c r="K83" s="185"/>
      <c r="V83" s="183">
        <f t="shared" si="8"/>
        <v>1</v>
      </c>
      <c r="W83" s="183">
        <f t="shared" si="9"/>
        <v>0</v>
      </c>
    </row>
    <row r="84" spans="1:23" x14ac:dyDescent="0.3">
      <c r="A84" s="184"/>
      <c r="B84" s="194">
        <v>17</v>
      </c>
      <c r="C84" s="195">
        <v>45832</v>
      </c>
      <c r="D84" s="196" t="s">
        <v>23</v>
      </c>
      <c r="E84" s="196" t="s">
        <v>25</v>
      </c>
      <c r="F84" s="222">
        <v>5745</v>
      </c>
      <c r="G84" s="274">
        <v>5675</v>
      </c>
      <c r="H84" s="274">
        <f>5745-5675</f>
        <v>70</v>
      </c>
      <c r="I84" s="197">
        <v>100</v>
      </c>
      <c r="J84" s="268">
        <f t="shared" si="7"/>
        <v>7000</v>
      </c>
      <c r="K84" s="185"/>
      <c r="V84" s="183">
        <f t="shared" si="8"/>
        <v>1</v>
      </c>
      <c r="W84" s="183">
        <f t="shared" si="9"/>
        <v>0</v>
      </c>
    </row>
    <row r="85" spans="1:23" x14ac:dyDescent="0.3">
      <c r="A85" s="184"/>
      <c r="B85" s="194">
        <v>18</v>
      </c>
      <c r="C85" s="195">
        <v>45833</v>
      </c>
      <c r="D85" s="196" t="s">
        <v>23</v>
      </c>
      <c r="E85" s="196" t="s">
        <v>25</v>
      </c>
      <c r="F85" s="222">
        <v>5630</v>
      </c>
      <c r="G85" s="222">
        <v>5571</v>
      </c>
      <c r="H85" s="274">
        <v>59</v>
      </c>
      <c r="I85" s="197">
        <v>100</v>
      </c>
      <c r="J85" s="268">
        <f t="shared" si="7"/>
        <v>5900</v>
      </c>
      <c r="K85" s="185"/>
      <c r="V85" s="183">
        <f t="shared" si="8"/>
        <v>1</v>
      </c>
      <c r="W85" s="183">
        <f t="shared" si="9"/>
        <v>0</v>
      </c>
    </row>
    <row r="86" spans="1:23" x14ac:dyDescent="0.3">
      <c r="A86" s="184"/>
      <c r="B86" s="194">
        <v>19</v>
      </c>
      <c r="C86" s="195">
        <v>45834</v>
      </c>
      <c r="D86" s="196" t="s">
        <v>23</v>
      </c>
      <c r="E86" s="196" t="s">
        <v>25</v>
      </c>
      <c r="F86" s="222">
        <v>5570</v>
      </c>
      <c r="G86" s="222">
        <v>5530</v>
      </c>
      <c r="H86" s="274">
        <v>-40</v>
      </c>
      <c r="I86" s="197">
        <v>100</v>
      </c>
      <c r="J86" s="268">
        <f t="shared" si="7"/>
        <v>-4000</v>
      </c>
      <c r="K86" s="185"/>
      <c r="V86" s="183">
        <f t="shared" si="8"/>
        <v>0</v>
      </c>
      <c r="W86" s="183">
        <f t="shared" si="9"/>
        <v>1</v>
      </c>
    </row>
    <row r="87" spans="1:23" x14ac:dyDescent="0.3">
      <c r="A87" s="184"/>
      <c r="B87" s="194">
        <v>20</v>
      </c>
      <c r="C87" s="195">
        <v>45835</v>
      </c>
      <c r="D87" s="196" t="s">
        <v>23</v>
      </c>
      <c r="E87" s="196" t="s">
        <v>25</v>
      </c>
      <c r="F87" s="222">
        <v>5640</v>
      </c>
      <c r="G87" s="222">
        <v>5570</v>
      </c>
      <c r="H87" s="274">
        <v>70</v>
      </c>
      <c r="I87" s="197">
        <v>100</v>
      </c>
      <c r="J87" s="268">
        <f t="shared" si="7"/>
        <v>7000</v>
      </c>
      <c r="K87" s="185"/>
      <c r="V87" s="183">
        <f t="shared" si="8"/>
        <v>1</v>
      </c>
      <c r="W87" s="183">
        <f t="shared" si="9"/>
        <v>0</v>
      </c>
    </row>
    <row r="88" spans="1:23" x14ac:dyDescent="0.3">
      <c r="A88" s="184"/>
      <c r="B88" s="194">
        <v>21</v>
      </c>
      <c r="C88" s="195">
        <v>45838</v>
      </c>
      <c r="D88" s="196" t="s">
        <v>23</v>
      </c>
      <c r="E88" s="196" t="s">
        <v>25</v>
      </c>
      <c r="F88" s="222">
        <v>5640</v>
      </c>
      <c r="G88" s="222">
        <v>5600</v>
      </c>
      <c r="H88" s="274">
        <v>40</v>
      </c>
      <c r="I88" s="197">
        <v>100</v>
      </c>
      <c r="J88" s="268">
        <f t="shared" si="7"/>
        <v>4000</v>
      </c>
      <c r="K88" s="185"/>
      <c r="V88" s="183">
        <f t="shared" si="8"/>
        <v>1</v>
      </c>
      <c r="W88" s="183">
        <f t="shared" si="9"/>
        <v>0</v>
      </c>
    </row>
    <row r="89" spans="1:23" hidden="1" x14ac:dyDescent="0.3">
      <c r="A89" s="184"/>
      <c r="B89" s="194">
        <v>22</v>
      </c>
      <c r="C89" s="195"/>
      <c r="D89" s="196"/>
      <c r="E89" s="196"/>
      <c r="F89" s="222"/>
      <c r="G89" s="222"/>
      <c r="H89" s="274"/>
      <c r="I89" s="197"/>
      <c r="J89" s="268">
        <f t="shared" si="7"/>
        <v>0</v>
      </c>
      <c r="K89" s="185"/>
      <c r="V89" s="183">
        <f t="shared" si="8"/>
        <v>0</v>
      </c>
      <c r="W89" s="183">
        <f t="shared" si="9"/>
        <v>0</v>
      </c>
    </row>
    <row r="90" spans="1:23" hidden="1" x14ac:dyDescent="0.3">
      <c r="A90" s="184"/>
      <c r="B90" s="194">
        <v>23</v>
      </c>
      <c r="C90" s="195"/>
      <c r="D90" s="196"/>
      <c r="E90" s="196"/>
      <c r="F90" s="222"/>
      <c r="G90" s="222"/>
      <c r="H90" s="274"/>
      <c r="I90" s="197"/>
      <c r="J90" s="268">
        <f t="shared" si="7"/>
        <v>0</v>
      </c>
      <c r="K90" s="185"/>
      <c r="V90" s="183">
        <f t="shared" si="8"/>
        <v>0</v>
      </c>
      <c r="W90" s="183">
        <f t="shared" si="9"/>
        <v>0</v>
      </c>
    </row>
    <row r="91" spans="1:23" ht="24" thickBot="1" x14ac:dyDescent="0.5">
      <c r="A91" s="184"/>
      <c r="B91" s="373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76500</v>
      </c>
      <c r="K91" s="185"/>
      <c r="V91" s="183">
        <f>SUM(V68:V90)</f>
        <v>20</v>
      </c>
      <c r="W91" s="183">
        <f>SUM(W68:W90)</f>
        <v>1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  <c r="L92" s="183" t="s">
        <v>926</v>
      </c>
    </row>
    <row r="93" spans="1:23" ht="15" thickBot="1" x14ac:dyDescent="0.35"/>
    <row r="94" spans="1:23" ht="30" customHeight="1" thickBot="1" x14ac:dyDescent="0.35">
      <c r="A94" s="180"/>
      <c r="B94" s="181"/>
      <c r="C94" s="181"/>
      <c r="D94" s="181"/>
      <c r="E94" s="181"/>
      <c r="F94" s="181"/>
      <c r="G94" s="181"/>
      <c r="H94" s="259"/>
      <c r="I94" s="181"/>
      <c r="J94" s="259"/>
      <c r="K94" s="182"/>
    </row>
    <row r="95" spans="1:23" ht="25.2" thickBot="1" x14ac:dyDescent="0.35">
      <c r="A95" s="184" t="s">
        <v>0</v>
      </c>
      <c r="B95" s="307" t="s">
        <v>873</v>
      </c>
      <c r="C95" s="308"/>
      <c r="D95" s="308"/>
      <c r="E95" s="308"/>
      <c r="F95" s="308"/>
      <c r="G95" s="308"/>
      <c r="H95" s="308"/>
      <c r="I95" s="308"/>
      <c r="J95" s="309"/>
      <c r="K95" s="185"/>
    </row>
    <row r="96" spans="1:23" ht="16.2" thickBot="1" x14ac:dyDescent="0.35">
      <c r="A96" s="184"/>
      <c r="B96" s="310">
        <v>45809</v>
      </c>
      <c r="C96" s="311"/>
      <c r="D96" s="311"/>
      <c r="E96" s="311"/>
      <c r="F96" s="311"/>
      <c r="G96" s="311"/>
      <c r="H96" s="311"/>
      <c r="I96" s="311"/>
      <c r="J96" s="312"/>
      <c r="K96" s="185"/>
    </row>
    <row r="97" spans="1:23" ht="16.2" thickBot="1" x14ac:dyDescent="0.35">
      <c r="A97" s="184"/>
      <c r="B97" s="313" t="s">
        <v>905</v>
      </c>
      <c r="C97" s="314"/>
      <c r="D97" s="314"/>
      <c r="E97" s="314"/>
      <c r="F97" s="314"/>
      <c r="G97" s="314"/>
      <c r="H97" s="314"/>
      <c r="I97" s="314"/>
      <c r="J97" s="315"/>
      <c r="K97" s="185"/>
    </row>
    <row r="98" spans="1:23" ht="15" thickBot="1" x14ac:dyDescent="0.35">
      <c r="A98" s="208"/>
      <c r="B98" s="186" t="s">
        <v>876</v>
      </c>
      <c r="C98" s="187" t="s">
        <v>1</v>
      </c>
      <c r="D98" s="188" t="s">
        <v>2</v>
      </c>
      <c r="E98" s="188" t="s">
        <v>3</v>
      </c>
      <c r="F98" s="189" t="s">
        <v>4</v>
      </c>
      <c r="G98" s="189" t="s">
        <v>5</v>
      </c>
      <c r="H98" s="260" t="s">
        <v>720</v>
      </c>
      <c r="I98" s="189" t="s">
        <v>1017</v>
      </c>
      <c r="J98" s="266" t="s">
        <v>7</v>
      </c>
      <c r="K98" s="209"/>
      <c r="L98" s="198"/>
      <c r="V98" s="183" t="s">
        <v>254</v>
      </c>
      <c r="W98" s="183" t="s">
        <v>255</v>
      </c>
    </row>
    <row r="99" spans="1:23" x14ac:dyDescent="0.3">
      <c r="A99" s="184"/>
      <c r="B99" s="214">
        <v>1</v>
      </c>
      <c r="C99" s="215">
        <v>45810</v>
      </c>
      <c r="D99" s="216" t="s">
        <v>16</v>
      </c>
      <c r="E99" s="256" t="s">
        <v>918</v>
      </c>
      <c r="F99" s="256">
        <v>170</v>
      </c>
      <c r="G99" s="256">
        <v>190</v>
      </c>
      <c r="H99" s="256">
        <v>20</v>
      </c>
      <c r="I99" s="218">
        <v>100</v>
      </c>
      <c r="J99" s="273">
        <f>I99*H99</f>
        <v>2000</v>
      </c>
      <c r="K99" s="185"/>
      <c r="V99" s="183">
        <f>IF($J99&gt;0,1,0)</f>
        <v>1</v>
      </c>
      <c r="W99" s="183">
        <f>IF($J99&lt;0,1,0)</f>
        <v>0</v>
      </c>
    </row>
    <row r="100" spans="1:23" x14ac:dyDescent="0.3">
      <c r="A100" s="184"/>
      <c r="B100" s="194">
        <v>2</v>
      </c>
      <c r="C100" s="195">
        <v>45811</v>
      </c>
      <c r="D100" s="196" t="s">
        <v>16</v>
      </c>
      <c r="E100" s="222" t="s">
        <v>918</v>
      </c>
      <c r="F100" s="222">
        <v>160</v>
      </c>
      <c r="G100" s="222">
        <v>175</v>
      </c>
      <c r="H100" s="222">
        <v>15</v>
      </c>
      <c r="I100" s="218">
        <v>100</v>
      </c>
      <c r="J100" s="268">
        <f t="shared" ref="J100:J119" si="10">I100*H100</f>
        <v>1500</v>
      </c>
      <c r="K100" s="185"/>
      <c r="V100" s="183">
        <f t="shared" ref="V100:V121" si="11">IF($J100&gt;0,1,0)</f>
        <v>1</v>
      </c>
      <c r="W100" s="183">
        <f t="shared" ref="W100:W121" si="12">IF($J100&lt;0,1,0)</f>
        <v>0</v>
      </c>
    </row>
    <row r="101" spans="1:23" x14ac:dyDescent="0.3">
      <c r="A101" s="184"/>
      <c r="B101" s="194">
        <v>3</v>
      </c>
      <c r="C101" s="195">
        <v>45812</v>
      </c>
      <c r="D101" s="196" t="s">
        <v>16</v>
      </c>
      <c r="E101" s="222" t="s">
        <v>1052</v>
      </c>
      <c r="F101" s="222">
        <v>165</v>
      </c>
      <c r="G101" s="222">
        <v>185</v>
      </c>
      <c r="H101" s="222">
        <v>20</v>
      </c>
      <c r="I101" s="218">
        <v>100</v>
      </c>
      <c r="J101" s="268">
        <f t="shared" si="10"/>
        <v>2000</v>
      </c>
      <c r="K101" s="185"/>
      <c r="M101" s="183" t="s">
        <v>870</v>
      </c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4</v>
      </c>
      <c r="C102" s="195">
        <v>45813</v>
      </c>
      <c r="D102" s="196" t="s">
        <v>16</v>
      </c>
      <c r="E102" s="222" t="s">
        <v>1052</v>
      </c>
      <c r="F102" s="222">
        <v>180</v>
      </c>
      <c r="G102" s="222">
        <v>160</v>
      </c>
      <c r="H102" s="222">
        <v>-20</v>
      </c>
      <c r="I102" s="218">
        <v>100</v>
      </c>
      <c r="J102" s="268">
        <f t="shared" si="10"/>
        <v>-2000</v>
      </c>
      <c r="K102" s="185"/>
      <c r="V102" s="183">
        <f t="shared" si="11"/>
        <v>0</v>
      </c>
      <c r="W102" s="183">
        <f t="shared" si="12"/>
        <v>1</v>
      </c>
    </row>
    <row r="103" spans="1:23" x14ac:dyDescent="0.3">
      <c r="A103" s="184"/>
      <c r="B103" s="194">
        <v>5</v>
      </c>
      <c r="C103" s="195">
        <v>45814</v>
      </c>
      <c r="D103" s="196" t="s">
        <v>16</v>
      </c>
      <c r="E103" s="222" t="s">
        <v>1052</v>
      </c>
      <c r="F103" s="222">
        <v>165</v>
      </c>
      <c r="G103" s="222">
        <v>174</v>
      </c>
      <c r="H103" s="222">
        <v>9</v>
      </c>
      <c r="I103" s="218">
        <v>100</v>
      </c>
      <c r="J103" s="268">
        <f t="shared" si="10"/>
        <v>900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6</v>
      </c>
      <c r="C104" s="195">
        <v>45817</v>
      </c>
      <c r="D104" s="196" t="s">
        <v>16</v>
      </c>
      <c r="E104" s="222" t="s">
        <v>917</v>
      </c>
      <c r="F104" s="222">
        <v>160</v>
      </c>
      <c r="G104" s="222">
        <v>140</v>
      </c>
      <c r="H104" s="222">
        <v>-20</v>
      </c>
      <c r="I104" s="218">
        <v>100</v>
      </c>
      <c r="J104" s="268">
        <f t="shared" si="10"/>
        <v>-2000</v>
      </c>
      <c r="K104" s="185"/>
      <c r="V104" s="183">
        <f t="shared" si="11"/>
        <v>0</v>
      </c>
      <c r="W104" s="183">
        <f t="shared" si="12"/>
        <v>1</v>
      </c>
    </row>
    <row r="105" spans="1:23" x14ac:dyDescent="0.3">
      <c r="A105" s="184"/>
      <c r="B105" s="194">
        <v>7</v>
      </c>
      <c r="C105" s="195">
        <v>45818</v>
      </c>
      <c r="D105" s="196" t="s">
        <v>16</v>
      </c>
      <c r="E105" s="222" t="s">
        <v>919</v>
      </c>
      <c r="F105" s="222">
        <v>155</v>
      </c>
      <c r="G105" s="222">
        <v>135</v>
      </c>
      <c r="H105" s="274">
        <v>-20</v>
      </c>
      <c r="I105" s="218">
        <v>100</v>
      </c>
      <c r="J105" s="268">
        <f t="shared" si="10"/>
        <v>-2000</v>
      </c>
      <c r="K105" s="185"/>
      <c r="M105" s="183" t="s">
        <v>942</v>
      </c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8</v>
      </c>
      <c r="C106" s="195">
        <v>45819</v>
      </c>
      <c r="D106" s="196" t="s">
        <v>16</v>
      </c>
      <c r="E106" s="222" t="s">
        <v>919</v>
      </c>
      <c r="F106" s="222">
        <v>165</v>
      </c>
      <c r="G106" s="222">
        <v>195</v>
      </c>
      <c r="H106" s="222">
        <v>20</v>
      </c>
      <c r="I106" s="218">
        <v>100</v>
      </c>
      <c r="J106" s="268">
        <f t="shared" si="10"/>
        <v>2000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9</v>
      </c>
      <c r="C107" s="195">
        <v>45820</v>
      </c>
      <c r="D107" s="196" t="s">
        <v>16</v>
      </c>
      <c r="E107" s="222" t="s">
        <v>923</v>
      </c>
      <c r="F107" s="222">
        <v>125</v>
      </c>
      <c r="G107" s="222">
        <v>155</v>
      </c>
      <c r="H107" s="222">
        <f>155-125</f>
        <v>30</v>
      </c>
      <c r="I107" s="218">
        <v>100</v>
      </c>
      <c r="J107" s="268">
        <f t="shared" si="10"/>
        <v>3000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10</v>
      </c>
      <c r="C108" s="195">
        <v>45821</v>
      </c>
      <c r="D108" s="196" t="s">
        <v>16</v>
      </c>
      <c r="E108" s="222" t="s">
        <v>908</v>
      </c>
      <c r="F108" s="222">
        <v>160</v>
      </c>
      <c r="G108" s="222">
        <v>140</v>
      </c>
      <c r="H108" s="222">
        <v>-20</v>
      </c>
      <c r="I108" s="218">
        <v>100</v>
      </c>
      <c r="J108" s="268">
        <f t="shared" si="10"/>
        <v>-2000</v>
      </c>
      <c r="K108" s="185"/>
      <c r="V108" s="183">
        <f t="shared" si="11"/>
        <v>0</v>
      </c>
      <c r="W108" s="183">
        <f t="shared" si="12"/>
        <v>1</v>
      </c>
    </row>
    <row r="109" spans="1:23" x14ac:dyDescent="0.3">
      <c r="A109" s="184"/>
      <c r="B109" s="194">
        <v>11</v>
      </c>
      <c r="C109" s="195">
        <v>45824</v>
      </c>
      <c r="D109" s="196" t="s">
        <v>16</v>
      </c>
      <c r="E109" s="222" t="s">
        <v>923</v>
      </c>
      <c r="F109" s="222">
        <v>185</v>
      </c>
      <c r="G109" s="222">
        <v>205</v>
      </c>
      <c r="H109" s="274">
        <v>20</v>
      </c>
      <c r="I109" s="218">
        <v>100</v>
      </c>
      <c r="J109" s="268">
        <f t="shared" si="10"/>
        <v>2000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12</v>
      </c>
      <c r="C110" s="195">
        <v>45825</v>
      </c>
      <c r="D110" s="196" t="s">
        <v>16</v>
      </c>
      <c r="E110" s="222" t="s">
        <v>916</v>
      </c>
      <c r="F110" s="222">
        <v>305</v>
      </c>
      <c r="G110" s="222">
        <v>320</v>
      </c>
      <c r="H110" s="274">
        <v>15</v>
      </c>
      <c r="I110" s="218">
        <v>100</v>
      </c>
      <c r="J110" s="268">
        <f t="shared" si="10"/>
        <v>1500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13</v>
      </c>
      <c r="C111" s="195">
        <v>45826</v>
      </c>
      <c r="D111" s="196" t="s">
        <v>16</v>
      </c>
      <c r="E111" s="222" t="s">
        <v>923</v>
      </c>
      <c r="F111" s="222">
        <v>215</v>
      </c>
      <c r="G111" s="222">
        <v>227</v>
      </c>
      <c r="H111" s="274">
        <f>227-215</f>
        <v>12</v>
      </c>
      <c r="I111" s="218">
        <v>100</v>
      </c>
      <c r="J111" s="268">
        <f t="shared" si="10"/>
        <v>1200</v>
      </c>
      <c r="K111" s="185"/>
      <c r="V111" s="183">
        <f t="shared" si="11"/>
        <v>1</v>
      </c>
      <c r="W111" s="183">
        <f t="shared" si="12"/>
        <v>0</v>
      </c>
    </row>
    <row r="112" spans="1:23" x14ac:dyDescent="0.3">
      <c r="A112" s="184"/>
      <c r="B112" s="194">
        <v>14</v>
      </c>
      <c r="C112" s="195">
        <v>45827</v>
      </c>
      <c r="D112" s="196" t="s">
        <v>16</v>
      </c>
      <c r="E112" s="222" t="s">
        <v>923</v>
      </c>
      <c r="F112" s="222">
        <v>175</v>
      </c>
      <c r="G112" s="222">
        <v>155</v>
      </c>
      <c r="H112" s="274">
        <v>-20</v>
      </c>
      <c r="I112" s="218">
        <v>100</v>
      </c>
      <c r="J112" s="268">
        <f t="shared" si="10"/>
        <v>-2000</v>
      </c>
      <c r="K112" s="185"/>
      <c r="V112" s="183">
        <f t="shared" si="11"/>
        <v>0</v>
      </c>
      <c r="W112" s="183">
        <f t="shared" si="12"/>
        <v>1</v>
      </c>
    </row>
    <row r="113" spans="1:23" x14ac:dyDescent="0.3">
      <c r="A113" s="184"/>
      <c r="B113" s="194">
        <v>15</v>
      </c>
      <c r="C113" s="195">
        <v>45828</v>
      </c>
      <c r="D113" s="196" t="s">
        <v>16</v>
      </c>
      <c r="E113" s="196" t="s">
        <v>916</v>
      </c>
      <c r="F113" s="222">
        <v>225</v>
      </c>
      <c r="G113" s="222">
        <v>265</v>
      </c>
      <c r="H113" s="222">
        <f>265-225</f>
        <v>40</v>
      </c>
      <c r="I113" s="218">
        <v>100</v>
      </c>
      <c r="J113" s="268">
        <f t="shared" si="10"/>
        <v>4000</v>
      </c>
      <c r="K113" s="185"/>
      <c r="V113" s="183">
        <f t="shared" si="11"/>
        <v>1</v>
      </c>
      <c r="W113" s="183">
        <f t="shared" si="12"/>
        <v>0</v>
      </c>
    </row>
    <row r="114" spans="1:23" x14ac:dyDescent="0.3">
      <c r="A114" s="184"/>
      <c r="B114" s="194">
        <v>16</v>
      </c>
      <c r="C114" s="195">
        <v>45831</v>
      </c>
      <c r="D114" s="196" t="s">
        <v>16</v>
      </c>
      <c r="E114" s="196" t="s">
        <v>916</v>
      </c>
      <c r="F114" s="222">
        <v>220</v>
      </c>
      <c r="G114" s="274">
        <v>200</v>
      </c>
      <c r="H114" s="274">
        <v>-20</v>
      </c>
      <c r="I114" s="218">
        <v>100</v>
      </c>
      <c r="J114" s="268">
        <f t="shared" si="10"/>
        <v>-2000</v>
      </c>
      <c r="K114" s="185"/>
      <c r="V114" s="183">
        <f t="shared" si="11"/>
        <v>0</v>
      </c>
      <c r="W114" s="183">
        <f t="shared" si="12"/>
        <v>1</v>
      </c>
    </row>
    <row r="115" spans="1:23" x14ac:dyDescent="0.3">
      <c r="A115" s="184"/>
      <c r="B115" s="194">
        <v>17</v>
      </c>
      <c r="C115" s="195">
        <v>45832</v>
      </c>
      <c r="D115" s="196" t="s">
        <v>16</v>
      </c>
      <c r="E115" s="196" t="s">
        <v>917</v>
      </c>
      <c r="F115" s="222">
        <v>190</v>
      </c>
      <c r="G115" s="222">
        <v>230</v>
      </c>
      <c r="H115" s="222">
        <v>40</v>
      </c>
      <c r="I115" s="218">
        <v>100</v>
      </c>
      <c r="J115" s="268">
        <f t="shared" si="10"/>
        <v>4000</v>
      </c>
      <c r="K115" s="185"/>
      <c r="V115" s="183">
        <f t="shared" si="11"/>
        <v>1</v>
      </c>
      <c r="W115" s="183">
        <f t="shared" si="12"/>
        <v>0</v>
      </c>
    </row>
    <row r="116" spans="1:23" x14ac:dyDescent="0.3">
      <c r="A116" s="184"/>
      <c r="B116" s="194">
        <v>18</v>
      </c>
      <c r="C116" s="195">
        <v>45833</v>
      </c>
      <c r="D116" s="196" t="s">
        <v>16</v>
      </c>
      <c r="E116" s="196" t="s">
        <v>917</v>
      </c>
      <c r="F116" s="222">
        <v>210</v>
      </c>
      <c r="G116" s="222">
        <v>230</v>
      </c>
      <c r="H116" s="274">
        <v>20</v>
      </c>
      <c r="I116" s="218">
        <v>100</v>
      </c>
      <c r="J116" s="268">
        <f t="shared" si="10"/>
        <v>2000</v>
      </c>
      <c r="K116" s="185"/>
      <c r="V116" s="183">
        <f t="shared" si="11"/>
        <v>1</v>
      </c>
      <c r="W116" s="183">
        <f t="shared" si="12"/>
        <v>0</v>
      </c>
    </row>
    <row r="117" spans="1:23" x14ac:dyDescent="0.3">
      <c r="A117" s="184"/>
      <c r="B117" s="194">
        <v>19</v>
      </c>
      <c r="C117" s="195">
        <v>45834</v>
      </c>
      <c r="D117" s="196" t="s">
        <v>867</v>
      </c>
      <c r="E117" s="196" t="s">
        <v>917</v>
      </c>
      <c r="F117" s="222">
        <v>220</v>
      </c>
      <c r="G117" s="222">
        <v>200</v>
      </c>
      <c r="H117" s="274">
        <v>-20</v>
      </c>
      <c r="I117" s="218">
        <v>100</v>
      </c>
      <c r="J117" s="268">
        <f t="shared" si="10"/>
        <v>-2000</v>
      </c>
      <c r="K117" s="185"/>
      <c r="V117" s="183">
        <f t="shared" si="11"/>
        <v>0</v>
      </c>
      <c r="W117" s="183">
        <f t="shared" si="12"/>
        <v>1</v>
      </c>
    </row>
    <row r="118" spans="1:23" x14ac:dyDescent="0.3">
      <c r="A118" s="184"/>
      <c r="B118" s="194">
        <v>20</v>
      </c>
      <c r="C118" s="195">
        <v>45835</v>
      </c>
      <c r="D118" s="196" t="s">
        <v>16</v>
      </c>
      <c r="E118" s="222" t="s">
        <v>917</v>
      </c>
      <c r="F118" s="222">
        <v>180</v>
      </c>
      <c r="G118" s="222">
        <v>217</v>
      </c>
      <c r="H118" s="274">
        <f>217-180</f>
        <v>37</v>
      </c>
      <c r="I118" s="218">
        <v>100</v>
      </c>
      <c r="J118" s="268">
        <f t="shared" si="10"/>
        <v>3700</v>
      </c>
      <c r="K118" s="185"/>
      <c r="V118" s="183">
        <f t="shared" si="11"/>
        <v>1</v>
      </c>
      <c r="W118" s="183">
        <f t="shared" si="12"/>
        <v>0</v>
      </c>
    </row>
    <row r="119" spans="1:23" ht="15" thickBot="1" x14ac:dyDescent="0.35">
      <c r="A119" s="184"/>
      <c r="B119" s="194">
        <v>21</v>
      </c>
      <c r="C119" s="195">
        <v>45838</v>
      </c>
      <c r="D119" s="196" t="s">
        <v>16</v>
      </c>
      <c r="E119" s="222" t="s">
        <v>917</v>
      </c>
      <c r="F119" s="222">
        <v>165</v>
      </c>
      <c r="G119" s="222">
        <v>180</v>
      </c>
      <c r="H119" s="274">
        <v>15</v>
      </c>
      <c r="I119" s="218">
        <v>100</v>
      </c>
      <c r="J119" s="268">
        <f t="shared" si="10"/>
        <v>1500</v>
      </c>
      <c r="K119" s="185"/>
      <c r="V119" s="183">
        <f t="shared" si="11"/>
        <v>1</v>
      </c>
      <c r="W119" s="183">
        <f t="shared" si="12"/>
        <v>0</v>
      </c>
    </row>
    <row r="120" spans="1:23" ht="15" hidden="1" thickBot="1" x14ac:dyDescent="0.35">
      <c r="A120" s="184"/>
      <c r="B120" s="194">
        <v>22</v>
      </c>
      <c r="C120" s="195"/>
      <c r="D120" s="196"/>
      <c r="E120" s="222"/>
      <c r="F120" s="222"/>
      <c r="G120" s="222"/>
      <c r="H120" s="222"/>
      <c r="I120" s="218"/>
      <c r="J120" s="268">
        <f>I120*H120</f>
        <v>0</v>
      </c>
      <c r="K120" s="185"/>
      <c r="V120" s="183">
        <f t="shared" si="11"/>
        <v>0</v>
      </c>
      <c r="W120" s="183">
        <f t="shared" si="12"/>
        <v>0</v>
      </c>
    </row>
    <row r="121" spans="1:23" ht="15" hidden="1" thickBot="1" x14ac:dyDescent="0.35">
      <c r="A121" s="184"/>
      <c r="B121" s="199">
        <v>23</v>
      </c>
      <c r="C121" s="200"/>
      <c r="D121" s="201"/>
      <c r="E121" s="201"/>
      <c r="F121" s="284"/>
      <c r="G121" s="284"/>
      <c r="H121" s="284"/>
      <c r="I121" s="285"/>
      <c r="J121" s="269">
        <f>I121*H121</f>
        <v>0</v>
      </c>
      <c r="K121" s="185"/>
      <c r="V121" s="183">
        <f t="shared" si="11"/>
        <v>0</v>
      </c>
      <c r="W121" s="183">
        <f t="shared" si="12"/>
        <v>0</v>
      </c>
    </row>
    <row r="122" spans="1:23" ht="24" thickBot="1" x14ac:dyDescent="0.5">
      <c r="A122" s="184"/>
      <c r="B122" s="304" t="s">
        <v>879</v>
      </c>
      <c r="C122" s="305"/>
      <c r="D122" s="305"/>
      <c r="E122" s="305"/>
      <c r="F122" s="305"/>
      <c r="G122" s="305"/>
      <c r="H122" s="306"/>
      <c r="I122" s="203" t="s">
        <v>880</v>
      </c>
      <c r="J122" s="204">
        <f>SUM(J99:J121)</f>
        <v>17300</v>
      </c>
      <c r="K122" s="185"/>
      <c r="V122" s="183">
        <f>SUM(V99:V121)</f>
        <v>14</v>
      </c>
      <c r="W122" s="183">
        <f>SUM(W99:W121)</f>
        <v>7</v>
      </c>
    </row>
    <row r="123" spans="1:23" ht="30" customHeight="1" thickBot="1" x14ac:dyDescent="0.35">
      <c r="A123" s="205"/>
      <c r="B123" s="286"/>
      <c r="C123" s="286"/>
      <c r="D123" s="286"/>
      <c r="E123" s="286"/>
      <c r="F123" s="286"/>
      <c r="G123" s="286"/>
      <c r="H123" s="287"/>
      <c r="I123" s="286"/>
      <c r="J123" s="287"/>
      <c r="K123" s="207"/>
    </row>
    <row r="124" spans="1:23" ht="15" thickBot="1" x14ac:dyDescent="0.35"/>
    <row r="125" spans="1:23" ht="15" thickBot="1" x14ac:dyDescent="0.35">
      <c r="A125" s="180"/>
      <c r="B125" s="181"/>
      <c r="C125" s="181"/>
      <c r="D125" s="181"/>
      <c r="E125" s="181"/>
      <c r="F125" s="181"/>
      <c r="G125" s="181"/>
      <c r="H125" s="259"/>
      <c r="I125" s="181"/>
      <c r="J125" s="259"/>
      <c r="K125" s="182"/>
    </row>
    <row r="126" spans="1:23" ht="25.2" thickBot="1" x14ac:dyDescent="0.35">
      <c r="A126" s="184" t="s">
        <v>0</v>
      </c>
      <c r="B126" s="307" t="s">
        <v>873</v>
      </c>
      <c r="C126" s="308"/>
      <c r="D126" s="308"/>
      <c r="E126" s="308"/>
      <c r="F126" s="308"/>
      <c r="G126" s="308"/>
      <c r="H126" s="308"/>
      <c r="I126" s="308"/>
      <c r="J126" s="309"/>
      <c r="K126" s="185"/>
    </row>
    <row r="127" spans="1:23" ht="16.2" thickBot="1" x14ac:dyDescent="0.35">
      <c r="A127" s="184"/>
      <c r="B127" s="310">
        <v>45809</v>
      </c>
      <c r="C127" s="311"/>
      <c r="D127" s="311"/>
      <c r="E127" s="311"/>
      <c r="F127" s="311"/>
      <c r="G127" s="311"/>
      <c r="H127" s="311"/>
      <c r="I127" s="311"/>
      <c r="J127" s="312"/>
      <c r="K127" s="185"/>
    </row>
    <row r="128" spans="1:23" ht="16.2" thickBot="1" x14ac:dyDescent="0.35">
      <c r="A128" s="184"/>
      <c r="B128" s="313" t="s">
        <v>995</v>
      </c>
      <c r="C128" s="314"/>
      <c r="D128" s="314"/>
      <c r="E128" s="314"/>
      <c r="F128" s="314"/>
      <c r="G128" s="314"/>
      <c r="H128" s="314"/>
      <c r="I128" s="314"/>
      <c r="J128" s="315"/>
      <c r="K128" s="185"/>
    </row>
    <row r="129" spans="1:23" ht="15" thickBot="1" x14ac:dyDescent="0.35">
      <c r="A129" s="208"/>
      <c r="B129" s="186" t="s">
        <v>876</v>
      </c>
      <c r="C129" s="187" t="s">
        <v>1</v>
      </c>
      <c r="D129" s="188" t="s">
        <v>2</v>
      </c>
      <c r="E129" s="188" t="s">
        <v>3</v>
      </c>
      <c r="F129" s="189" t="s">
        <v>4</v>
      </c>
      <c r="G129" s="189" t="s">
        <v>5</v>
      </c>
      <c r="H129" s="260" t="s">
        <v>720</v>
      </c>
      <c r="I129" s="189" t="s">
        <v>1017</v>
      </c>
      <c r="J129" s="266" t="s">
        <v>7</v>
      </c>
      <c r="K129" s="209"/>
    </row>
    <row r="130" spans="1:23" x14ac:dyDescent="0.3">
      <c r="A130" s="184"/>
      <c r="B130" s="214">
        <v>1</v>
      </c>
      <c r="C130" s="215">
        <v>45810</v>
      </c>
      <c r="D130" s="216" t="s">
        <v>16</v>
      </c>
      <c r="E130" s="256" t="s">
        <v>1071</v>
      </c>
      <c r="F130" s="256">
        <v>20</v>
      </c>
      <c r="G130" s="256">
        <v>26</v>
      </c>
      <c r="H130" s="256">
        <v>6</v>
      </c>
      <c r="I130" s="218">
        <v>2500</v>
      </c>
      <c r="J130" s="273">
        <f>I130*H130</f>
        <v>15000</v>
      </c>
      <c r="K130" s="185"/>
      <c r="V130" s="183">
        <f t="shared" ref="V130:V152" si="13">IF($J130&gt;0,1,0)</f>
        <v>1</v>
      </c>
      <c r="W130" s="183">
        <f t="shared" ref="W130:W152" si="14">IF($J130&lt;0,1,0)</f>
        <v>0</v>
      </c>
    </row>
    <row r="131" spans="1:23" x14ac:dyDescent="0.3">
      <c r="A131" s="184"/>
      <c r="B131" s="194">
        <v>2</v>
      </c>
      <c r="C131" s="195">
        <v>45811</v>
      </c>
      <c r="D131" s="196" t="s">
        <v>16</v>
      </c>
      <c r="E131" s="222" t="s">
        <v>1015</v>
      </c>
      <c r="F131" s="222">
        <v>21</v>
      </c>
      <c r="G131" s="222">
        <v>23.5</v>
      </c>
      <c r="H131" s="222">
        <v>2.5</v>
      </c>
      <c r="I131" s="218">
        <v>2500</v>
      </c>
      <c r="J131" s="268">
        <f t="shared" ref="J131:J150" si="15">I131*H131</f>
        <v>6250</v>
      </c>
      <c r="K131" s="185"/>
      <c r="V131" s="183">
        <f t="shared" si="13"/>
        <v>1</v>
      </c>
      <c r="W131" s="183">
        <f t="shared" si="14"/>
        <v>0</v>
      </c>
    </row>
    <row r="132" spans="1:23" x14ac:dyDescent="0.3">
      <c r="A132" s="184"/>
      <c r="B132" s="194">
        <v>3</v>
      </c>
      <c r="C132" s="195">
        <v>45812</v>
      </c>
      <c r="D132" s="196" t="s">
        <v>16</v>
      </c>
      <c r="E132" s="222" t="s">
        <v>1015</v>
      </c>
      <c r="F132" s="222">
        <v>20</v>
      </c>
      <c r="G132" s="222">
        <v>21</v>
      </c>
      <c r="H132" s="222">
        <v>1</v>
      </c>
      <c r="I132" s="218">
        <v>2500</v>
      </c>
      <c r="J132" s="268">
        <f t="shared" si="15"/>
        <v>2500</v>
      </c>
      <c r="K132" s="185"/>
      <c r="V132" s="183">
        <f t="shared" si="13"/>
        <v>1</v>
      </c>
      <c r="W132" s="183">
        <f t="shared" si="14"/>
        <v>0</v>
      </c>
    </row>
    <row r="133" spans="1:23" x14ac:dyDescent="0.3">
      <c r="A133" s="184"/>
      <c r="B133" s="194">
        <v>4</v>
      </c>
      <c r="C133" s="195">
        <v>45813</v>
      </c>
      <c r="D133" s="196" t="s">
        <v>16</v>
      </c>
      <c r="E133" s="222" t="s">
        <v>1015</v>
      </c>
      <c r="F133" s="222">
        <v>19</v>
      </c>
      <c r="G133" s="222">
        <v>20.6</v>
      </c>
      <c r="H133" s="222">
        <v>1.6</v>
      </c>
      <c r="I133" s="218">
        <v>2500</v>
      </c>
      <c r="J133" s="268">
        <f t="shared" si="15"/>
        <v>4000</v>
      </c>
      <c r="K133" s="185"/>
      <c r="V133" s="183">
        <f t="shared" si="13"/>
        <v>1</v>
      </c>
      <c r="W133" s="183">
        <f t="shared" si="14"/>
        <v>0</v>
      </c>
    </row>
    <row r="134" spans="1:23" x14ac:dyDescent="0.3">
      <c r="A134" s="184"/>
      <c r="B134" s="194">
        <v>5</v>
      </c>
      <c r="C134" s="195">
        <v>45814</v>
      </c>
      <c r="D134" s="196" t="s">
        <v>16</v>
      </c>
      <c r="E134" s="222" t="s">
        <v>1015</v>
      </c>
      <c r="F134" s="222">
        <v>18</v>
      </c>
      <c r="G134" s="222">
        <v>15</v>
      </c>
      <c r="H134" s="222">
        <v>-3</v>
      </c>
      <c r="I134" s="218">
        <v>2500</v>
      </c>
      <c r="J134" s="268">
        <f t="shared" si="15"/>
        <v>-7500</v>
      </c>
      <c r="K134" s="185"/>
      <c r="V134" s="183">
        <f t="shared" si="13"/>
        <v>0</v>
      </c>
      <c r="W134" s="183">
        <f t="shared" si="14"/>
        <v>1</v>
      </c>
    </row>
    <row r="135" spans="1:23" x14ac:dyDescent="0.3">
      <c r="A135" s="184"/>
      <c r="B135" s="194">
        <v>6</v>
      </c>
      <c r="C135" s="195">
        <v>45817</v>
      </c>
      <c r="D135" s="196" t="s">
        <v>16</v>
      </c>
      <c r="E135" s="222" t="s">
        <v>1015</v>
      </c>
      <c r="F135" s="222">
        <v>16</v>
      </c>
      <c r="G135" s="222">
        <v>22</v>
      </c>
      <c r="H135" s="222">
        <v>6</v>
      </c>
      <c r="I135" s="218">
        <v>2500</v>
      </c>
      <c r="J135" s="268">
        <f t="shared" si="15"/>
        <v>15000</v>
      </c>
      <c r="K135" s="185"/>
      <c r="V135" s="183">
        <f t="shared" si="13"/>
        <v>1</v>
      </c>
      <c r="W135" s="183">
        <f t="shared" si="14"/>
        <v>0</v>
      </c>
    </row>
    <row r="136" spans="1:23" x14ac:dyDescent="0.3">
      <c r="A136" s="184"/>
      <c r="B136" s="194">
        <v>7</v>
      </c>
      <c r="C136" s="195">
        <v>45818</v>
      </c>
      <c r="D136" s="196" t="s">
        <v>16</v>
      </c>
      <c r="E136" s="222" t="s">
        <v>1072</v>
      </c>
      <c r="F136" s="222">
        <v>17.5</v>
      </c>
      <c r="G136" s="222">
        <v>21.8</v>
      </c>
      <c r="H136" s="274">
        <f>21.8-17.5</f>
        <v>4.3000000000000007</v>
      </c>
      <c r="I136" s="218">
        <v>2500</v>
      </c>
      <c r="J136" s="268">
        <f t="shared" si="15"/>
        <v>10750.000000000002</v>
      </c>
      <c r="K136" s="185"/>
      <c r="V136" s="183">
        <f t="shared" si="13"/>
        <v>1</v>
      </c>
      <c r="W136" s="183">
        <f t="shared" si="14"/>
        <v>0</v>
      </c>
    </row>
    <row r="137" spans="1:23" x14ac:dyDescent="0.3">
      <c r="A137" s="184"/>
      <c r="B137" s="194">
        <v>8</v>
      </c>
      <c r="C137" s="195">
        <v>45819</v>
      </c>
      <c r="D137" s="196" t="s">
        <v>16</v>
      </c>
      <c r="E137" s="222" t="s">
        <v>1047</v>
      </c>
      <c r="F137" s="222">
        <v>16.5</v>
      </c>
      <c r="G137" s="222">
        <v>21</v>
      </c>
      <c r="H137" s="222">
        <f>21-16.5</f>
        <v>4.5</v>
      </c>
      <c r="I137" s="218">
        <v>2500</v>
      </c>
      <c r="J137" s="268">
        <f t="shared" si="15"/>
        <v>11250</v>
      </c>
      <c r="K137" s="185"/>
      <c r="V137" s="183">
        <f t="shared" si="13"/>
        <v>1</v>
      </c>
      <c r="W137" s="183">
        <f t="shared" si="14"/>
        <v>0</v>
      </c>
    </row>
    <row r="138" spans="1:23" x14ac:dyDescent="0.3">
      <c r="A138" s="184"/>
      <c r="B138" s="194">
        <v>9</v>
      </c>
      <c r="C138" s="195">
        <v>45820</v>
      </c>
      <c r="D138" s="196" t="s">
        <v>16</v>
      </c>
      <c r="E138" s="222" t="s">
        <v>1073</v>
      </c>
      <c r="F138" s="222">
        <v>11.5</v>
      </c>
      <c r="G138" s="222">
        <v>14.2</v>
      </c>
      <c r="H138" s="222">
        <f>14.2-11.5</f>
        <v>2.6999999999999993</v>
      </c>
      <c r="I138" s="218">
        <v>2500</v>
      </c>
      <c r="J138" s="268">
        <f t="shared" si="15"/>
        <v>6749.9999999999982</v>
      </c>
      <c r="K138" s="185"/>
      <c r="V138" s="183">
        <f t="shared" si="13"/>
        <v>1</v>
      </c>
      <c r="W138" s="183">
        <f t="shared" si="14"/>
        <v>0</v>
      </c>
    </row>
    <row r="139" spans="1:23" x14ac:dyDescent="0.3">
      <c r="A139" s="184"/>
      <c r="B139" s="194">
        <v>10</v>
      </c>
      <c r="C139" s="195">
        <v>45821</v>
      </c>
      <c r="D139" s="196" t="s">
        <v>16</v>
      </c>
      <c r="E139" s="222" t="s">
        <v>1010</v>
      </c>
      <c r="F139" s="222">
        <v>11</v>
      </c>
      <c r="G139" s="222">
        <v>8</v>
      </c>
      <c r="H139" s="222">
        <v>-3</v>
      </c>
      <c r="I139" s="218">
        <v>2500</v>
      </c>
      <c r="J139" s="268">
        <f t="shared" si="15"/>
        <v>-7500</v>
      </c>
      <c r="K139" s="185"/>
      <c r="V139" s="183">
        <f t="shared" si="13"/>
        <v>0</v>
      </c>
      <c r="W139" s="183">
        <f t="shared" si="14"/>
        <v>1</v>
      </c>
    </row>
    <row r="140" spans="1:23" x14ac:dyDescent="0.3">
      <c r="A140" s="184"/>
      <c r="B140" s="194">
        <v>11</v>
      </c>
      <c r="C140" s="195">
        <v>45824</v>
      </c>
      <c r="D140" s="196" t="s">
        <v>16</v>
      </c>
      <c r="E140" s="222" t="s">
        <v>1015</v>
      </c>
      <c r="F140" s="222">
        <v>13.5</v>
      </c>
      <c r="G140" s="222">
        <v>15.5</v>
      </c>
      <c r="H140" s="274">
        <v>2</v>
      </c>
      <c r="I140" s="218">
        <v>2500</v>
      </c>
      <c r="J140" s="268">
        <f t="shared" si="15"/>
        <v>5000</v>
      </c>
      <c r="K140" s="185"/>
      <c r="V140" s="183">
        <f t="shared" si="13"/>
        <v>1</v>
      </c>
      <c r="W140" s="183">
        <f t="shared" si="14"/>
        <v>0</v>
      </c>
    </row>
    <row r="141" spans="1:23" x14ac:dyDescent="0.3">
      <c r="A141" s="184"/>
      <c r="B141" s="194">
        <v>12</v>
      </c>
      <c r="C141" s="195">
        <v>45825</v>
      </c>
      <c r="D141" s="196" t="s">
        <v>16</v>
      </c>
      <c r="E141" s="222" t="s">
        <v>1042</v>
      </c>
      <c r="F141" s="222">
        <v>14</v>
      </c>
      <c r="G141" s="222">
        <v>17</v>
      </c>
      <c r="H141" s="274">
        <v>3</v>
      </c>
      <c r="I141" s="218">
        <v>2500</v>
      </c>
      <c r="J141" s="268">
        <f t="shared" si="15"/>
        <v>7500</v>
      </c>
      <c r="K141" s="185"/>
      <c r="V141" s="183">
        <f t="shared" si="13"/>
        <v>1</v>
      </c>
      <c r="W141" s="183">
        <f t="shared" si="14"/>
        <v>0</v>
      </c>
    </row>
    <row r="142" spans="1:23" x14ac:dyDescent="0.3">
      <c r="A142" s="184"/>
      <c r="B142" s="194">
        <v>13</v>
      </c>
      <c r="C142" s="195">
        <v>45826</v>
      </c>
      <c r="D142" s="196" t="s">
        <v>16</v>
      </c>
      <c r="E142" s="222" t="s">
        <v>1034</v>
      </c>
      <c r="F142" s="222">
        <v>9.5</v>
      </c>
      <c r="G142" s="222">
        <v>1.5</v>
      </c>
      <c r="H142" s="274">
        <v>1</v>
      </c>
      <c r="I142" s="218">
        <v>2500</v>
      </c>
      <c r="J142" s="268">
        <f t="shared" si="15"/>
        <v>2500</v>
      </c>
      <c r="K142" s="185"/>
      <c r="V142" s="183">
        <f t="shared" si="13"/>
        <v>1</v>
      </c>
      <c r="W142" s="183">
        <f t="shared" si="14"/>
        <v>0</v>
      </c>
    </row>
    <row r="143" spans="1:23" x14ac:dyDescent="0.3">
      <c r="A143" s="184"/>
      <c r="B143" s="194">
        <v>14</v>
      </c>
      <c r="C143" s="195">
        <v>45827</v>
      </c>
      <c r="D143" s="196" t="s">
        <v>16</v>
      </c>
      <c r="E143" s="222" t="s">
        <v>1077</v>
      </c>
      <c r="F143" s="222">
        <v>12.5</v>
      </c>
      <c r="G143" s="222">
        <v>18.5</v>
      </c>
      <c r="H143" s="274">
        <v>6</v>
      </c>
      <c r="I143" s="218">
        <v>2500</v>
      </c>
      <c r="J143" s="268">
        <f t="shared" si="15"/>
        <v>15000</v>
      </c>
      <c r="K143" s="185"/>
      <c r="V143" s="183">
        <f t="shared" si="13"/>
        <v>1</v>
      </c>
      <c r="W143" s="183">
        <f t="shared" si="14"/>
        <v>0</v>
      </c>
    </row>
    <row r="144" spans="1:23" x14ac:dyDescent="0.3">
      <c r="A144" s="184"/>
      <c r="B144" s="194">
        <v>15</v>
      </c>
      <c r="C144" s="195">
        <v>45828</v>
      </c>
      <c r="D144" s="196" t="s">
        <v>16</v>
      </c>
      <c r="E144" s="196" t="s">
        <v>1078</v>
      </c>
      <c r="F144" s="222">
        <v>9</v>
      </c>
      <c r="G144" s="222">
        <v>15</v>
      </c>
      <c r="H144" s="222">
        <v>6</v>
      </c>
      <c r="I144" s="218">
        <v>2500</v>
      </c>
      <c r="J144" s="268">
        <f t="shared" si="15"/>
        <v>15000</v>
      </c>
      <c r="K144" s="185"/>
      <c r="V144" s="183">
        <f t="shared" si="13"/>
        <v>1</v>
      </c>
      <c r="W144" s="183">
        <f t="shared" si="14"/>
        <v>0</v>
      </c>
    </row>
    <row r="145" spans="1:23" x14ac:dyDescent="0.3">
      <c r="A145" s="184"/>
      <c r="B145" s="194">
        <v>16</v>
      </c>
      <c r="C145" s="195">
        <v>45831</v>
      </c>
      <c r="D145" s="196" t="s">
        <v>16</v>
      </c>
      <c r="E145" s="196" t="s">
        <v>1019</v>
      </c>
      <c r="F145" s="222">
        <v>13.5</v>
      </c>
      <c r="G145" s="274">
        <v>19.5</v>
      </c>
      <c r="H145" s="222">
        <v>6</v>
      </c>
      <c r="I145" s="218">
        <v>2500</v>
      </c>
      <c r="J145" s="268">
        <f t="shared" si="15"/>
        <v>15000</v>
      </c>
      <c r="K145" s="185"/>
      <c r="V145" s="183">
        <f t="shared" si="13"/>
        <v>1</v>
      </c>
      <c r="W145" s="183">
        <f t="shared" si="14"/>
        <v>0</v>
      </c>
    </row>
    <row r="146" spans="1:23" x14ac:dyDescent="0.3">
      <c r="A146" s="184"/>
      <c r="B146" s="194">
        <v>17</v>
      </c>
      <c r="C146" s="195">
        <v>45832</v>
      </c>
      <c r="D146" s="196" t="s">
        <v>867</v>
      </c>
      <c r="E146" s="196" t="s">
        <v>1047</v>
      </c>
      <c r="F146" s="222">
        <v>15.5</v>
      </c>
      <c r="G146" s="222">
        <v>18</v>
      </c>
      <c r="H146" s="222">
        <f>18-15.5</f>
        <v>2.5</v>
      </c>
      <c r="I146" s="218">
        <v>2500</v>
      </c>
      <c r="J146" s="268">
        <f t="shared" si="15"/>
        <v>6250</v>
      </c>
      <c r="K146" s="185"/>
      <c r="V146" s="183">
        <f t="shared" si="13"/>
        <v>1</v>
      </c>
      <c r="W146" s="183">
        <f t="shared" si="14"/>
        <v>0</v>
      </c>
    </row>
    <row r="147" spans="1:23" x14ac:dyDescent="0.3">
      <c r="A147" s="184"/>
      <c r="B147" s="194">
        <v>18</v>
      </c>
      <c r="C147" s="195">
        <v>45833</v>
      </c>
      <c r="D147" s="196" t="s">
        <v>16</v>
      </c>
      <c r="E147" s="196" t="s">
        <v>1047</v>
      </c>
      <c r="F147" s="222">
        <v>18.5</v>
      </c>
      <c r="G147" s="222">
        <v>19.5</v>
      </c>
      <c r="H147" s="274">
        <v>1</v>
      </c>
      <c r="I147" s="218">
        <v>2500</v>
      </c>
      <c r="J147" s="268">
        <f t="shared" si="15"/>
        <v>2500</v>
      </c>
      <c r="K147" s="185"/>
      <c r="V147" s="183">
        <f t="shared" si="13"/>
        <v>1</v>
      </c>
      <c r="W147" s="183">
        <f t="shared" si="14"/>
        <v>0</v>
      </c>
    </row>
    <row r="148" spans="1:23" x14ac:dyDescent="0.3">
      <c r="A148" s="184"/>
      <c r="B148" s="194">
        <v>19</v>
      </c>
      <c r="C148" s="195">
        <v>45834</v>
      </c>
      <c r="D148" s="196" t="s">
        <v>16</v>
      </c>
      <c r="E148" s="196" t="s">
        <v>1010</v>
      </c>
      <c r="F148" s="222">
        <v>16</v>
      </c>
      <c r="G148" s="222">
        <v>17.2</v>
      </c>
      <c r="H148" s="274">
        <v>1.2</v>
      </c>
      <c r="I148" s="218">
        <v>2500</v>
      </c>
      <c r="J148" s="268">
        <f t="shared" si="15"/>
        <v>3000</v>
      </c>
      <c r="K148" s="185"/>
      <c r="V148" s="183">
        <f t="shared" si="13"/>
        <v>1</v>
      </c>
      <c r="W148" s="183">
        <f t="shared" si="14"/>
        <v>0</v>
      </c>
    </row>
    <row r="149" spans="1:23" x14ac:dyDescent="0.3">
      <c r="A149" s="184"/>
      <c r="B149" s="194">
        <v>20</v>
      </c>
      <c r="C149" s="195">
        <v>45835</v>
      </c>
      <c r="D149" s="196" t="s">
        <v>16</v>
      </c>
      <c r="E149" s="222" t="s">
        <v>1047</v>
      </c>
      <c r="F149" s="222">
        <v>20</v>
      </c>
      <c r="G149" s="222">
        <v>21</v>
      </c>
      <c r="H149" s="274">
        <v>1</v>
      </c>
      <c r="I149" s="218">
        <v>2500</v>
      </c>
      <c r="J149" s="268">
        <f t="shared" si="15"/>
        <v>2500</v>
      </c>
      <c r="K149" s="185"/>
      <c r="V149" s="183">
        <f t="shared" si="13"/>
        <v>1</v>
      </c>
      <c r="W149" s="183">
        <f t="shared" si="14"/>
        <v>0</v>
      </c>
    </row>
    <row r="150" spans="1:23" ht="15" thickBot="1" x14ac:dyDescent="0.35">
      <c r="A150" s="184"/>
      <c r="B150" s="194">
        <v>21</v>
      </c>
      <c r="C150" s="195">
        <v>45838</v>
      </c>
      <c r="D150" s="196" t="s">
        <v>16</v>
      </c>
      <c r="E150" s="222" t="s">
        <v>1047</v>
      </c>
      <c r="F150" s="222">
        <v>18</v>
      </c>
      <c r="G150" s="222">
        <v>20</v>
      </c>
      <c r="H150" s="274">
        <v>2</v>
      </c>
      <c r="I150" s="218">
        <v>2500</v>
      </c>
      <c r="J150" s="268">
        <f t="shared" si="15"/>
        <v>5000</v>
      </c>
      <c r="K150" s="185"/>
      <c r="V150" s="183">
        <f t="shared" si="13"/>
        <v>1</v>
      </c>
      <c r="W150" s="183">
        <f t="shared" si="14"/>
        <v>0</v>
      </c>
    </row>
    <row r="151" spans="1:23" ht="15" hidden="1" thickBot="1" x14ac:dyDescent="0.35">
      <c r="A151" s="184"/>
      <c r="B151" s="194">
        <v>22</v>
      </c>
      <c r="C151" s="195"/>
      <c r="D151" s="196"/>
      <c r="E151" s="222"/>
      <c r="F151" s="222"/>
      <c r="G151" s="222"/>
      <c r="H151" s="222"/>
      <c r="I151" s="218"/>
      <c r="J151" s="268">
        <f>I151*H151</f>
        <v>0</v>
      </c>
      <c r="K151" s="185"/>
      <c r="V151" s="183">
        <f t="shared" si="13"/>
        <v>0</v>
      </c>
      <c r="W151" s="183">
        <f t="shared" si="14"/>
        <v>0</v>
      </c>
    </row>
    <row r="152" spans="1:23" ht="15" hidden="1" thickBot="1" x14ac:dyDescent="0.35">
      <c r="A152" s="184"/>
      <c r="B152" s="199">
        <v>23</v>
      </c>
      <c r="C152" s="200"/>
      <c r="D152" s="201"/>
      <c r="E152" s="201"/>
      <c r="F152" s="284"/>
      <c r="G152" s="284"/>
      <c r="H152" s="284"/>
      <c r="I152" s="285"/>
      <c r="J152" s="269">
        <f>I152*H152</f>
        <v>0</v>
      </c>
      <c r="K152" s="185"/>
      <c r="V152" s="183">
        <f t="shared" si="13"/>
        <v>0</v>
      </c>
      <c r="W152" s="183">
        <f t="shared" si="14"/>
        <v>0</v>
      </c>
    </row>
    <row r="153" spans="1:23" ht="24" thickBot="1" x14ac:dyDescent="0.5">
      <c r="A153" s="184"/>
      <c r="B153" s="304" t="s">
        <v>879</v>
      </c>
      <c r="C153" s="305"/>
      <c r="D153" s="305"/>
      <c r="E153" s="305"/>
      <c r="F153" s="305"/>
      <c r="G153" s="305"/>
      <c r="H153" s="306"/>
      <c r="I153" s="203" t="s">
        <v>880</v>
      </c>
      <c r="J153" s="204">
        <f>SUM(J130:J152)</f>
        <v>135750</v>
      </c>
      <c r="K153" s="185"/>
      <c r="V153" s="183">
        <f>SUM(V130:V152)</f>
        <v>19</v>
      </c>
      <c r="W153" s="183">
        <f>SUM(W130:W152)</f>
        <v>2</v>
      </c>
    </row>
    <row r="154" spans="1:23" ht="15" thickBot="1" x14ac:dyDescent="0.35">
      <c r="A154" s="205"/>
      <c r="B154" s="286"/>
      <c r="C154" s="286"/>
      <c r="D154" s="286"/>
      <c r="E154" s="286"/>
      <c r="F154" s="286"/>
      <c r="G154" s="286"/>
      <c r="H154" s="287"/>
      <c r="I154" s="286"/>
      <c r="J154" s="287"/>
      <c r="K154" s="207"/>
    </row>
    <row r="155" spans="1:23" ht="15" thickBot="1" x14ac:dyDescent="0.35"/>
    <row r="156" spans="1:23" ht="15" thickBot="1" x14ac:dyDescent="0.35">
      <c r="A156" s="180"/>
      <c r="B156" s="181"/>
      <c r="C156" s="181"/>
      <c r="D156" s="181"/>
      <c r="E156" s="181"/>
      <c r="F156" s="181"/>
      <c r="G156" s="181"/>
      <c r="H156" s="259"/>
      <c r="I156" s="181"/>
      <c r="J156" s="259"/>
      <c r="K156" s="182"/>
    </row>
    <row r="157" spans="1:23" ht="25.2" thickBot="1" x14ac:dyDescent="0.35">
      <c r="A157" s="184" t="s">
        <v>0</v>
      </c>
      <c r="B157" s="307" t="s">
        <v>873</v>
      </c>
      <c r="C157" s="308"/>
      <c r="D157" s="308"/>
      <c r="E157" s="308"/>
      <c r="F157" s="308"/>
      <c r="G157" s="308"/>
      <c r="H157" s="308"/>
      <c r="I157" s="308"/>
      <c r="J157" s="309"/>
      <c r="K157" s="185"/>
    </row>
    <row r="158" spans="1:23" ht="16.2" thickBot="1" x14ac:dyDescent="0.35">
      <c r="A158" s="184"/>
      <c r="B158" s="310">
        <v>45809</v>
      </c>
      <c r="C158" s="311"/>
      <c r="D158" s="311"/>
      <c r="E158" s="311"/>
      <c r="F158" s="311"/>
      <c r="G158" s="311"/>
      <c r="H158" s="311"/>
      <c r="I158" s="311"/>
      <c r="J158" s="312"/>
      <c r="K158" s="185"/>
    </row>
    <row r="159" spans="1:23" ht="16.2" thickBot="1" x14ac:dyDescent="0.35">
      <c r="A159" s="184"/>
      <c r="B159" s="313" t="s">
        <v>996</v>
      </c>
      <c r="C159" s="314"/>
      <c r="D159" s="314"/>
      <c r="E159" s="314"/>
      <c r="F159" s="314"/>
      <c r="G159" s="314"/>
      <c r="H159" s="314"/>
      <c r="I159" s="314"/>
      <c r="J159" s="315"/>
      <c r="K159" s="185"/>
    </row>
    <row r="160" spans="1:23" ht="15" thickBot="1" x14ac:dyDescent="0.35">
      <c r="A160" s="208"/>
      <c r="B160" s="186" t="s">
        <v>876</v>
      </c>
      <c r="C160" s="187" t="s">
        <v>1</v>
      </c>
      <c r="D160" s="188" t="s">
        <v>2</v>
      </c>
      <c r="E160" s="188" t="s">
        <v>3</v>
      </c>
      <c r="F160" s="189" t="s">
        <v>4</v>
      </c>
      <c r="G160" s="189" t="s">
        <v>5</v>
      </c>
      <c r="H160" s="260" t="s">
        <v>720</v>
      </c>
      <c r="I160" s="189" t="s">
        <v>1017</v>
      </c>
      <c r="J160" s="266" t="s">
        <v>7</v>
      </c>
      <c r="K160" s="209"/>
    </row>
    <row r="161" spans="1:23" x14ac:dyDescent="0.3">
      <c r="A161" s="184"/>
      <c r="B161" s="214">
        <v>1</v>
      </c>
      <c r="C161" s="215">
        <v>45810</v>
      </c>
      <c r="D161" s="216" t="s">
        <v>23</v>
      </c>
      <c r="E161" s="256" t="s">
        <v>28</v>
      </c>
      <c r="F161" s="256">
        <v>253</v>
      </c>
      <c r="G161" s="256">
        <v>252.5</v>
      </c>
      <c r="H161" s="256">
        <f>253-252.5</f>
        <v>0.5</v>
      </c>
      <c r="I161" s="218">
        <v>5000</v>
      </c>
      <c r="J161" s="273">
        <f>I161*H161</f>
        <v>2500</v>
      </c>
      <c r="K161" s="185"/>
      <c r="V161" s="183">
        <f t="shared" ref="V161:V183" si="16">IF($J161&gt;0,1,0)</f>
        <v>1</v>
      </c>
      <c r="W161" s="183">
        <f t="shared" ref="W161:W183" si="17">IF($J161&lt;0,1,0)</f>
        <v>0</v>
      </c>
    </row>
    <row r="162" spans="1:23" x14ac:dyDescent="0.3">
      <c r="A162" s="184"/>
      <c r="B162" s="194">
        <v>2</v>
      </c>
      <c r="C162" s="195">
        <v>45811</v>
      </c>
      <c r="D162" s="196" t="s">
        <v>23</v>
      </c>
      <c r="E162" s="222" t="s">
        <v>28</v>
      </c>
      <c r="F162" s="222">
        <v>254.2</v>
      </c>
      <c r="G162" s="222">
        <v>253.8</v>
      </c>
      <c r="H162" s="222">
        <f>254.2-253.8</f>
        <v>0.39999999999997726</v>
      </c>
      <c r="I162" s="218">
        <v>5000</v>
      </c>
      <c r="J162" s="268">
        <f t="shared" ref="J162:J181" si="18">I162*H162</f>
        <v>1999.9999999998863</v>
      </c>
      <c r="K162" s="185"/>
      <c r="V162" s="183">
        <f t="shared" si="16"/>
        <v>1</v>
      </c>
      <c r="W162" s="183">
        <f t="shared" si="17"/>
        <v>0</v>
      </c>
    </row>
    <row r="163" spans="1:23" x14ac:dyDescent="0.3">
      <c r="A163" s="184"/>
      <c r="B163" s="194">
        <v>3</v>
      </c>
      <c r="C163" s="195">
        <v>45812</v>
      </c>
      <c r="D163" s="196" t="s">
        <v>23</v>
      </c>
      <c r="E163" s="222" t="s">
        <v>28</v>
      </c>
      <c r="F163" s="222">
        <v>257.3</v>
      </c>
      <c r="G163" s="222">
        <v>255.9</v>
      </c>
      <c r="H163" s="222">
        <f>257.3-255.9</f>
        <v>1.4000000000000057</v>
      </c>
      <c r="I163" s="218">
        <v>5000</v>
      </c>
      <c r="J163" s="268">
        <f t="shared" si="18"/>
        <v>7000.0000000000282</v>
      </c>
      <c r="K163" s="185"/>
      <c r="V163" s="183">
        <f t="shared" si="16"/>
        <v>1</v>
      </c>
      <c r="W163" s="183">
        <f t="shared" si="17"/>
        <v>0</v>
      </c>
    </row>
    <row r="164" spans="1:23" x14ac:dyDescent="0.3">
      <c r="A164" s="184"/>
      <c r="B164" s="194">
        <v>4</v>
      </c>
      <c r="C164" s="195">
        <v>45813</v>
      </c>
      <c r="D164" s="196" t="s">
        <v>23</v>
      </c>
      <c r="E164" s="222" t="s">
        <v>28</v>
      </c>
      <c r="F164" s="222">
        <v>254.7</v>
      </c>
      <c r="G164" s="222">
        <v>255.7</v>
      </c>
      <c r="H164" s="222">
        <v>-1</v>
      </c>
      <c r="I164" s="218">
        <v>5000</v>
      </c>
      <c r="J164" s="268">
        <f t="shared" si="18"/>
        <v>-5000</v>
      </c>
      <c r="K164" s="185"/>
      <c r="V164" s="183">
        <f t="shared" si="16"/>
        <v>0</v>
      </c>
      <c r="W164" s="183">
        <f t="shared" si="17"/>
        <v>1</v>
      </c>
    </row>
    <row r="165" spans="1:23" x14ac:dyDescent="0.3">
      <c r="A165" s="184"/>
      <c r="B165" s="194">
        <v>5</v>
      </c>
      <c r="C165" s="195">
        <v>45814</v>
      </c>
      <c r="D165" s="196" t="s">
        <v>23</v>
      </c>
      <c r="E165" s="222" t="s">
        <v>28</v>
      </c>
      <c r="F165" s="222">
        <v>254.3</v>
      </c>
      <c r="G165" s="222">
        <v>252.95</v>
      </c>
      <c r="H165" s="222">
        <f>254.3-252.95</f>
        <v>1.3500000000000227</v>
      </c>
      <c r="I165" s="218">
        <v>5000</v>
      </c>
      <c r="J165" s="268">
        <f t="shared" si="18"/>
        <v>6750.0000000001137</v>
      </c>
      <c r="K165" s="185"/>
      <c r="V165" s="183">
        <f t="shared" si="16"/>
        <v>1</v>
      </c>
      <c r="W165" s="183">
        <f t="shared" si="17"/>
        <v>0</v>
      </c>
    </row>
    <row r="166" spans="1:23" x14ac:dyDescent="0.3">
      <c r="A166" s="184"/>
      <c r="B166" s="194">
        <v>6</v>
      </c>
      <c r="C166" s="195">
        <v>45817</v>
      </c>
      <c r="D166" s="196" t="s">
        <v>23</v>
      </c>
      <c r="E166" s="222" t="s">
        <v>28</v>
      </c>
      <c r="F166" s="222">
        <v>252.6</v>
      </c>
      <c r="G166" s="222">
        <v>251.6</v>
      </c>
      <c r="H166" s="222">
        <v>1</v>
      </c>
      <c r="I166" s="218">
        <v>5000</v>
      </c>
      <c r="J166" s="268">
        <f t="shared" si="18"/>
        <v>5000</v>
      </c>
      <c r="K166" s="185"/>
      <c r="V166" s="183">
        <f t="shared" si="16"/>
        <v>1</v>
      </c>
      <c r="W166" s="183">
        <f t="shared" si="17"/>
        <v>0</v>
      </c>
    </row>
    <row r="167" spans="1:23" x14ac:dyDescent="0.3">
      <c r="A167" s="184"/>
      <c r="B167" s="194">
        <v>7</v>
      </c>
      <c r="C167" s="195">
        <v>45818</v>
      </c>
      <c r="D167" s="196" t="s">
        <v>23</v>
      </c>
      <c r="E167" s="222" t="s">
        <v>28</v>
      </c>
      <c r="F167" s="222">
        <v>252.4</v>
      </c>
      <c r="G167" s="222">
        <v>251.4</v>
      </c>
      <c r="H167" s="274">
        <f>252.4-251.4</f>
        <v>1</v>
      </c>
      <c r="I167" s="218">
        <v>5000</v>
      </c>
      <c r="J167" s="268">
        <f t="shared" si="18"/>
        <v>5000</v>
      </c>
      <c r="K167" s="185"/>
      <c r="V167" s="183">
        <f t="shared" si="16"/>
        <v>1</v>
      </c>
      <c r="W167" s="183">
        <f t="shared" si="17"/>
        <v>0</v>
      </c>
    </row>
    <row r="168" spans="1:23" x14ac:dyDescent="0.3">
      <c r="A168" s="184"/>
      <c r="B168" s="194">
        <v>8</v>
      </c>
      <c r="C168" s="195">
        <v>45819</v>
      </c>
      <c r="D168" s="196" t="s">
        <v>23</v>
      </c>
      <c r="E168" s="222" t="s">
        <v>28</v>
      </c>
      <c r="F168" s="222">
        <v>254</v>
      </c>
      <c r="G168" s="222">
        <v>252.5</v>
      </c>
      <c r="H168" s="222">
        <f>254-252.5</f>
        <v>1.5</v>
      </c>
      <c r="I168" s="218">
        <v>5000</v>
      </c>
      <c r="J168" s="268">
        <f t="shared" si="18"/>
        <v>7500</v>
      </c>
      <c r="K168" s="185"/>
      <c r="V168" s="183">
        <f t="shared" si="16"/>
        <v>1</v>
      </c>
      <c r="W168" s="183">
        <f t="shared" si="17"/>
        <v>0</v>
      </c>
    </row>
    <row r="169" spans="1:23" x14ac:dyDescent="0.3">
      <c r="A169" s="184"/>
      <c r="B169" s="194">
        <v>9</v>
      </c>
      <c r="C169" s="195">
        <v>45820</v>
      </c>
      <c r="D169" s="196" t="s">
        <v>23</v>
      </c>
      <c r="E169" s="222" t="s">
        <v>28</v>
      </c>
      <c r="F169" s="222">
        <v>252.5</v>
      </c>
      <c r="G169" s="222">
        <v>251.3</v>
      </c>
      <c r="H169" s="222">
        <f>252.5-251.3</f>
        <v>1.1999999999999886</v>
      </c>
      <c r="I169" s="218">
        <v>5000</v>
      </c>
      <c r="J169" s="268">
        <f t="shared" si="18"/>
        <v>5999.9999999999436</v>
      </c>
      <c r="K169" s="185"/>
      <c r="V169" s="183">
        <f t="shared" si="16"/>
        <v>1</v>
      </c>
      <c r="W169" s="183">
        <f t="shared" si="17"/>
        <v>0</v>
      </c>
    </row>
    <row r="170" spans="1:23" x14ac:dyDescent="0.3">
      <c r="A170" s="184"/>
      <c r="B170" s="194">
        <v>10</v>
      </c>
      <c r="C170" s="195">
        <v>45821</v>
      </c>
      <c r="D170" s="196" t="s">
        <v>23</v>
      </c>
      <c r="E170" s="222" t="s">
        <v>28</v>
      </c>
      <c r="F170" s="222">
        <v>250</v>
      </c>
      <c r="G170" s="222">
        <v>248.05</v>
      </c>
      <c r="H170" s="222">
        <f>250-248.5</f>
        <v>1.5</v>
      </c>
      <c r="I170" s="218">
        <v>5000</v>
      </c>
      <c r="J170" s="268">
        <f t="shared" si="18"/>
        <v>7500</v>
      </c>
      <c r="K170" s="185"/>
      <c r="V170" s="183">
        <f t="shared" si="16"/>
        <v>1</v>
      </c>
      <c r="W170" s="183">
        <f t="shared" si="17"/>
        <v>0</v>
      </c>
    </row>
    <row r="171" spans="1:23" x14ac:dyDescent="0.3">
      <c r="A171" s="184"/>
      <c r="B171" s="194">
        <v>11</v>
      </c>
      <c r="C171" s="195">
        <v>45824</v>
      </c>
      <c r="D171" s="196" t="s">
        <v>16</v>
      </c>
      <c r="E171" s="222" t="s">
        <v>28</v>
      </c>
      <c r="F171" s="222">
        <v>252.5</v>
      </c>
      <c r="G171" s="222">
        <v>252.95</v>
      </c>
      <c r="H171" s="274">
        <f>252.95-252.5</f>
        <v>0.44999999999998863</v>
      </c>
      <c r="I171" s="218">
        <v>5000</v>
      </c>
      <c r="J171" s="268">
        <f t="shared" si="18"/>
        <v>2249.9999999999432</v>
      </c>
      <c r="K171" s="185"/>
      <c r="V171" s="183">
        <f t="shared" si="16"/>
        <v>1</v>
      </c>
      <c r="W171" s="183">
        <f t="shared" si="17"/>
        <v>0</v>
      </c>
    </row>
    <row r="172" spans="1:23" x14ac:dyDescent="0.3">
      <c r="A172" s="184"/>
      <c r="B172" s="194">
        <v>12</v>
      </c>
      <c r="C172" s="195">
        <v>45825</v>
      </c>
      <c r="D172" s="196" t="s">
        <v>16</v>
      </c>
      <c r="E172" s="222" t="s">
        <v>28</v>
      </c>
      <c r="F172" s="222">
        <v>252.5</v>
      </c>
      <c r="G172" s="222">
        <v>251.5</v>
      </c>
      <c r="H172" s="274">
        <v>-1</v>
      </c>
      <c r="I172" s="218">
        <v>5000</v>
      </c>
      <c r="J172" s="268">
        <f t="shared" si="18"/>
        <v>-5000</v>
      </c>
      <c r="K172" s="185"/>
      <c r="V172" s="183">
        <f t="shared" si="16"/>
        <v>0</v>
      </c>
      <c r="W172" s="183">
        <f t="shared" si="17"/>
        <v>1</v>
      </c>
    </row>
    <row r="173" spans="1:23" x14ac:dyDescent="0.3">
      <c r="A173" s="184"/>
      <c r="B173" s="194">
        <v>13</v>
      </c>
      <c r="C173" s="195">
        <v>45826</v>
      </c>
      <c r="D173" s="196" t="s">
        <v>23</v>
      </c>
      <c r="E173" s="222" t="s">
        <v>28</v>
      </c>
      <c r="F173" s="222">
        <v>252.4</v>
      </c>
      <c r="G173" s="222">
        <v>253.4</v>
      </c>
      <c r="H173" s="274">
        <v>-1</v>
      </c>
      <c r="I173" s="218">
        <v>5000</v>
      </c>
      <c r="J173" s="268">
        <f t="shared" si="18"/>
        <v>-5000</v>
      </c>
      <c r="K173" s="185"/>
      <c r="V173" s="183">
        <f t="shared" si="16"/>
        <v>0</v>
      </c>
      <c r="W173" s="183">
        <f t="shared" si="17"/>
        <v>1</v>
      </c>
    </row>
    <row r="174" spans="1:23" x14ac:dyDescent="0.3">
      <c r="A174" s="184"/>
      <c r="B174" s="194">
        <v>14</v>
      </c>
      <c r="C174" s="195">
        <v>45827</v>
      </c>
      <c r="D174" s="196" t="s">
        <v>16</v>
      </c>
      <c r="E174" s="222" t="s">
        <v>28</v>
      </c>
      <c r="F174" s="222">
        <v>252.5</v>
      </c>
      <c r="G174" s="222">
        <v>253.9</v>
      </c>
      <c r="H174" s="274">
        <f>253.9-252.5</f>
        <v>1.4000000000000057</v>
      </c>
      <c r="I174" s="218">
        <v>5000</v>
      </c>
      <c r="J174" s="268">
        <f t="shared" si="18"/>
        <v>7000.0000000000282</v>
      </c>
      <c r="K174" s="185"/>
      <c r="V174" s="183">
        <f t="shared" si="16"/>
        <v>1</v>
      </c>
      <c r="W174" s="183">
        <f t="shared" si="17"/>
        <v>0</v>
      </c>
    </row>
    <row r="175" spans="1:23" x14ac:dyDescent="0.3">
      <c r="A175" s="184"/>
      <c r="B175" s="194">
        <v>15</v>
      </c>
      <c r="C175" s="195">
        <v>45828</v>
      </c>
      <c r="D175" s="196" t="s">
        <v>23</v>
      </c>
      <c r="E175" s="196" t="s">
        <v>28</v>
      </c>
      <c r="F175" s="222">
        <v>253.2</v>
      </c>
      <c r="G175" s="222">
        <v>252.3</v>
      </c>
      <c r="H175" s="222">
        <v>1</v>
      </c>
      <c r="I175" s="218">
        <v>5000</v>
      </c>
      <c r="J175" s="268">
        <f t="shared" si="18"/>
        <v>5000</v>
      </c>
      <c r="K175" s="185"/>
      <c r="V175" s="183">
        <f t="shared" si="16"/>
        <v>1</v>
      </c>
      <c r="W175" s="183">
        <f t="shared" si="17"/>
        <v>0</v>
      </c>
    </row>
    <row r="176" spans="1:23" x14ac:dyDescent="0.3">
      <c r="A176" s="184"/>
      <c r="B176" s="194">
        <v>16</v>
      </c>
      <c r="C176" s="195">
        <v>45831</v>
      </c>
      <c r="D176" s="196" t="s">
        <v>23</v>
      </c>
      <c r="E176" s="196" t="s">
        <v>28</v>
      </c>
      <c r="F176" s="222">
        <v>254.4</v>
      </c>
      <c r="G176" s="274">
        <v>255.4</v>
      </c>
      <c r="H176" s="274">
        <v>-1</v>
      </c>
      <c r="I176" s="218">
        <v>5000</v>
      </c>
      <c r="J176" s="268">
        <f t="shared" si="18"/>
        <v>-5000</v>
      </c>
      <c r="K176" s="185"/>
      <c r="V176" s="183">
        <f t="shared" si="16"/>
        <v>0</v>
      </c>
      <c r="W176" s="183">
        <f t="shared" si="17"/>
        <v>1</v>
      </c>
    </row>
    <row r="177" spans="1:23" x14ac:dyDescent="0.3">
      <c r="A177" s="184"/>
      <c r="B177" s="194">
        <v>17</v>
      </c>
      <c r="C177" s="195">
        <v>45832</v>
      </c>
      <c r="D177" s="196" t="s">
        <v>23</v>
      </c>
      <c r="E177" s="196" t="s">
        <v>28</v>
      </c>
      <c r="F177" s="222">
        <v>255.2</v>
      </c>
      <c r="G177" s="222">
        <v>253.2</v>
      </c>
      <c r="H177" s="274">
        <v>2</v>
      </c>
      <c r="I177" s="218">
        <v>5000</v>
      </c>
      <c r="J177" s="268">
        <f t="shared" si="18"/>
        <v>10000</v>
      </c>
      <c r="K177" s="185"/>
      <c r="V177" s="183">
        <f t="shared" si="16"/>
        <v>1</v>
      </c>
      <c r="W177" s="183">
        <f t="shared" si="17"/>
        <v>0</v>
      </c>
    </row>
    <row r="178" spans="1:23" x14ac:dyDescent="0.3">
      <c r="A178" s="184"/>
      <c r="B178" s="194">
        <v>18</v>
      </c>
      <c r="C178" s="195">
        <v>45833</v>
      </c>
      <c r="D178" s="196" t="s">
        <v>23</v>
      </c>
      <c r="E178" s="196" t="s">
        <v>28</v>
      </c>
      <c r="F178" s="222">
        <v>255</v>
      </c>
      <c r="G178" s="222">
        <v>254.2</v>
      </c>
      <c r="H178" s="274">
        <f>255-254.2</f>
        <v>0.80000000000001137</v>
      </c>
      <c r="I178" s="218">
        <v>5000</v>
      </c>
      <c r="J178" s="268">
        <f t="shared" si="18"/>
        <v>4000.0000000000568</v>
      </c>
      <c r="K178" s="185"/>
      <c r="V178" s="183">
        <f t="shared" si="16"/>
        <v>1</v>
      </c>
      <c r="W178" s="183">
        <f t="shared" si="17"/>
        <v>0</v>
      </c>
    </row>
    <row r="179" spans="1:23" x14ac:dyDescent="0.3">
      <c r="A179" s="184"/>
      <c r="B179" s="194">
        <v>19</v>
      </c>
      <c r="C179" s="195">
        <v>45834</v>
      </c>
      <c r="D179" s="196" t="s">
        <v>16</v>
      </c>
      <c r="E179" s="196" t="s">
        <v>28</v>
      </c>
      <c r="F179" s="222">
        <v>256.2</v>
      </c>
      <c r="G179" s="222">
        <v>257.2</v>
      </c>
      <c r="H179" s="274">
        <v>1</v>
      </c>
      <c r="I179" s="218">
        <v>5000</v>
      </c>
      <c r="J179" s="268">
        <f t="shared" si="18"/>
        <v>5000</v>
      </c>
      <c r="K179" s="185"/>
      <c r="V179" s="183">
        <f t="shared" si="16"/>
        <v>1</v>
      </c>
      <c r="W179" s="183">
        <f t="shared" si="17"/>
        <v>0</v>
      </c>
    </row>
    <row r="180" spans="1:23" x14ac:dyDescent="0.3">
      <c r="A180" s="184"/>
      <c r="B180" s="194">
        <v>20</v>
      </c>
      <c r="C180" s="195">
        <v>45835</v>
      </c>
      <c r="D180" s="196" t="s">
        <v>23</v>
      </c>
      <c r="E180" s="222" t="s">
        <v>28</v>
      </c>
      <c r="F180" s="222">
        <v>258.39999999999998</v>
      </c>
      <c r="G180" s="222">
        <v>257.8</v>
      </c>
      <c r="H180" s="274">
        <f>258.4-257.8</f>
        <v>0.59999999999996589</v>
      </c>
      <c r="I180" s="218">
        <v>5000</v>
      </c>
      <c r="J180" s="268">
        <f t="shared" si="18"/>
        <v>2999.9999999998295</v>
      </c>
      <c r="K180" s="185"/>
      <c r="V180" s="183">
        <f t="shared" si="16"/>
        <v>1</v>
      </c>
      <c r="W180" s="183">
        <f t="shared" si="17"/>
        <v>0</v>
      </c>
    </row>
    <row r="181" spans="1:23" ht="15" thickBot="1" x14ac:dyDescent="0.35">
      <c r="A181" s="184"/>
      <c r="B181" s="194">
        <v>21</v>
      </c>
      <c r="C181" s="195">
        <v>45838</v>
      </c>
      <c r="D181" s="196" t="s">
        <v>23</v>
      </c>
      <c r="E181" s="222" t="s">
        <v>28</v>
      </c>
      <c r="F181" s="222">
        <v>259.8</v>
      </c>
      <c r="G181" s="222">
        <v>259.02999999999997</v>
      </c>
      <c r="H181" s="274">
        <v>0.3</v>
      </c>
      <c r="I181" s="218">
        <v>5000</v>
      </c>
      <c r="J181" s="268">
        <f t="shared" si="18"/>
        <v>1500</v>
      </c>
      <c r="K181" s="185"/>
      <c r="V181" s="183">
        <f t="shared" si="16"/>
        <v>1</v>
      </c>
      <c r="W181" s="183">
        <f t="shared" si="17"/>
        <v>0</v>
      </c>
    </row>
    <row r="182" spans="1:23" ht="15" hidden="1" thickBot="1" x14ac:dyDescent="0.35">
      <c r="A182" s="184"/>
      <c r="B182" s="194">
        <v>22</v>
      </c>
      <c r="C182" s="195"/>
      <c r="D182" s="196"/>
      <c r="E182" s="222"/>
      <c r="F182" s="222"/>
      <c r="G182" s="222"/>
      <c r="H182" s="222"/>
      <c r="I182" s="218"/>
      <c r="J182" s="268">
        <f>I182*H182</f>
        <v>0</v>
      </c>
      <c r="K182" s="185"/>
      <c r="V182" s="183">
        <f t="shared" si="16"/>
        <v>0</v>
      </c>
      <c r="W182" s="183">
        <f t="shared" si="17"/>
        <v>0</v>
      </c>
    </row>
    <row r="183" spans="1:23" ht="15" hidden="1" thickBot="1" x14ac:dyDescent="0.35">
      <c r="A183" s="184"/>
      <c r="B183" s="199">
        <v>23</v>
      </c>
      <c r="C183" s="200"/>
      <c r="D183" s="201"/>
      <c r="E183" s="201"/>
      <c r="F183" s="284"/>
      <c r="G183" s="284"/>
      <c r="H183" s="284"/>
      <c r="I183" s="285"/>
      <c r="J183" s="269">
        <f>I183*H183</f>
        <v>0</v>
      </c>
      <c r="K183" s="185"/>
      <c r="V183" s="183">
        <f t="shared" si="16"/>
        <v>0</v>
      </c>
      <c r="W183" s="183">
        <f t="shared" si="17"/>
        <v>0</v>
      </c>
    </row>
    <row r="184" spans="1:23" ht="24" thickBot="1" x14ac:dyDescent="0.5">
      <c r="A184" s="184"/>
      <c r="B184" s="304" t="s">
        <v>879</v>
      </c>
      <c r="C184" s="305"/>
      <c r="D184" s="305"/>
      <c r="E184" s="305"/>
      <c r="F184" s="305"/>
      <c r="G184" s="305"/>
      <c r="H184" s="306"/>
      <c r="I184" s="203" t="s">
        <v>880</v>
      </c>
      <c r="J184" s="204">
        <f>SUM(J161:J183)</f>
        <v>66999.999999999825</v>
      </c>
      <c r="K184" s="185"/>
      <c r="V184" s="183">
        <f>SUM(V161:V183)</f>
        <v>17</v>
      </c>
      <c r="W184" s="183">
        <f>SUM(W161:W183)</f>
        <v>4</v>
      </c>
    </row>
    <row r="185" spans="1:23" ht="15" thickBot="1" x14ac:dyDescent="0.35">
      <c r="A185" s="205"/>
      <c r="B185" s="286"/>
      <c r="C185" s="286"/>
      <c r="D185" s="286"/>
      <c r="E185" s="286"/>
      <c r="F185" s="286"/>
      <c r="G185" s="286"/>
      <c r="H185" s="287"/>
      <c r="I185" s="286"/>
      <c r="J185" s="287"/>
      <c r="K185" s="207"/>
    </row>
  </sheetData>
  <mergeCells count="7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N14:N15"/>
    <mergeCell ref="O14:O15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12:R13"/>
    <mergeCell ref="M10:M11"/>
    <mergeCell ref="N10:N11"/>
    <mergeCell ref="O10:O11"/>
    <mergeCell ref="P10:P11"/>
    <mergeCell ref="Q10:Q11"/>
    <mergeCell ref="R10:R11"/>
    <mergeCell ref="M12:M13"/>
    <mergeCell ref="N12:N13"/>
    <mergeCell ref="O12:O13"/>
    <mergeCell ref="P12:P13"/>
    <mergeCell ref="Q12:Q13"/>
    <mergeCell ref="P14:P15"/>
    <mergeCell ref="Q14:Q15"/>
    <mergeCell ref="B35:J35"/>
    <mergeCell ref="M16:M17"/>
    <mergeCell ref="N16:N17"/>
    <mergeCell ref="O16:O17"/>
    <mergeCell ref="P16:P17"/>
    <mergeCell ref="M18:O20"/>
    <mergeCell ref="P18:R20"/>
    <mergeCell ref="B29:H29"/>
    <mergeCell ref="B33:J33"/>
    <mergeCell ref="B34:J34"/>
    <mergeCell ref="Q16:Q17"/>
    <mergeCell ref="R16:R17"/>
    <mergeCell ref="R14:R15"/>
    <mergeCell ref="M14:M15"/>
    <mergeCell ref="B128:J128"/>
    <mergeCell ref="B60:H60"/>
    <mergeCell ref="B64:J64"/>
    <mergeCell ref="B65:J65"/>
    <mergeCell ref="B66:J66"/>
    <mergeCell ref="B91:H91"/>
    <mergeCell ref="B95:J95"/>
    <mergeCell ref="B96:J96"/>
    <mergeCell ref="B97:J97"/>
    <mergeCell ref="B122:H122"/>
    <mergeCell ref="B126:J126"/>
    <mergeCell ref="B127:J127"/>
    <mergeCell ref="B153:H153"/>
    <mergeCell ref="B157:J157"/>
    <mergeCell ref="B158:J158"/>
    <mergeCell ref="B159:J159"/>
    <mergeCell ref="B184:H184"/>
  </mergeCells>
  <hyperlinks>
    <hyperlink ref="B29" r:id="rId1" xr:uid="{A275F1FA-99A7-480B-AEF6-BAB9746AB473}"/>
    <hyperlink ref="B60" r:id="rId2" xr:uid="{48A8D3DB-620A-4BFA-A606-3C03088312C6}"/>
    <hyperlink ref="M4:M5" location="'MAY 2025'!A1" display="GOLDM OPTION" xr:uid="{32E58D6D-7D41-452E-95D9-5C4EEBBD2A8B}"/>
    <hyperlink ref="B91" r:id="rId3" xr:uid="{127DF67E-D159-4AAC-B9EF-610341D9E635}"/>
    <hyperlink ref="M8:M9" location="'MAY 2025'!A75" display="CRUDEOIL" xr:uid="{9B89D6A4-A8CD-492F-B20B-CC673D36D12D}"/>
    <hyperlink ref="M1" location="MASTER!A1" display="Back" xr:uid="{DED22A4C-6E95-4DA8-BCA3-0891CA7657E2}"/>
    <hyperlink ref="M6:M7" location="'MAY 2025'!A33" display="SILVERM OPTION" xr:uid="{0AE31E32-09DD-4586-84AB-F90B73156C77}"/>
    <hyperlink ref="B122" r:id="rId4" xr:uid="{4944C988-EF4D-45AC-9471-6B3F4E135C15}"/>
    <hyperlink ref="M10:M11" location="'MAY 2025'!A110" display="CRUDEOIL OPTION" xr:uid="{6AF15101-3E29-4291-84E8-0B038274438B}"/>
    <hyperlink ref="B153" r:id="rId5" xr:uid="{0B910913-DEE7-4E76-A59D-7023CE316C3B}"/>
    <hyperlink ref="B184" r:id="rId6" xr:uid="{44C20191-EF28-4787-9459-9B7BCFB0AE54}"/>
    <hyperlink ref="M12:M13" location="'MAY 2025'!A140" display="NATURALGAS OPTION" xr:uid="{35C70615-86A6-408E-BB6A-4DC046D533B2}"/>
    <hyperlink ref="M14:M15" location="'MAY 2025'!A170" display="BASE METAL" xr:uid="{06296BAE-86BA-4A2E-A7A6-465964E7AD71}"/>
  </hyperlinks>
  <pageMargins left="0" right="0" top="0" bottom="0" header="0" footer="0"/>
  <pageSetup paperSize="9" orientation="portrait" r:id="rId7"/>
  <drawing r:id="rId8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FBBDA-8A73-425D-9346-13A7261B2DC8}">
  <dimension ref="A1:X185"/>
  <sheetViews>
    <sheetView tabSelected="1" zoomScaleNormal="100" workbookViewId="0">
      <selection activeCell="N169" sqref="N16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8.44140625" style="183" customWidth="1"/>
    <col min="6" max="6" width="13" style="183" customWidth="1"/>
    <col min="7" max="7" width="11.6640625" style="183" customWidth="1"/>
    <col min="8" max="8" width="10.886718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6" style="183" customWidth="1"/>
    <col min="14" max="14" width="11" style="183" customWidth="1"/>
    <col min="15" max="17" width="9.109375" style="183"/>
    <col min="18" max="18" width="10.6640625" style="183" bestFit="1" customWidth="1"/>
    <col min="19" max="20" width="9.109375" style="183" customWidth="1"/>
    <col min="21" max="21" width="9.109375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25" width="9.109375" style="183" customWidth="1"/>
    <col min="26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45839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950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960</v>
      </c>
      <c r="N4" s="354">
        <f>COUNT(C6:C28)</f>
        <v>23</v>
      </c>
      <c r="O4" s="369">
        <f>V29</f>
        <v>17</v>
      </c>
      <c r="P4" s="369">
        <f>W29</f>
        <v>6</v>
      </c>
      <c r="Q4" s="349">
        <f>N4-O4-P4</f>
        <v>0</v>
      </c>
      <c r="R4" s="343">
        <f>O4/N4</f>
        <v>0.73913043478260865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1017</v>
      </c>
      <c r="J5" s="266" t="s">
        <v>7</v>
      </c>
      <c r="K5" s="185"/>
      <c r="M5" s="362"/>
      <c r="N5" s="347"/>
      <c r="O5" s="370"/>
      <c r="P5" s="370"/>
      <c r="Q5" s="350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45839</v>
      </c>
      <c r="D6" s="192" t="s">
        <v>16</v>
      </c>
      <c r="E6" s="192" t="s">
        <v>1030</v>
      </c>
      <c r="F6" s="193">
        <v>1570</v>
      </c>
      <c r="G6" s="193">
        <v>1770</v>
      </c>
      <c r="H6" s="192">
        <v>200</v>
      </c>
      <c r="I6" s="193">
        <v>10</v>
      </c>
      <c r="J6" s="267">
        <f>H6*I6</f>
        <v>2000</v>
      </c>
      <c r="K6" s="185"/>
      <c r="M6" s="364" t="s">
        <v>959</v>
      </c>
      <c r="N6" s="347">
        <f>COUNT(C37:C59)</f>
        <v>23</v>
      </c>
      <c r="O6" s="348">
        <f>V60</f>
        <v>20</v>
      </c>
      <c r="P6" s="348">
        <f>W60</f>
        <v>3</v>
      </c>
      <c r="Q6" s="349">
        <f>N6-O6-P6</f>
        <v>0</v>
      </c>
      <c r="R6" s="345">
        <f t="shared" ref="R6" si="0">O6/N6</f>
        <v>0.86956521739130432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45840</v>
      </c>
      <c r="D7" s="196" t="s">
        <v>16</v>
      </c>
      <c r="E7" s="196" t="s">
        <v>1020</v>
      </c>
      <c r="F7" s="197">
        <v>1350</v>
      </c>
      <c r="G7" s="197">
        <v>1400</v>
      </c>
      <c r="H7" s="196">
        <f>1400-1350</f>
        <v>50</v>
      </c>
      <c r="I7" s="197">
        <v>10</v>
      </c>
      <c r="J7" s="268">
        <f t="shared" ref="J7:J28" si="1">H7*I7</f>
        <v>500</v>
      </c>
      <c r="K7" s="185"/>
      <c r="M7" s="365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45841</v>
      </c>
      <c r="D8" s="196" t="s">
        <v>16</v>
      </c>
      <c r="E8" s="196" t="s">
        <v>1030</v>
      </c>
      <c r="F8" s="197">
        <v>1550</v>
      </c>
      <c r="G8" s="197">
        <v>1610</v>
      </c>
      <c r="H8" s="196">
        <f>1610-1550</f>
        <v>60</v>
      </c>
      <c r="I8" s="197">
        <v>10</v>
      </c>
      <c r="J8" s="268">
        <f t="shared" si="1"/>
        <v>600</v>
      </c>
      <c r="K8" s="185"/>
      <c r="M8" s="362" t="s">
        <v>125</v>
      </c>
      <c r="N8" s="347">
        <f>COUNT(C68:C90)</f>
        <v>23</v>
      </c>
      <c r="O8" s="348">
        <f>V91</f>
        <v>18</v>
      </c>
      <c r="P8" s="348">
        <f>W91</f>
        <v>5</v>
      </c>
      <c r="Q8" s="349">
        <f>N8-O8-P8</f>
        <v>0</v>
      </c>
      <c r="R8" s="345">
        <f>O8/N8</f>
        <v>0.78260869565217395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45842</v>
      </c>
      <c r="D9" s="196" t="s">
        <v>16</v>
      </c>
      <c r="E9" s="196" t="s">
        <v>1030</v>
      </c>
      <c r="F9" s="197">
        <v>1330</v>
      </c>
      <c r="G9" s="197">
        <v>1230</v>
      </c>
      <c r="H9" s="196">
        <v>-100</v>
      </c>
      <c r="I9" s="197">
        <v>10</v>
      </c>
      <c r="J9" s="268">
        <f t="shared" si="1"/>
        <v>-1000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45845</v>
      </c>
      <c r="D10" s="196" t="s">
        <v>16</v>
      </c>
      <c r="E10" s="196" t="s">
        <v>1030</v>
      </c>
      <c r="F10" s="197">
        <v>1050</v>
      </c>
      <c r="G10" s="197">
        <v>1150</v>
      </c>
      <c r="H10" s="196">
        <v>100</v>
      </c>
      <c r="I10" s="197">
        <v>10</v>
      </c>
      <c r="J10" s="268">
        <f t="shared" si="1"/>
        <v>1000</v>
      </c>
      <c r="K10" s="185"/>
      <c r="M10" s="364" t="s">
        <v>906</v>
      </c>
      <c r="N10" s="347">
        <f>COUNT(C99:C121)</f>
        <v>23</v>
      </c>
      <c r="O10" s="348">
        <f>V122</f>
        <v>18</v>
      </c>
      <c r="P10" s="348">
        <f>W122</f>
        <v>5</v>
      </c>
      <c r="Q10" s="349">
        <f>N10-O10-P10</f>
        <v>0</v>
      </c>
      <c r="R10" s="345">
        <f>O10/N10</f>
        <v>0.78260869565217395</v>
      </c>
      <c r="V10" s="183">
        <f t="shared" si="2"/>
        <v>1</v>
      </c>
      <c r="W10" s="183">
        <f t="shared" si="3"/>
        <v>0</v>
      </c>
    </row>
    <row r="11" spans="1:23" x14ac:dyDescent="0.3">
      <c r="A11" s="184"/>
      <c r="B11" s="194">
        <v>6</v>
      </c>
      <c r="C11" s="195">
        <v>45846</v>
      </c>
      <c r="D11" s="196" t="s">
        <v>16</v>
      </c>
      <c r="E11" s="196" t="s">
        <v>1030</v>
      </c>
      <c r="F11" s="197">
        <v>1200</v>
      </c>
      <c r="G11" s="197">
        <v>1100</v>
      </c>
      <c r="H11" s="196">
        <v>-100</v>
      </c>
      <c r="I11" s="197">
        <v>10</v>
      </c>
      <c r="J11" s="268">
        <f t="shared" si="1"/>
        <v>-1000</v>
      </c>
      <c r="K11" s="185"/>
      <c r="M11" s="365"/>
      <c r="N11" s="347"/>
      <c r="O11" s="348"/>
      <c r="P11" s="348"/>
      <c r="Q11" s="350"/>
      <c r="R11" s="345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45847</v>
      </c>
      <c r="D12" s="196" t="s">
        <v>16</v>
      </c>
      <c r="E12" s="196" t="s">
        <v>1049</v>
      </c>
      <c r="F12" s="197">
        <v>1200</v>
      </c>
      <c r="G12" s="197">
        <v>1250</v>
      </c>
      <c r="H12" s="196">
        <v>50</v>
      </c>
      <c r="I12" s="197">
        <v>10</v>
      </c>
      <c r="J12" s="268">
        <f t="shared" si="1"/>
        <v>500</v>
      </c>
      <c r="K12" s="185"/>
      <c r="M12" s="362" t="s">
        <v>998</v>
      </c>
      <c r="N12" s="347">
        <f>COUNT(C130:C152)</f>
        <v>23</v>
      </c>
      <c r="O12" s="348">
        <f>V153</f>
        <v>20</v>
      </c>
      <c r="P12" s="348">
        <f>W153</f>
        <v>3</v>
      </c>
      <c r="Q12" s="349">
        <f>N12-O12-P12</f>
        <v>0</v>
      </c>
      <c r="R12" s="345">
        <f>O12/N12</f>
        <v>0.86956521739130432</v>
      </c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45848</v>
      </c>
      <c r="D13" s="196" t="s">
        <v>16</v>
      </c>
      <c r="E13" s="196" t="s">
        <v>1020</v>
      </c>
      <c r="F13" s="197">
        <v>1200</v>
      </c>
      <c r="G13" s="197">
        <v>1280</v>
      </c>
      <c r="H13" s="196">
        <v>80</v>
      </c>
      <c r="I13" s="197">
        <v>10</v>
      </c>
      <c r="J13" s="268">
        <f t="shared" si="1"/>
        <v>800</v>
      </c>
      <c r="K13" s="185"/>
      <c r="M13" s="362"/>
      <c r="N13" s="347"/>
      <c r="O13" s="348"/>
      <c r="P13" s="348"/>
      <c r="Q13" s="350"/>
      <c r="R13" s="345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45849</v>
      </c>
      <c r="D14" s="196" t="s">
        <v>16</v>
      </c>
      <c r="E14" s="196" t="s">
        <v>1030</v>
      </c>
      <c r="F14" s="197">
        <v>1310</v>
      </c>
      <c r="G14" s="197">
        <v>1400</v>
      </c>
      <c r="H14" s="196">
        <f>1400-1310</f>
        <v>90</v>
      </c>
      <c r="I14" s="197">
        <v>10</v>
      </c>
      <c r="J14" s="268">
        <f t="shared" si="1"/>
        <v>900</v>
      </c>
      <c r="K14" s="185"/>
      <c r="M14" s="364" t="s">
        <v>877</v>
      </c>
      <c r="N14" s="383">
        <f>COUNT(C161:C183)</f>
        <v>23</v>
      </c>
      <c r="O14" s="374">
        <f>V184</f>
        <v>17</v>
      </c>
      <c r="P14" s="374">
        <f>W184</f>
        <v>6</v>
      </c>
      <c r="Q14" s="366">
        <f>N14-O14-P14</f>
        <v>0</v>
      </c>
      <c r="R14" s="381">
        <f>O14/N14</f>
        <v>0.73913043478260865</v>
      </c>
      <c r="V14" s="183">
        <f t="shared" si="2"/>
        <v>1</v>
      </c>
      <c r="W14" s="183">
        <f t="shared" si="3"/>
        <v>0</v>
      </c>
    </row>
    <row r="15" spans="1:23" ht="15" thickBot="1" x14ac:dyDescent="0.35">
      <c r="A15" s="184"/>
      <c r="B15" s="194">
        <v>10</v>
      </c>
      <c r="C15" s="195">
        <v>45852</v>
      </c>
      <c r="D15" s="196" t="s">
        <v>16</v>
      </c>
      <c r="E15" s="196" t="s">
        <v>1066</v>
      </c>
      <c r="F15" s="197">
        <v>1500</v>
      </c>
      <c r="G15" s="197">
        <v>1700</v>
      </c>
      <c r="H15" s="196">
        <v>200</v>
      </c>
      <c r="I15" s="197">
        <v>10</v>
      </c>
      <c r="J15" s="268">
        <f t="shared" si="1"/>
        <v>2000</v>
      </c>
      <c r="K15" s="185"/>
      <c r="M15" s="382"/>
      <c r="N15" s="384"/>
      <c r="O15" s="375"/>
      <c r="P15" s="375"/>
      <c r="Q15" s="376"/>
      <c r="R15" s="380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45853</v>
      </c>
      <c r="D16" s="196" t="s">
        <v>16</v>
      </c>
      <c r="E16" s="196" t="s">
        <v>1031</v>
      </c>
      <c r="F16" s="197">
        <v>990</v>
      </c>
      <c r="G16" s="197">
        <v>890</v>
      </c>
      <c r="H16" s="196">
        <v>-100</v>
      </c>
      <c r="I16" s="197">
        <v>10</v>
      </c>
      <c r="J16" s="268">
        <f t="shared" si="1"/>
        <v>-1000</v>
      </c>
      <c r="K16" s="185"/>
      <c r="M16" s="377" t="s">
        <v>300</v>
      </c>
      <c r="N16" s="371">
        <f>SUM(N4:N11)</f>
        <v>92</v>
      </c>
      <c r="O16" s="371">
        <f>SUM(O4:O11)</f>
        <v>73</v>
      </c>
      <c r="P16" s="371">
        <f>SUM(P4:P11)</f>
        <v>19</v>
      </c>
      <c r="Q16" s="371">
        <f>SUM(Q4:Q11)</f>
        <v>0</v>
      </c>
      <c r="R16" s="379">
        <f>O16/N16</f>
        <v>0.79347826086956519</v>
      </c>
      <c r="V16" s="183">
        <f t="shared" si="2"/>
        <v>0</v>
      </c>
      <c r="W16" s="183">
        <f t="shared" si="3"/>
        <v>1</v>
      </c>
    </row>
    <row r="17" spans="1:23" ht="15" thickBot="1" x14ac:dyDescent="0.35">
      <c r="A17" s="184"/>
      <c r="B17" s="194">
        <v>12</v>
      </c>
      <c r="C17" s="195">
        <v>45854</v>
      </c>
      <c r="D17" s="196" t="s">
        <v>16</v>
      </c>
      <c r="E17" s="196" t="s">
        <v>1030</v>
      </c>
      <c r="F17" s="197">
        <v>1150</v>
      </c>
      <c r="G17" s="197">
        <v>1050</v>
      </c>
      <c r="H17" s="196">
        <v>-100</v>
      </c>
      <c r="I17" s="197">
        <v>10</v>
      </c>
      <c r="J17" s="268">
        <f t="shared" si="1"/>
        <v>-1000</v>
      </c>
      <c r="K17" s="185"/>
      <c r="M17" s="378"/>
      <c r="N17" s="372"/>
      <c r="O17" s="372"/>
      <c r="P17" s="372"/>
      <c r="Q17" s="372"/>
      <c r="R17" s="380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45855</v>
      </c>
      <c r="D18" s="196" t="s">
        <v>16</v>
      </c>
      <c r="E18" s="196" t="s">
        <v>1020</v>
      </c>
      <c r="F18" s="197">
        <v>750</v>
      </c>
      <c r="G18" s="197">
        <v>950</v>
      </c>
      <c r="H18" s="196">
        <v>200</v>
      </c>
      <c r="I18" s="197">
        <v>10</v>
      </c>
      <c r="J18" s="268">
        <f t="shared" si="1"/>
        <v>2000</v>
      </c>
      <c r="K18" s="185"/>
      <c r="M18" s="323" t="s">
        <v>878</v>
      </c>
      <c r="N18" s="324"/>
      <c r="O18" s="325"/>
      <c r="P18" s="332">
        <f>R16</f>
        <v>0.79347826086956519</v>
      </c>
      <c r="Q18" s="333"/>
      <c r="R18" s="334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45856</v>
      </c>
      <c r="D19" s="196" t="s">
        <v>16</v>
      </c>
      <c r="E19" s="196" t="s">
        <v>1014</v>
      </c>
      <c r="F19" s="197">
        <v>900</v>
      </c>
      <c r="G19" s="197">
        <v>800</v>
      </c>
      <c r="H19" s="196">
        <v>-100</v>
      </c>
      <c r="I19" s="197">
        <v>10</v>
      </c>
      <c r="J19" s="268">
        <f t="shared" si="1"/>
        <v>-1000</v>
      </c>
      <c r="K19" s="185"/>
      <c r="M19" s="326"/>
      <c r="N19" s="327"/>
      <c r="O19" s="328"/>
      <c r="P19" s="335"/>
      <c r="Q19" s="336"/>
      <c r="R19" s="337"/>
      <c r="V19" s="183">
        <f t="shared" si="2"/>
        <v>0</v>
      </c>
      <c r="W19" s="183">
        <f t="shared" si="3"/>
        <v>1</v>
      </c>
    </row>
    <row r="20" spans="1:23" ht="15" thickBot="1" x14ac:dyDescent="0.35">
      <c r="A20" s="184"/>
      <c r="B20" s="194">
        <v>15</v>
      </c>
      <c r="C20" s="195">
        <v>45859</v>
      </c>
      <c r="D20" s="196" t="s">
        <v>16</v>
      </c>
      <c r="E20" s="196" t="s">
        <v>1091</v>
      </c>
      <c r="F20" s="197">
        <v>740</v>
      </c>
      <c r="G20" s="197">
        <v>640</v>
      </c>
      <c r="H20" s="196">
        <v>-100</v>
      </c>
      <c r="I20" s="197">
        <v>10</v>
      </c>
      <c r="J20" s="268">
        <f t="shared" si="1"/>
        <v>-1000</v>
      </c>
      <c r="K20" s="185"/>
      <c r="M20" s="329"/>
      <c r="N20" s="330"/>
      <c r="O20" s="331"/>
      <c r="P20" s="338"/>
      <c r="Q20" s="339"/>
      <c r="R20" s="340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45860</v>
      </c>
      <c r="D21" s="196" t="s">
        <v>16</v>
      </c>
      <c r="E21" s="196" t="s">
        <v>1091</v>
      </c>
      <c r="F21" s="197">
        <v>700</v>
      </c>
      <c r="G21" s="197">
        <v>900</v>
      </c>
      <c r="H21" s="196">
        <v>200</v>
      </c>
      <c r="I21" s="197">
        <v>10</v>
      </c>
      <c r="J21" s="268">
        <f t="shared" si="1"/>
        <v>2000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45861</v>
      </c>
      <c r="D22" s="196" t="s">
        <v>16</v>
      </c>
      <c r="E22" s="196" t="s">
        <v>1022</v>
      </c>
      <c r="F22" s="197">
        <v>650</v>
      </c>
      <c r="G22" s="197">
        <v>850</v>
      </c>
      <c r="H22" s="196">
        <v>200</v>
      </c>
      <c r="I22" s="197">
        <v>10</v>
      </c>
      <c r="J22" s="268">
        <f t="shared" si="1"/>
        <v>2000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45862</v>
      </c>
      <c r="D23" s="196" t="s">
        <v>16</v>
      </c>
      <c r="E23" s="196" t="s">
        <v>1031</v>
      </c>
      <c r="F23" s="197">
        <v>750</v>
      </c>
      <c r="G23" s="197">
        <v>850</v>
      </c>
      <c r="H23" s="196">
        <v>100</v>
      </c>
      <c r="I23" s="197">
        <v>10</v>
      </c>
      <c r="J23" s="268">
        <f t="shared" si="1"/>
        <v>1000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45863</v>
      </c>
      <c r="D24" s="196" t="s">
        <v>16</v>
      </c>
      <c r="E24" s="196" t="s">
        <v>1066</v>
      </c>
      <c r="F24" s="197">
        <v>1600</v>
      </c>
      <c r="G24" s="197">
        <v>1700</v>
      </c>
      <c r="H24" s="196">
        <v>100</v>
      </c>
      <c r="I24" s="197">
        <v>10</v>
      </c>
      <c r="J24" s="268">
        <f t="shared" si="1"/>
        <v>1000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45866</v>
      </c>
      <c r="D25" s="196" t="s">
        <v>16</v>
      </c>
      <c r="E25" s="196" t="s">
        <v>1031</v>
      </c>
      <c r="F25" s="197">
        <v>1600</v>
      </c>
      <c r="G25" s="197">
        <v>1700</v>
      </c>
      <c r="H25" s="196">
        <v>100</v>
      </c>
      <c r="I25" s="197">
        <v>10</v>
      </c>
      <c r="J25" s="268">
        <f t="shared" si="1"/>
        <v>1000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45867</v>
      </c>
      <c r="D26" s="196" t="s">
        <v>16</v>
      </c>
      <c r="E26" s="196" t="s">
        <v>1031</v>
      </c>
      <c r="F26" s="197">
        <v>1450</v>
      </c>
      <c r="G26" s="197">
        <v>1650</v>
      </c>
      <c r="H26" s="196">
        <v>200</v>
      </c>
      <c r="I26" s="197">
        <v>10</v>
      </c>
      <c r="J26" s="268">
        <f t="shared" si="1"/>
        <v>2000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45868</v>
      </c>
      <c r="D27" s="196" t="s">
        <v>16</v>
      </c>
      <c r="E27" s="196" t="s">
        <v>1066</v>
      </c>
      <c r="F27" s="197">
        <v>1300</v>
      </c>
      <c r="G27" s="197">
        <v>1500</v>
      </c>
      <c r="H27" s="196">
        <v>200</v>
      </c>
      <c r="I27" s="197">
        <v>10</v>
      </c>
      <c r="J27" s="268">
        <f t="shared" si="1"/>
        <v>2000</v>
      </c>
      <c r="K27" s="185"/>
      <c r="V27" s="183">
        <f t="shared" si="2"/>
        <v>1</v>
      </c>
      <c r="W27" s="183">
        <f t="shared" si="3"/>
        <v>0</v>
      </c>
    </row>
    <row r="28" spans="1:23" ht="15" thickBot="1" x14ac:dyDescent="0.35">
      <c r="A28" s="184"/>
      <c r="B28" s="194">
        <v>23</v>
      </c>
      <c r="C28" s="195">
        <v>45869</v>
      </c>
      <c r="D28" s="196" t="s">
        <v>16</v>
      </c>
      <c r="E28" s="196" t="s">
        <v>1031</v>
      </c>
      <c r="F28" s="197">
        <v>1700</v>
      </c>
      <c r="G28" s="197">
        <v>1800</v>
      </c>
      <c r="H28" s="196">
        <v>100</v>
      </c>
      <c r="I28" s="197">
        <v>10</v>
      </c>
      <c r="J28" s="268">
        <f t="shared" si="1"/>
        <v>1000</v>
      </c>
      <c r="K28" s="185"/>
      <c r="V28" s="183">
        <f t="shared" si="2"/>
        <v>1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16300</v>
      </c>
      <c r="K29" s="185"/>
      <c r="V29" s="183">
        <f>SUM(V6:V28)</f>
        <v>17</v>
      </c>
      <c r="W29" s="183">
        <f>SUM(W6:W28)</f>
        <v>6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876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45839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949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1017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45839</v>
      </c>
      <c r="D37" s="192" t="s">
        <v>16</v>
      </c>
      <c r="E37" s="192" t="s">
        <v>1068</v>
      </c>
      <c r="F37" s="193">
        <v>2150</v>
      </c>
      <c r="G37" s="193">
        <v>1950</v>
      </c>
      <c r="H37" s="192">
        <f>2150-1950</f>
        <v>200</v>
      </c>
      <c r="I37" s="193">
        <v>5</v>
      </c>
      <c r="J37" s="267">
        <f t="shared" ref="J37:J59" si="4">I37*H37</f>
        <v>1000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45840</v>
      </c>
      <c r="D38" s="196" t="s">
        <v>16</v>
      </c>
      <c r="E38" s="196" t="s">
        <v>1068</v>
      </c>
      <c r="F38" s="222">
        <v>2300</v>
      </c>
      <c r="G38" s="222">
        <v>2100</v>
      </c>
      <c r="H38" s="222">
        <v>-200</v>
      </c>
      <c r="I38" s="197">
        <v>5</v>
      </c>
      <c r="J38" s="268">
        <f t="shared" si="4"/>
        <v>-1000</v>
      </c>
      <c r="K38" s="185"/>
      <c r="V38" s="183">
        <f t="shared" ref="V38:V59" si="5">IF($J38&gt;0,1,0)</f>
        <v>0</v>
      </c>
      <c r="W38" s="183">
        <f t="shared" ref="W38:W59" si="6">IF($J38&lt;0,1,0)</f>
        <v>1</v>
      </c>
    </row>
    <row r="39" spans="1:23" x14ac:dyDescent="0.3">
      <c r="A39" s="184"/>
      <c r="B39" s="194">
        <v>3</v>
      </c>
      <c r="C39" s="195">
        <v>45841</v>
      </c>
      <c r="D39" s="196" t="s">
        <v>16</v>
      </c>
      <c r="E39" s="196" t="s">
        <v>1076</v>
      </c>
      <c r="F39" s="197">
        <v>2500</v>
      </c>
      <c r="G39" s="197">
        <v>2800</v>
      </c>
      <c r="H39" s="222">
        <v>200</v>
      </c>
      <c r="I39" s="197">
        <v>5</v>
      </c>
      <c r="J39" s="268">
        <f t="shared" si="4"/>
        <v>1000</v>
      </c>
      <c r="K39" s="185"/>
      <c r="V39" s="183">
        <f t="shared" si="5"/>
        <v>1</v>
      </c>
      <c r="W39" s="183">
        <f t="shared" si="6"/>
        <v>0</v>
      </c>
    </row>
    <row r="40" spans="1:23" x14ac:dyDescent="0.3">
      <c r="A40" s="184"/>
      <c r="B40" s="194">
        <v>4</v>
      </c>
      <c r="C40" s="195">
        <v>45842</v>
      </c>
      <c r="D40" s="196" t="s">
        <v>16</v>
      </c>
      <c r="E40" s="196" t="s">
        <v>1076</v>
      </c>
      <c r="F40" s="222">
        <v>2520</v>
      </c>
      <c r="G40" s="222">
        <v>2700</v>
      </c>
      <c r="H40" s="222">
        <f>2700-2520</f>
        <v>180</v>
      </c>
      <c r="I40" s="197">
        <v>5</v>
      </c>
      <c r="J40" s="268">
        <f t="shared" si="4"/>
        <v>900</v>
      </c>
      <c r="K40" s="185"/>
      <c r="V40" s="183">
        <f t="shared" si="5"/>
        <v>1</v>
      </c>
      <c r="W40" s="183">
        <f t="shared" si="6"/>
        <v>0</v>
      </c>
    </row>
    <row r="41" spans="1:23" x14ac:dyDescent="0.3">
      <c r="A41" s="184"/>
      <c r="B41" s="194">
        <v>5</v>
      </c>
      <c r="C41" s="195">
        <v>45845</v>
      </c>
      <c r="D41" s="196" t="s">
        <v>16</v>
      </c>
      <c r="E41" s="196" t="s">
        <v>1076</v>
      </c>
      <c r="F41" s="197">
        <v>2350</v>
      </c>
      <c r="G41" s="197">
        <v>2450</v>
      </c>
      <c r="H41" s="196">
        <v>100</v>
      </c>
      <c r="I41" s="197">
        <v>5</v>
      </c>
      <c r="J41" s="268">
        <f t="shared" si="4"/>
        <v>500</v>
      </c>
      <c r="K41" s="185"/>
      <c r="V41" s="183">
        <f t="shared" si="5"/>
        <v>1</v>
      </c>
      <c r="W41" s="183">
        <f t="shared" si="6"/>
        <v>0</v>
      </c>
    </row>
    <row r="42" spans="1:23" x14ac:dyDescent="0.3">
      <c r="A42" s="184"/>
      <c r="B42" s="194">
        <v>6</v>
      </c>
      <c r="C42" s="195">
        <v>45846</v>
      </c>
      <c r="D42" s="196" t="s">
        <v>16</v>
      </c>
      <c r="E42" s="196" t="s">
        <v>1076</v>
      </c>
      <c r="F42" s="222">
        <v>2450</v>
      </c>
      <c r="G42" s="222">
        <v>2550</v>
      </c>
      <c r="H42" s="196">
        <v>100</v>
      </c>
      <c r="I42" s="197">
        <v>5</v>
      </c>
      <c r="J42" s="268">
        <f t="shared" si="4"/>
        <v>500</v>
      </c>
      <c r="K42" s="185"/>
      <c r="V42" s="183">
        <f t="shared" si="5"/>
        <v>1</v>
      </c>
      <c r="W42" s="183">
        <f t="shared" si="6"/>
        <v>0</v>
      </c>
    </row>
    <row r="43" spans="1:23" x14ac:dyDescent="0.3">
      <c r="A43" s="184"/>
      <c r="B43" s="194">
        <v>7</v>
      </c>
      <c r="C43" s="195">
        <v>45847</v>
      </c>
      <c r="D43" s="196" t="s">
        <v>16</v>
      </c>
      <c r="E43" s="196" t="s">
        <v>1079</v>
      </c>
      <c r="F43" s="222">
        <v>1900</v>
      </c>
      <c r="G43" s="222">
        <v>2180</v>
      </c>
      <c r="H43" s="222">
        <f>2180-1900</f>
        <v>280</v>
      </c>
      <c r="I43" s="197">
        <v>5</v>
      </c>
      <c r="J43" s="268">
        <f t="shared" si="4"/>
        <v>1400</v>
      </c>
      <c r="K43" s="185"/>
      <c r="V43" s="183">
        <f t="shared" si="5"/>
        <v>1</v>
      </c>
      <c r="W43" s="183">
        <f t="shared" si="6"/>
        <v>0</v>
      </c>
    </row>
    <row r="44" spans="1:23" x14ac:dyDescent="0.3">
      <c r="A44" s="184"/>
      <c r="B44" s="194">
        <v>8</v>
      </c>
      <c r="C44" s="195">
        <v>45848</v>
      </c>
      <c r="D44" s="196" t="s">
        <v>16</v>
      </c>
      <c r="E44" s="196" t="s">
        <v>1075</v>
      </c>
      <c r="F44" s="197">
        <v>2250</v>
      </c>
      <c r="G44" s="197">
        <v>2050</v>
      </c>
      <c r="H44" s="196">
        <f>2250-2050</f>
        <v>200</v>
      </c>
      <c r="I44" s="197">
        <v>5</v>
      </c>
      <c r="J44" s="268">
        <f t="shared" si="4"/>
        <v>1000</v>
      </c>
      <c r="K44" s="185"/>
      <c r="V44" s="183">
        <f t="shared" si="5"/>
        <v>1</v>
      </c>
      <c r="W44" s="183">
        <f t="shared" si="6"/>
        <v>0</v>
      </c>
    </row>
    <row r="45" spans="1:23" x14ac:dyDescent="0.3">
      <c r="A45" s="184"/>
      <c r="B45" s="194">
        <v>9</v>
      </c>
      <c r="C45" s="195">
        <v>45849</v>
      </c>
      <c r="D45" s="196" t="s">
        <v>16</v>
      </c>
      <c r="E45" s="196" t="s">
        <v>1080</v>
      </c>
      <c r="F45" s="222">
        <v>2660</v>
      </c>
      <c r="G45" s="222">
        <v>2860</v>
      </c>
      <c r="H45" s="222">
        <v>200</v>
      </c>
      <c r="I45" s="197">
        <v>5</v>
      </c>
      <c r="J45" s="268">
        <f t="shared" si="4"/>
        <v>1000</v>
      </c>
      <c r="K45" s="185"/>
      <c r="V45" s="183">
        <f t="shared" si="5"/>
        <v>1</v>
      </c>
      <c r="W45" s="183">
        <f t="shared" si="6"/>
        <v>0</v>
      </c>
    </row>
    <row r="46" spans="1:23" x14ac:dyDescent="0.3">
      <c r="A46" s="184"/>
      <c r="B46" s="194">
        <v>10</v>
      </c>
      <c r="C46" s="195">
        <v>45852</v>
      </c>
      <c r="D46" s="196" t="s">
        <v>16</v>
      </c>
      <c r="E46" s="196" t="s">
        <v>1081</v>
      </c>
      <c r="F46" s="197">
        <v>2650</v>
      </c>
      <c r="G46" s="222">
        <v>2450</v>
      </c>
      <c r="H46" s="196">
        <v>-200</v>
      </c>
      <c r="I46" s="197">
        <v>5</v>
      </c>
      <c r="J46" s="268">
        <f t="shared" si="4"/>
        <v>-1000</v>
      </c>
      <c r="K46" s="185"/>
      <c r="V46" s="183">
        <f t="shared" si="5"/>
        <v>0</v>
      </c>
      <c r="W46" s="183">
        <f t="shared" si="6"/>
        <v>1</v>
      </c>
    </row>
    <row r="47" spans="1:23" x14ac:dyDescent="0.3">
      <c r="A47" s="184"/>
      <c r="B47" s="194">
        <v>11</v>
      </c>
      <c r="C47" s="195">
        <v>45853</v>
      </c>
      <c r="D47" s="196" t="s">
        <v>16</v>
      </c>
      <c r="E47" s="196" t="s">
        <v>1085</v>
      </c>
      <c r="F47" s="222">
        <v>2100</v>
      </c>
      <c r="G47" s="222">
        <v>2200</v>
      </c>
      <c r="H47" s="222">
        <v>100</v>
      </c>
      <c r="I47" s="197">
        <v>5</v>
      </c>
      <c r="J47" s="268">
        <f t="shared" si="4"/>
        <v>500</v>
      </c>
      <c r="K47" s="185"/>
      <c r="V47" s="183">
        <f t="shared" si="5"/>
        <v>1</v>
      </c>
      <c r="W47" s="183">
        <f t="shared" si="6"/>
        <v>0</v>
      </c>
    </row>
    <row r="48" spans="1:23" x14ac:dyDescent="0.3">
      <c r="A48" s="184"/>
      <c r="B48" s="194">
        <v>12</v>
      </c>
      <c r="C48" s="195">
        <v>45854</v>
      </c>
      <c r="D48" s="196" t="s">
        <v>16</v>
      </c>
      <c r="E48" s="196" t="s">
        <v>1086</v>
      </c>
      <c r="F48" s="197">
        <v>1950</v>
      </c>
      <c r="G48" s="222">
        <v>2126</v>
      </c>
      <c r="H48" s="196">
        <f>2126-1950</f>
        <v>176</v>
      </c>
      <c r="I48" s="197">
        <v>5</v>
      </c>
      <c r="J48" s="268">
        <f t="shared" si="4"/>
        <v>880</v>
      </c>
      <c r="K48" s="185"/>
      <c r="V48" s="183">
        <f t="shared" si="5"/>
        <v>1</v>
      </c>
      <c r="W48" s="183">
        <f t="shared" si="6"/>
        <v>0</v>
      </c>
    </row>
    <row r="49" spans="1:23" x14ac:dyDescent="0.3">
      <c r="A49" s="184"/>
      <c r="B49" s="194">
        <v>13</v>
      </c>
      <c r="C49" s="195">
        <v>45855</v>
      </c>
      <c r="D49" s="196" t="s">
        <v>16</v>
      </c>
      <c r="E49" s="196" t="s">
        <v>1087</v>
      </c>
      <c r="F49" s="222">
        <v>1350</v>
      </c>
      <c r="G49" s="222">
        <v>1540</v>
      </c>
      <c r="H49" s="196">
        <f>1540-1350</f>
        <v>190</v>
      </c>
      <c r="I49" s="197">
        <v>5</v>
      </c>
      <c r="J49" s="268">
        <f t="shared" si="4"/>
        <v>950</v>
      </c>
      <c r="K49" s="185"/>
      <c r="V49" s="183">
        <f t="shared" si="5"/>
        <v>1</v>
      </c>
      <c r="W49" s="183">
        <f t="shared" si="6"/>
        <v>0</v>
      </c>
    </row>
    <row r="50" spans="1:23" x14ac:dyDescent="0.3">
      <c r="A50" s="184"/>
      <c r="B50" s="194">
        <v>14</v>
      </c>
      <c r="C50" s="195">
        <v>45856</v>
      </c>
      <c r="D50" s="196" t="s">
        <v>16</v>
      </c>
      <c r="E50" s="196" t="s">
        <v>1088</v>
      </c>
      <c r="F50" s="197">
        <v>1320</v>
      </c>
      <c r="G50" s="222">
        <v>1475</v>
      </c>
      <c r="H50" s="196">
        <f>1475-1320</f>
        <v>155</v>
      </c>
      <c r="I50" s="197">
        <v>5</v>
      </c>
      <c r="J50" s="268">
        <f t="shared" si="4"/>
        <v>775</v>
      </c>
      <c r="K50" s="185"/>
      <c r="V50" s="183">
        <f t="shared" si="5"/>
        <v>1</v>
      </c>
      <c r="W50" s="183">
        <f t="shared" si="6"/>
        <v>0</v>
      </c>
    </row>
    <row r="51" spans="1:23" x14ac:dyDescent="0.3">
      <c r="A51" s="184"/>
      <c r="B51" s="194">
        <v>15</v>
      </c>
      <c r="C51" s="195">
        <v>45859</v>
      </c>
      <c r="D51" s="196" t="s">
        <v>16</v>
      </c>
      <c r="E51" s="196" t="s">
        <v>1089</v>
      </c>
      <c r="F51" s="222">
        <v>1250</v>
      </c>
      <c r="G51" s="222">
        <v>1340</v>
      </c>
      <c r="H51" s="196">
        <f>1340-1250</f>
        <v>90</v>
      </c>
      <c r="I51" s="197">
        <v>5</v>
      </c>
      <c r="J51" s="268">
        <f t="shared" si="4"/>
        <v>450</v>
      </c>
      <c r="K51" s="185"/>
      <c r="V51" s="183">
        <f t="shared" si="5"/>
        <v>1</v>
      </c>
      <c r="W51" s="183">
        <f t="shared" si="6"/>
        <v>0</v>
      </c>
    </row>
    <row r="52" spans="1:23" x14ac:dyDescent="0.3">
      <c r="A52" s="184"/>
      <c r="B52" s="194">
        <v>16</v>
      </c>
      <c r="C52" s="195">
        <v>45860</v>
      </c>
      <c r="D52" s="196" t="s">
        <v>16</v>
      </c>
      <c r="E52" s="196" t="s">
        <v>1090</v>
      </c>
      <c r="F52" s="197">
        <v>1200</v>
      </c>
      <c r="G52" s="197">
        <v>1600</v>
      </c>
      <c r="H52" s="196">
        <v>400</v>
      </c>
      <c r="I52" s="197">
        <v>5</v>
      </c>
      <c r="J52" s="268">
        <f t="shared" si="4"/>
        <v>2000</v>
      </c>
      <c r="K52" s="185"/>
      <c r="V52" s="183">
        <f t="shared" si="5"/>
        <v>1</v>
      </c>
      <c r="W52" s="183">
        <f t="shared" si="6"/>
        <v>0</v>
      </c>
    </row>
    <row r="53" spans="1:23" x14ac:dyDescent="0.3">
      <c r="A53" s="184"/>
      <c r="B53" s="194">
        <v>17</v>
      </c>
      <c r="C53" s="195">
        <v>45861</v>
      </c>
      <c r="D53" s="196" t="s">
        <v>16</v>
      </c>
      <c r="E53" s="196" t="s">
        <v>1090</v>
      </c>
      <c r="F53" s="222">
        <v>1700</v>
      </c>
      <c r="G53" s="222">
        <v>2000</v>
      </c>
      <c r="H53" s="222">
        <f>2000-1700</f>
        <v>300</v>
      </c>
      <c r="I53" s="197">
        <v>5</v>
      </c>
      <c r="J53" s="268">
        <f t="shared" si="4"/>
        <v>1500</v>
      </c>
      <c r="K53" s="185"/>
      <c r="V53" s="183">
        <f t="shared" si="5"/>
        <v>1</v>
      </c>
      <c r="W53" s="183">
        <f t="shared" si="6"/>
        <v>0</v>
      </c>
    </row>
    <row r="54" spans="1:23" x14ac:dyDescent="0.3">
      <c r="A54" s="184"/>
      <c r="B54" s="194">
        <v>18</v>
      </c>
      <c r="C54" s="195">
        <v>45862</v>
      </c>
      <c r="D54" s="196" t="s">
        <v>16</v>
      </c>
      <c r="E54" s="196" t="s">
        <v>1090</v>
      </c>
      <c r="F54" s="197">
        <v>1050</v>
      </c>
      <c r="G54" s="197">
        <v>1176</v>
      </c>
      <c r="H54" s="196">
        <f>1176-1050</f>
        <v>126</v>
      </c>
      <c r="I54" s="197">
        <v>5</v>
      </c>
      <c r="J54" s="268">
        <f t="shared" si="4"/>
        <v>630</v>
      </c>
      <c r="K54" s="185"/>
      <c r="V54" s="183">
        <f t="shared" si="5"/>
        <v>1</v>
      </c>
      <c r="W54" s="183">
        <f t="shared" si="6"/>
        <v>0</v>
      </c>
    </row>
    <row r="55" spans="1:23" x14ac:dyDescent="0.3">
      <c r="A55" s="184"/>
      <c r="B55" s="194">
        <v>19</v>
      </c>
      <c r="C55" s="195">
        <v>45863</v>
      </c>
      <c r="D55" s="196" t="s">
        <v>16</v>
      </c>
      <c r="E55" s="196" t="s">
        <v>1092</v>
      </c>
      <c r="F55" s="222">
        <v>1000</v>
      </c>
      <c r="G55" s="222">
        <v>1309</v>
      </c>
      <c r="H55" s="196">
        <f>1309-1000</f>
        <v>309</v>
      </c>
      <c r="I55" s="197">
        <v>5</v>
      </c>
      <c r="J55" s="268">
        <f t="shared" si="4"/>
        <v>1545</v>
      </c>
      <c r="K55" s="185"/>
      <c r="V55" s="183">
        <f t="shared" si="5"/>
        <v>1</v>
      </c>
      <c r="W55" s="183">
        <f t="shared" si="6"/>
        <v>0</v>
      </c>
    </row>
    <row r="56" spans="1:23" x14ac:dyDescent="0.3">
      <c r="A56" s="184"/>
      <c r="B56" s="194">
        <v>20</v>
      </c>
      <c r="C56" s="195">
        <v>45866</v>
      </c>
      <c r="D56" s="196" t="s">
        <v>16</v>
      </c>
      <c r="E56" s="196" t="s">
        <v>1093</v>
      </c>
      <c r="F56" s="197">
        <v>2100</v>
      </c>
      <c r="G56" s="197">
        <v>2205</v>
      </c>
      <c r="H56" s="196">
        <f>2205-2100</f>
        <v>105</v>
      </c>
      <c r="I56" s="197">
        <v>5</v>
      </c>
      <c r="J56" s="268">
        <f t="shared" si="4"/>
        <v>525</v>
      </c>
      <c r="K56" s="185"/>
      <c r="V56" s="183">
        <f t="shared" si="5"/>
        <v>1</v>
      </c>
      <c r="W56" s="183">
        <f t="shared" si="6"/>
        <v>0</v>
      </c>
    </row>
    <row r="57" spans="1:23" x14ac:dyDescent="0.3">
      <c r="A57" s="184"/>
      <c r="B57" s="194">
        <v>21</v>
      </c>
      <c r="C57" s="195">
        <v>45867</v>
      </c>
      <c r="D57" s="196" t="s">
        <v>16</v>
      </c>
      <c r="E57" s="196" t="s">
        <v>1093</v>
      </c>
      <c r="F57" s="197">
        <v>2000</v>
      </c>
      <c r="G57" s="222">
        <v>2300</v>
      </c>
      <c r="H57" s="222">
        <v>300</v>
      </c>
      <c r="I57" s="197">
        <v>5</v>
      </c>
      <c r="J57" s="268">
        <f t="shared" si="4"/>
        <v>1500</v>
      </c>
      <c r="K57" s="185"/>
      <c r="V57" s="183">
        <f t="shared" si="5"/>
        <v>1</v>
      </c>
      <c r="W57" s="183">
        <f t="shared" si="6"/>
        <v>0</v>
      </c>
    </row>
    <row r="58" spans="1:23" x14ac:dyDescent="0.3">
      <c r="A58" s="184"/>
      <c r="B58" s="194">
        <v>22</v>
      </c>
      <c r="C58" s="195">
        <v>45868</v>
      </c>
      <c r="D58" s="196" t="s">
        <v>16</v>
      </c>
      <c r="E58" s="196" t="s">
        <v>1089</v>
      </c>
      <c r="F58" s="197">
        <v>2050</v>
      </c>
      <c r="G58" s="197">
        <v>2450</v>
      </c>
      <c r="H58" s="196">
        <f>2450-2050</f>
        <v>400</v>
      </c>
      <c r="I58" s="197">
        <v>5</v>
      </c>
      <c r="J58" s="268">
        <f t="shared" si="4"/>
        <v>2000</v>
      </c>
      <c r="K58" s="185"/>
      <c r="V58" s="183">
        <f t="shared" si="5"/>
        <v>1</v>
      </c>
      <c r="W58" s="183">
        <f t="shared" si="6"/>
        <v>0</v>
      </c>
    </row>
    <row r="59" spans="1:23" ht="15" thickBot="1" x14ac:dyDescent="0.35">
      <c r="A59" s="184"/>
      <c r="B59" s="194">
        <v>23</v>
      </c>
      <c r="C59" s="195">
        <v>45869</v>
      </c>
      <c r="D59" s="196" t="s">
        <v>16</v>
      </c>
      <c r="E59" s="196" t="s">
        <v>1086</v>
      </c>
      <c r="F59" s="197">
        <v>1750</v>
      </c>
      <c r="G59" s="222">
        <v>1550</v>
      </c>
      <c r="H59" s="222">
        <v>-200</v>
      </c>
      <c r="I59" s="197">
        <v>5</v>
      </c>
      <c r="J59" s="268">
        <f t="shared" si="4"/>
        <v>-1000</v>
      </c>
      <c r="K59" s="185"/>
      <c r="V59" s="183">
        <f t="shared" si="5"/>
        <v>0</v>
      </c>
      <c r="W59" s="183">
        <f t="shared" si="6"/>
        <v>1</v>
      </c>
    </row>
    <row r="60" spans="1:23" ht="24" thickBot="1" x14ac:dyDescent="0.5">
      <c r="A60" s="184"/>
      <c r="B60" s="368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17555</v>
      </c>
      <c r="K60" s="185"/>
      <c r="V60" s="183">
        <f>SUM(V37:V59)</f>
        <v>20</v>
      </c>
      <c r="W60" s="183">
        <f>SUM(W37:W59)</f>
        <v>3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45839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997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1017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45839</v>
      </c>
      <c r="D68" s="216" t="s">
        <v>23</v>
      </c>
      <c r="E68" s="256" t="s">
        <v>25</v>
      </c>
      <c r="F68" s="256">
        <v>5580</v>
      </c>
      <c r="G68" s="256">
        <v>5565</v>
      </c>
      <c r="H68" s="256">
        <f>5580-5565</f>
        <v>15</v>
      </c>
      <c r="I68" s="218">
        <v>100</v>
      </c>
      <c r="J68" s="273">
        <f>I68*H68</f>
        <v>1500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45840</v>
      </c>
      <c r="D69" s="196" t="s">
        <v>23</v>
      </c>
      <c r="E69" s="222" t="s">
        <v>25</v>
      </c>
      <c r="F69" s="222">
        <v>5640</v>
      </c>
      <c r="G69" s="222">
        <v>5680</v>
      </c>
      <c r="H69" s="222">
        <v>-40</v>
      </c>
      <c r="I69" s="218">
        <v>100</v>
      </c>
      <c r="J69" s="268">
        <f t="shared" ref="J69:J90" si="7">I69*H69</f>
        <v>-4000</v>
      </c>
      <c r="K69" s="185"/>
      <c r="V69" s="183">
        <f t="shared" ref="V69:V90" si="8">IF($J69&gt;0,1,0)</f>
        <v>0</v>
      </c>
      <c r="W69" s="183">
        <f t="shared" ref="W69:W90" si="9">IF($J69&lt;0,1,0)</f>
        <v>1</v>
      </c>
    </row>
    <row r="70" spans="1:23" x14ac:dyDescent="0.3">
      <c r="A70" s="184"/>
      <c r="B70" s="194">
        <v>3</v>
      </c>
      <c r="C70" s="195">
        <v>45841</v>
      </c>
      <c r="D70" s="196" t="s">
        <v>23</v>
      </c>
      <c r="E70" s="222" t="s">
        <v>25</v>
      </c>
      <c r="F70" s="222">
        <v>5725</v>
      </c>
      <c r="G70" s="222">
        <v>5702</v>
      </c>
      <c r="H70" s="222">
        <f>5725-5702</f>
        <v>23</v>
      </c>
      <c r="I70" s="218">
        <v>100</v>
      </c>
      <c r="J70" s="268">
        <f t="shared" si="7"/>
        <v>2300</v>
      </c>
      <c r="K70" s="185"/>
      <c r="M70" s="183" t="s">
        <v>870</v>
      </c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4</v>
      </c>
      <c r="C71" s="195">
        <v>45842</v>
      </c>
      <c r="D71" s="196" t="s">
        <v>23</v>
      </c>
      <c r="E71" s="222" t="s">
        <v>25</v>
      </c>
      <c r="F71" s="222">
        <v>5700</v>
      </c>
      <c r="G71" s="222">
        <v>5660</v>
      </c>
      <c r="H71" s="222">
        <f>5700-5660</f>
        <v>40</v>
      </c>
      <c r="I71" s="218">
        <v>100</v>
      </c>
      <c r="J71" s="268">
        <f t="shared" si="7"/>
        <v>4000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5</v>
      </c>
      <c r="C72" s="195">
        <v>45845</v>
      </c>
      <c r="D72" s="196" t="s">
        <v>23</v>
      </c>
      <c r="E72" s="222" t="s">
        <v>25</v>
      </c>
      <c r="F72" s="222">
        <v>5710</v>
      </c>
      <c r="G72" s="222">
        <v>5694</v>
      </c>
      <c r="H72" s="222">
        <f>5710-5694</f>
        <v>16</v>
      </c>
      <c r="I72" s="218">
        <v>100</v>
      </c>
      <c r="J72" s="268">
        <f t="shared" si="7"/>
        <v>1600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6</v>
      </c>
      <c r="C73" s="195">
        <v>45846</v>
      </c>
      <c r="D73" s="196" t="s">
        <v>23</v>
      </c>
      <c r="E73" s="222" t="s">
        <v>25</v>
      </c>
      <c r="F73" s="222">
        <v>5790</v>
      </c>
      <c r="G73" s="222">
        <v>5830</v>
      </c>
      <c r="H73" s="222">
        <v>-40</v>
      </c>
      <c r="I73" s="218">
        <v>100</v>
      </c>
      <c r="J73" s="268">
        <f t="shared" si="7"/>
        <v>-4000</v>
      </c>
      <c r="K73" s="185"/>
      <c r="V73" s="183">
        <f t="shared" si="8"/>
        <v>0</v>
      </c>
      <c r="W73" s="183">
        <f t="shared" si="9"/>
        <v>1</v>
      </c>
    </row>
    <row r="74" spans="1:23" x14ac:dyDescent="0.3">
      <c r="A74" s="184"/>
      <c r="B74" s="194">
        <v>7</v>
      </c>
      <c r="C74" s="195">
        <v>45847</v>
      </c>
      <c r="D74" s="196" t="s">
        <v>23</v>
      </c>
      <c r="E74" s="222" t="s">
        <v>25</v>
      </c>
      <c r="F74" s="222">
        <v>5900</v>
      </c>
      <c r="G74" s="222">
        <v>5830</v>
      </c>
      <c r="H74" s="274">
        <f>5900-5830</f>
        <v>70</v>
      </c>
      <c r="I74" s="218">
        <v>100</v>
      </c>
      <c r="J74" s="268">
        <f t="shared" si="7"/>
        <v>7000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8</v>
      </c>
      <c r="C75" s="195">
        <v>45848</v>
      </c>
      <c r="D75" s="196" t="s">
        <v>23</v>
      </c>
      <c r="E75" s="222" t="s">
        <v>25</v>
      </c>
      <c r="F75" s="222">
        <v>5840</v>
      </c>
      <c r="G75" s="222">
        <v>5770</v>
      </c>
      <c r="H75" s="222">
        <f>5840-5770</f>
        <v>70</v>
      </c>
      <c r="I75" s="197">
        <v>100</v>
      </c>
      <c r="J75" s="268">
        <f t="shared" si="7"/>
        <v>7000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9</v>
      </c>
      <c r="C76" s="195">
        <v>45849</v>
      </c>
      <c r="D76" s="196" t="s">
        <v>23</v>
      </c>
      <c r="E76" s="222" t="s">
        <v>25</v>
      </c>
      <c r="F76" s="222">
        <v>5730</v>
      </c>
      <c r="G76" s="222">
        <v>5770</v>
      </c>
      <c r="H76" s="222">
        <v>-40</v>
      </c>
      <c r="I76" s="197">
        <v>100</v>
      </c>
      <c r="J76" s="268">
        <f t="shared" si="7"/>
        <v>-4000</v>
      </c>
      <c r="K76" s="185"/>
      <c r="V76" s="183">
        <f t="shared" si="8"/>
        <v>0</v>
      </c>
      <c r="W76" s="183">
        <f t="shared" si="9"/>
        <v>1</v>
      </c>
    </row>
    <row r="77" spans="1:23" x14ac:dyDescent="0.3">
      <c r="A77" s="184"/>
      <c r="B77" s="194">
        <v>10</v>
      </c>
      <c r="C77" s="195">
        <v>45852</v>
      </c>
      <c r="D77" s="196" t="s">
        <v>23</v>
      </c>
      <c r="E77" s="222" t="s">
        <v>25</v>
      </c>
      <c r="F77" s="222">
        <v>5960</v>
      </c>
      <c r="G77" s="222">
        <v>5890</v>
      </c>
      <c r="H77" s="222">
        <f>5960-5890</f>
        <v>70</v>
      </c>
      <c r="I77" s="197">
        <v>100</v>
      </c>
      <c r="J77" s="268">
        <f t="shared" si="7"/>
        <v>7000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11</v>
      </c>
      <c r="C78" s="195">
        <v>45853</v>
      </c>
      <c r="D78" s="196" t="s">
        <v>23</v>
      </c>
      <c r="E78" s="222" t="s">
        <v>25</v>
      </c>
      <c r="F78" s="222">
        <v>5740</v>
      </c>
      <c r="G78" s="222">
        <v>5710</v>
      </c>
      <c r="H78" s="274">
        <v>30</v>
      </c>
      <c r="I78" s="197">
        <v>100</v>
      </c>
      <c r="J78" s="268">
        <f t="shared" si="7"/>
        <v>3000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12</v>
      </c>
      <c r="C79" s="195">
        <v>45854</v>
      </c>
      <c r="D79" s="196" t="s">
        <v>23</v>
      </c>
      <c r="E79" s="222" t="s">
        <v>25</v>
      </c>
      <c r="F79" s="222">
        <v>5705</v>
      </c>
      <c r="G79" s="222">
        <v>5640</v>
      </c>
      <c r="H79" s="274">
        <f>5705-5640</f>
        <v>65</v>
      </c>
      <c r="I79" s="197">
        <v>100</v>
      </c>
      <c r="J79" s="268">
        <f t="shared" si="7"/>
        <v>6500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13</v>
      </c>
      <c r="C80" s="195">
        <v>45855</v>
      </c>
      <c r="D80" s="196" t="s">
        <v>23</v>
      </c>
      <c r="E80" s="222" t="s">
        <v>25</v>
      </c>
      <c r="F80" s="222">
        <v>5710</v>
      </c>
      <c r="G80" s="222">
        <v>5750</v>
      </c>
      <c r="H80" s="274">
        <v>-40</v>
      </c>
      <c r="I80" s="197">
        <v>100</v>
      </c>
      <c r="J80" s="268">
        <f t="shared" si="7"/>
        <v>-4000</v>
      </c>
      <c r="K80" s="185"/>
      <c r="V80" s="183">
        <f t="shared" si="8"/>
        <v>0</v>
      </c>
      <c r="W80" s="183">
        <f t="shared" si="9"/>
        <v>1</v>
      </c>
    </row>
    <row r="81" spans="1:23" x14ac:dyDescent="0.3">
      <c r="A81" s="184"/>
      <c r="B81" s="194">
        <v>14</v>
      </c>
      <c r="C81" s="195">
        <v>45856</v>
      </c>
      <c r="D81" s="196" t="s">
        <v>23</v>
      </c>
      <c r="E81" s="222" t="s">
        <v>25</v>
      </c>
      <c r="F81" s="222">
        <v>5900</v>
      </c>
      <c r="G81" s="222">
        <v>5830</v>
      </c>
      <c r="H81" s="274">
        <f>5900-5830</f>
        <v>70</v>
      </c>
      <c r="I81" s="197">
        <v>100</v>
      </c>
      <c r="J81" s="268">
        <f t="shared" si="7"/>
        <v>7000</v>
      </c>
      <c r="K81" s="185"/>
      <c r="V81" s="183">
        <f t="shared" si="8"/>
        <v>1</v>
      </c>
      <c r="W81" s="183">
        <f t="shared" si="9"/>
        <v>0</v>
      </c>
    </row>
    <row r="82" spans="1:23" x14ac:dyDescent="0.3">
      <c r="A82" s="184"/>
      <c r="B82" s="194">
        <v>15</v>
      </c>
      <c r="C82" s="195">
        <v>45859</v>
      </c>
      <c r="D82" s="196" t="s">
        <v>23</v>
      </c>
      <c r="E82" s="196" t="s">
        <v>25</v>
      </c>
      <c r="F82" s="222">
        <v>5780</v>
      </c>
      <c r="G82" s="222">
        <v>5732</v>
      </c>
      <c r="H82" s="222">
        <f>5780-5732</f>
        <v>48</v>
      </c>
      <c r="I82" s="197">
        <v>100</v>
      </c>
      <c r="J82" s="268">
        <f t="shared" si="7"/>
        <v>4800</v>
      </c>
      <c r="K82" s="185"/>
      <c r="V82" s="183">
        <f t="shared" si="8"/>
        <v>1</v>
      </c>
      <c r="W82" s="183">
        <f t="shared" si="9"/>
        <v>0</v>
      </c>
    </row>
    <row r="83" spans="1:23" x14ac:dyDescent="0.3">
      <c r="A83" s="184"/>
      <c r="B83" s="194">
        <v>16</v>
      </c>
      <c r="C83" s="195">
        <v>45860</v>
      </c>
      <c r="D83" s="196" t="s">
        <v>23</v>
      </c>
      <c r="E83" s="196" t="s">
        <v>25</v>
      </c>
      <c r="F83" s="222">
        <v>5640</v>
      </c>
      <c r="G83" s="222">
        <v>5680</v>
      </c>
      <c r="H83" s="222">
        <v>-40</v>
      </c>
      <c r="I83" s="197">
        <v>100</v>
      </c>
      <c r="J83" s="268">
        <f t="shared" si="7"/>
        <v>-4000</v>
      </c>
      <c r="K83" s="185"/>
      <c r="V83" s="183">
        <f t="shared" si="8"/>
        <v>0</v>
      </c>
      <c r="W83" s="183">
        <f t="shared" si="9"/>
        <v>1</v>
      </c>
    </row>
    <row r="84" spans="1:23" x14ac:dyDescent="0.3">
      <c r="A84" s="184"/>
      <c r="B84" s="194">
        <v>17</v>
      </c>
      <c r="C84" s="195">
        <v>45861</v>
      </c>
      <c r="D84" s="196" t="s">
        <v>23</v>
      </c>
      <c r="E84" s="196" t="s">
        <v>25</v>
      </c>
      <c r="F84" s="222">
        <v>5650</v>
      </c>
      <c r="G84" s="274">
        <v>5613</v>
      </c>
      <c r="H84" s="274">
        <v>37</v>
      </c>
      <c r="I84" s="197">
        <v>100</v>
      </c>
      <c r="J84" s="268">
        <f t="shared" si="7"/>
        <v>3700</v>
      </c>
      <c r="K84" s="185"/>
      <c r="V84" s="183">
        <f t="shared" si="8"/>
        <v>1</v>
      </c>
      <c r="W84" s="183">
        <f t="shared" si="9"/>
        <v>0</v>
      </c>
    </row>
    <row r="85" spans="1:23" x14ac:dyDescent="0.3">
      <c r="A85" s="184"/>
      <c r="B85" s="194">
        <v>18</v>
      </c>
      <c r="C85" s="195">
        <v>45862</v>
      </c>
      <c r="D85" s="196" t="s">
        <v>23</v>
      </c>
      <c r="E85" s="196" t="s">
        <v>25</v>
      </c>
      <c r="F85" s="222">
        <v>5740</v>
      </c>
      <c r="G85" s="222">
        <v>5670</v>
      </c>
      <c r="H85" s="274">
        <f>5740-5670</f>
        <v>70</v>
      </c>
      <c r="I85" s="197">
        <v>100</v>
      </c>
      <c r="J85" s="268">
        <f t="shared" si="7"/>
        <v>7000</v>
      </c>
      <c r="K85" s="185"/>
      <c r="V85" s="183">
        <f t="shared" si="8"/>
        <v>1</v>
      </c>
      <c r="W85" s="183">
        <f t="shared" si="9"/>
        <v>0</v>
      </c>
    </row>
    <row r="86" spans="1:23" x14ac:dyDescent="0.3">
      <c r="A86" s="184"/>
      <c r="B86" s="194">
        <v>19</v>
      </c>
      <c r="C86" s="195">
        <v>45863</v>
      </c>
      <c r="D86" s="196" t="s">
        <v>23</v>
      </c>
      <c r="E86" s="196" t="s">
        <v>25</v>
      </c>
      <c r="F86" s="222">
        <v>5760</v>
      </c>
      <c r="G86" s="222">
        <v>5690</v>
      </c>
      <c r="H86" s="274">
        <f>5760-5690</f>
        <v>70</v>
      </c>
      <c r="I86" s="197">
        <v>100</v>
      </c>
      <c r="J86" s="268">
        <f t="shared" si="7"/>
        <v>7000</v>
      </c>
      <c r="K86" s="185"/>
      <c r="V86" s="183">
        <f t="shared" si="8"/>
        <v>1</v>
      </c>
      <c r="W86" s="183">
        <f t="shared" si="9"/>
        <v>0</v>
      </c>
    </row>
    <row r="87" spans="1:23" x14ac:dyDescent="0.3">
      <c r="A87" s="184"/>
      <c r="B87" s="194">
        <v>20</v>
      </c>
      <c r="C87" s="195">
        <v>45866</v>
      </c>
      <c r="D87" s="196" t="s">
        <v>23</v>
      </c>
      <c r="E87" s="196" t="s">
        <v>25</v>
      </c>
      <c r="F87" s="222">
        <v>5680</v>
      </c>
      <c r="G87" s="222">
        <v>5725</v>
      </c>
      <c r="H87" s="274">
        <f>5725-5680</f>
        <v>45</v>
      </c>
      <c r="I87" s="197">
        <v>100</v>
      </c>
      <c r="J87" s="268">
        <f t="shared" si="7"/>
        <v>4500</v>
      </c>
      <c r="K87" s="185"/>
      <c r="V87" s="183">
        <f t="shared" si="8"/>
        <v>1</v>
      </c>
      <c r="W87" s="183">
        <f t="shared" si="9"/>
        <v>0</v>
      </c>
    </row>
    <row r="88" spans="1:23" x14ac:dyDescent="0.3">
      <c r="A88" s="184"/>
      <c r="B88" s="194">
        <v>21</v>
      </c>
      <c r="C88" s="195">
        <v>45867</v>
      </c>
      <c r="D88" s="196" t="s">
        <v>23</v>
      </c>
      <c r="E88" s="196" t="s">
        <v>25</v>
      </c>
      <c r="F88" s="222">
        <v>5810</v>
      </c>
      <c r="G88" s="222">
        <v>5796</v>
      </c>
      <c r="H88" s="274">
        <f>5810-5796</f>
        <v>14</v>
      </c>
      <c r="I88" s="197">
        <v>100</v>
      </c>
      <c r="J88" s="268">
        <f t="shared" si="7"/>
        <v>1400</v>
      </c>
      <c r="K88" s="185"/>
      <c r="V88" s="183">
        <f t="shared" si="8"/>
        <v>1</v>
      </c>
      <c r="W88" s="183">
        <f t="shared" si="9"/>
        <v>0</v>
      </c>
    </row>
    <row r="89" spans="1:23" x14ac:dyDescent="0.3">
      <c r="A89" s="184"/>
      <c r="B89" s="194">
        <v>22</v>
      </c>
      <c r="C89" s="195">
        <v>45868</v>
      </c>
      <c r="D89" s="196" t="s">
        <v>23</v>
      </c>
      <c r="E89" s="196" t="s">
        <v>25</v>
      </c>
      <c r="F89" s="222">
        <v>6100</v>
      </c>
      <c r="G89" s="222">
        <v>6030</v>
      </c>
      <c r="H89" s="274">
        <f>6100-6030</f>
        <v>70</v>
      </c>
      <c r="I89" s="197">
        <v>100</v>
      </c>
      <c r="J89" s="268">
        <f t="shared" si="7"/>
        <v>7000</v>
      </c>
      <c r="K89" s="185"/>
      <c r="V89" s="183">
        <f t="shared" si="8"/>
        <v>1</v>
      </c>
      <c r="W89" s="183">
        <f t="shared" si="9"/>
        <v>0</v>
      </c>
    </row>
    <row r="90" spans="1:23" x14ac:dyDescent="0.3">
      <c r="A90" s="184"/>
      <c r="B90" s="194">
        <v>23</v>
      </c>
      <c r="C90" s="195">
        <v>45869</v>
      </c>
      <c r="D90" s="196" t="s">
        <v>23</v>
      </c>
      <c r="E90" s="196" t="s">
        <v>25</v>
      </c>
      <c r="F90" s="222">
        <v>6120</v>
      </c>
      <c r="G90" s="222">
        <v>6050</v>
      </c>
      <c r="H90" s="274">
        <f>6120-6050</f>
        <v>70</v>
      </c>
      <c r="I90" s="197">
        <v>100</v>
      </c>
      <c r="J90" s="268">
        <f t="shared" si="7"/>
        <v>7000</v>
      </c>
      <c r="K90" s="185"/>
      <c r="V90" s="183">
        <f t="shared" si="8"/>
        <v>1</v>
      </c>
      <c r="W90" s="183">
        <f t="shared" si="9"/>
        <v>0</v>
      </c>
    </row>
    <row r="91" spans="1:23" ht="24" thickBot="1" x14ac:dyDescent="0.5">
      <c r="A91" s="184"/>
      <c r="B91" s="373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69300</v>
      </c>
      <c r="K91" s="185"/>
      <c r="V91" s="183">
        <f>SUM(V68:V90)</f>
        <v>18</v>
      </c>
      <c r="W91" s="183">
        <f>SUM(W68:W90)</f>
        <v>5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  <c r="L92" s="183" t="s">
        <v>926</v>
      </c>
    </row>
    <row r="93" spans="1:23" ht="15" thickBot="1" x14ac:dyDescent="0.35"/>
    <row r="94" spans="1:23" ht="30" customHeight="1" thickBot="1" x14ac:dyDescent="0.35">
      <c r="A94" s="180"/>
      <c r="B94" s="181"/>
      <c r="C94" s="181"/>
      <c r="D94" s="181"/>
      <c r="E94" s="181"/>
      <c r="F94" s="181"/>
      <c r="G94" s="181"/>
      <c r="H94" s="259"/>
      <c r="I94" s="181"/>
      <c r="J94" s="259"/>
      <c r="K94" s="182"/>
    </row>
    <row r="95" spans="1:23" ht="25.2" thickBot="1" x14ac:dyDescent="0.35">
      <c r="A95" s="184" t="s">
        <v>0</v>
      </c>
      <c r="B95" s="307" t="s">
        <v>873</v>
      </c>
      <c r="C95" s="308"/>
      <c r="D95" s="308"/>
      <c r="E95" s="308"/>
      <c r="F95" s="308"/>
      <c r="G95" s="308"/>
      <c r="H95" s="308"/>
      <c r="I95" s="308"/>
      <c r="J95" s="309"/>
      <c r="K95" s="185"/>
    </row>
    <row r="96" spans="1:23" ht="16.2" thickBot="1" x14ac:dyDescent="0.35">
      <c r="A96" s="184"/>
      <c r="B96" s="310">
        <v>45839</v>
      </c>
      <c r="C96" s="311"/>
      <c r="D96" s="311"/>
      <c r="E96" s="311"/>
      <c r="F96" s="311"/>
      <c r="G96" s="311"/>
      <c r="H96" s="311"/>
      <c r="I96" s="311"/>
      <c r="J96" s="312"/>
      <c r="K96" s="185"/>
    </row>
    <row r="97" spans="1:23" ht="16.2" thickBot="1" x14ac:dyDescent="0.35">
      <c r="A97" s="184"/>
      <c r="B97" s="313" t="s">
        <v>905</v>
      </c>
      <c r="C97" s="314"/>
      <c r="D97" s="314"/>
      <c r="E97" s="314"/>
      <c r="F97" s="314"/>
      <c r="G97" s="314"/>
      <c r="H97" s="314"/>
      <c r="I97" s="314"/>
      <c r="J97" s="315"/>
      <c r="K97" s="185"/>
    </row>
    <row r="98" spans="1:23" ht="15" thickBot="1" x14ac:dyDescent="0.35">
      <c r="A98" s="208"/>
      <c r="B98" s="186" t="s">
        <v>876</v>
      </c>
      <c r="C98" s="187" t="s">
        <v>1</v>
      </c>
      <c r="D98" s="188" t="s">
        <v>2</v>
      </c>
      <c r="E98" s="188" t="s">
        <v>3</v>
      </c>
      <c r="F98" s="189" t="s">
        <v>4</v>
      </c>
      <c r="G98" s="189" t="s">
        <v>5</v>
      </c>
      <c r="H98" s="260" t="s">
        <v>720</v>
      </c>
      <c r="I98" s="189" t="s">
        <v>1017</v>
      </c>
      <c r="J98" s="266" t="s">
        <v>7</v>
      </c>
      <c r="K98" s="209"/>
      <c r="L98" s="198"/>
      <c r="V98" s="183" t="s">
        <v>254</v>
      </c>
      <c r="W98" s="183" t="s">
        <v>255</v>
      </c>
    </row>
    <row r="99" spans="1:23" x14ac:dyDescent="0.3">
      <c r="A99" s="184"/>
      <c r="B99" s="214">
        <v>1</v>
      </c>
      <c r="C99" s="215">
        <v>45839</v>
      </c>
      <c r="D99" s="216" t="s">
        <v>16</v>
      </c>
      <c r="E99" s="256" t="s">
        <v>917</v>
      </c>
      <c r="F99" s="256">
        <v>180</v>
      </c>
      <c r="G99" s="256">
        <v>160</v>
      </c>
      <c r="H99" s="256">
        <v>-20</v>
      </c>
      <c r="I99" s="218">
        <v>100</v>
      </c>
      <c r="J99" s="273">
        <f>I99*H99</f>
        <v>-2000</v>
      </c>
      <c r="K99" s="185"/>
      <c r="V99" s="183">
        <f>IF($J99&gt;0,1,0)</f>
        <v>0</v>
      </c>
      <c r="W99" s="183">
        <f>IF($J99&lt;0,1,0)</f>
        <v>1</v>
      </c>
    </row>
    <row r="100" spans="1:23" x14ac:dyDescent="0.3">
      <c r="A100" s="184"/>
      <c r="B100" s="194">
        <v>2</v>
      </c>
      <c r="C100" s="195">
        <v>45840</v>
      </c>
      <c r="D100" s="196" t="s">
        <v>16</v>
      </c>
      <c r="E100" s="222" t="s">
        <v>919</v>
      </c>
      <c r="F100" s="222">
        <v>165</v>
      </c>
      <c r="G100" s="222">
        <v>173</v>
      </c>
      <c r="H100" s="222">
        <f>173-165</f>
        <v>8</v>
      </c>
      <c r="I100" s="218">
        <v>100</v>
      </c>
      <c r="J100" s="268">
        <f t="shared" ref="J100:J119" si="10">I100*H100</f>
        <v>800</v>
      </c>
      <c r="K100" s="185"/>
      <c r="V100" s="183">
        <f t="shared" ref="V100:V121" si="11">IF($J100&gt;0,1,0)</f>
        <v>1</v>
      </c>
      <c r="W100" s="183">
        <f t="shared" ref="W100:W121" si="12">IF($J100&lt;0,1,0)</f>
        <v>0</v>
      </c>
    </row>
    <row r="101" spans="1:23" x14ac:dyDescent="0.3">
      <c r="A101" s="184"/>
      <c r="B101" s="194">
        <v>3</v>
      </c>
      <c r="C101" s="195">
        <v>45841</v>
      </c>
      <c r="D101" s="196" t="s">
        <v>16</v>
      </c>
      <c r="E101" s="222" t="s">
        <v>919</v>
      </c>
      <c r="F101" s="222">
        <v>150</v>
      </c>
      <c r="G101" s="222">
        <v>162</v>
      </c>
      <c r="H101" s="222">
        <f>162-150</f>
        <v>12</v>
      </c>
      <c r="I101" s="218">
        <v>100</v>
      </c>
      <c r="J101" s="268">
        <f t="shared" si="10"/>
        <v>1200</v>
      </c>
      <c r="K101" s="185"/>
      <c r="M101" s="183" t="s">
        <v>870</v>
      </c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4</v>
      </c>
      <c r="C102" s="195">
        <v>45842</v>
      </c>
      <c r="D102" s="196" t="s">
        <v>16</v>
      </c>
      <c r="E102" s="222" t="s">
        <v>919</v>
      </c>
      <c r="F102" s="222">
        <v>155</v>
      </c>
      <c r="G102" s="222">
        <v>178</v>
      </c>
      <c r="H102" s="222">
        <f>178-155</f>
        <v>23</v>
      </c>
      <c r="I102" s="218">
        <v>100</v>
      </c>
      <c r="J102" s="268">
        <f t="shared" si="10"/>
        <v>2300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5</v>
      </c>
      <c r="C103" s="195">
        <v>45845</v>
      </c>
      <c r="D103" s="196" t="s">
        <v>16</v>
      </c>
      <c r="E103" s="222" t="s">
        <v>923</v>
      </c>
      <c r="F103" s="222">
        <v>190</v>
      </c>
      <c r="G103" s="222">
        <v>170</v>
      </c>
      <c r="H103" s="222">
        <v>-20</v>
      </c>
      <c r="I103" s="218">
        <v>100</v>
      </c>
      <c r="J103" s="268">
        <f t="shared" si="10"/>
        <v>-2000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6</v>
      </c>
      <c r="C104" s="195">
        <v>45846</v>
      </c>
      <c r="D104" s="196" t="s">
        <v>16</v>
      </c>
      <c r="E104" s="222" t="s">
        <v>924</v>
      </c>
      <c r="F104" s="222">
        <v>195</v>
      </c>
      <c r="G104" s="222">
        <v>175</v>
      </c>
      <c r="H104" s="222">
        <v>-20</v>
      </c>
      <c r="I104" s="218">
        <v>100</v>
      </c>
      <c r="J104" s="268">
        <f t="shared" si="10"/>
        <v>-2000</v>
      </c>
      <c r="K104" s="185"/>
      <c r="V104" s="183">
        <f t="shared" si="11"/>
        <v>0</v>
      </c>
      <c r="W104" s="183">
        <f t="shared" si="12"/>
        <v>1</v>
      </c>
    </row>
    <row r="105" spans="1:23" x14ac:dyDescent="0.3">
      <c r="A105" s="184"/>
      <c r="B105" s="194">
        <v>7</v>
      </c>
      <c r="C105" s="195">
        <v>45847</v>
      </c>
      <c r="D105" s="196" t="s">
        <v>16</v>
      </c>
      <c r="E105" s="222" t="s">
        <v>922</v>
      </c>
      <c r="F105" s="222">
        <v>190</v>
      </c>
      <c r="G105" s="222">
        <v>230</v>
      </c>
      <c r="H105" s="274">
        <f>230-190</f>
        <v>40</v>
      </c>
      <c r="I105" s="218">
        <v>100</v>
      </c>
      <c r="J105" s="268">
        <f t="shared" si="10"/>
        <v>4000</v>
      </c>
      <c r="K105" s="185"/>
      <c r="M105" s="183" t="s">
        <v>942</v>
      </c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8</v>
      </c>
      <c r="C106" s="195">
        <v>45848</v>
      </c>
      <c r="D106" s="196" t="s">
        <v>16</v>
      </c>
      <c r="E106" s="222" t="s">
        <v>924</v>
      </c>
      <c r="F106" s="222">
        <v>150</v>
      </c>
      <c r="G106" s="222">
        <v>190</v>
      </c>
      <c r="H106" s="222">
        <v>40</v>
      </c>
      <c r="I106" s="218">
        <v>100</v>
      </c>
      <c r="J106" s="268">
        <f t="shared" si="10"/>
        <v>4000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9</v>
      </c>
      <c r="C107" s="195">
        <v>45849</v>
      </c>
      <c r="D107" s="196" t="s">
        <v>16</v>
      </c>
      <c r="E107" s="222" t="s">
        <v>923</v>
      </c>
      <c r="F107" s="222">
        <v>150</v>
      </c>
      <c r="G107" s="222">
        <v>130</v>
      </c>
      <c r="H107" s="222">
        <v>-20</v>
      </c>
      <c r="I107" s="218">
        <v>100</v>
      </c>
      <c r="J107" s="268">
        <f t="shared" si="10"/>
        <v>-2000</v>
      </c>
      <c r="K107" s="185"/>
      <c r="V107" s="183">
        <f t="shared" si="11"/>
        <v>0</v>
      </c>
      <c r="W107" s="183">
        <f t="shared" si="12"/>
        <v>1</v>
      </c>
    </row>
    <row r="108" spans="1:23" x14ac:dyDescent="0.3">
      <c r="A108" s="184"/>
      <c r="B108" s="194">
        <v>10</v>
      </c>
      <c r="C108" s="195">
        <v>45852</v>
      </c>
      <c r="D108" s="196" t="s">
        <v>16</v>
      </c>
      <c r="E108" s="222" t="s">
        <v>916</v>
      </c>
      <c r="F108" s="222">
        <v>150</v>
      </c>
      <c r="G108" s="222">
        <v>190</v>
      </c>
      <c r="H108" s="222">
        <v>40</v>
      </c>
      <c r="I108" s="218">
        <v>100</v>
      </c>
      <c r="J108" s="268">
        <f t="shared" si="10"/>
        <v>4000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11</v>
      </c>
      <c r="C109" s="195">
        <v>45853</v>
      </c>
      <c r="D109" s="196" t="s">
        <v>16</v>
      </c>
      <c r="E109" s="222" t="s">
        <v>924</v>
      </c>
      <c r="F109" s="222">
        <v>195</v>
      </c>
      <c r="G109" s="222">
        <v>211</v>
      </c>
      <c r="H109" s="274">
        <f>211-195</f>
        <v>16</v>
      </c>
      <c r="I109" s="218">
        <v>100</v>
      </c>
      <c r="J109" s="268">
        <f t="shared" si="10"/>
        <v>1600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12</v>
      </c>
      <c r="C110" s="195">
        <v>45854</v>
      </c>
      <c r="D110" s="196" t="s">
        <v>16</v>
      </c>
      <c r="E110" s="222" t="s">
        <v>924</v>
      </c>
      <c r="F110" s="222">
        <v>200</v>
      </c>
      <c r="G110" s="222">
        <v>240</v>
      </c>
      <c r="H110" s="274">
        <v>40</v>
      </c>
      <c r="I110" s="218">
        <v>100</v>
      </c>
      <c r="J110" s="268">
        <f t="shared" si="10"/>
        <v>4000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13</v>
      </c>
      <c r="C111" s="195">
        <v>45855</v>
      </c>
      <c r="D111" s="196" t="s">
        <v>16</v>
      </c>
      <c r="E111" s="222" t="s">
        <v>924</v>
      </c>
      <c r="F111" s="222">
        <v>190</v>
      </c>
      <c r="G111" s="222">
        <v>203</v>
      </c>
      <c r="H111" s="274">
        <f>203-190</f>
        <v>13</v>
      </c>
      <c r="I111" s="218">
        <v>100</v>
      </c>
      <c r="J111" s="268">
        <f t="shared" si="10"/>
        <v>1300</v>
      </c>
      <c r="K111" s="185"/>
      <c r="V111" s="183">
        <f t="shared" si="11"/>
        <v>1</v>
      </c>
      <c r="W111" s="183">
        <f t="shared" si="12"/>
        <v>0</v>
      </c>
    </row>
    <row r="112" spans="1:23" x14ac:dyDescent="0.3">
      <c r="A112" s="184"/>
      <c r="B112" s="194">
        <v>14</v>
      </c>
      <c r="C112" s="195">
        <v>45856</v>
      </c>
      <c r="D112" s="196" t="s">
        <v>16</v>
      </c>
      <c r="E112" s="222" t="s">
        <v>919</v>
      </c>
      <c r="F112" s="222">
        <v>160</v>
      </c>
      <c r="G112" s="222">
        <v>200</v>
      </c>
      <c r="H112" s="274">
        <v>40</v>
      </c>
      <c r="I112" s="218">
        <v>100</v>
      </c>
      <c r="J112" s="268">
        <f t="shared" si="10"/>
        <v>4000</v>
      </c>
      <c r="K112" s="185"/>
      <c r="V112" s="183">
        <f t="shared" si="11"/>
        <v>1</v>
      </c>
      <c r="W112" s="183">
        <f t="shared" si="12"/>
        <v>0</v>
      </c>
    </row>
    <row r="113" spans="1:23" x14ac:dyDescent="0.3">
      <c r="A113" s="184"/>
      <c r="B113" s="194">
        <v>15</v>
      </c>
      <c r="C113" s="195">
        <v>45859</v>
      </c>
      <c r="D113" s="196" t="s">
        <v>16</v>
      </c>
      <c r="E113" s="196" t="s">
        <v>919</v>
      </c>
      <c r="F113" s="222">
        <v>205</v>
      </c>
      <c r="G113" s="222">
        <v>223</v>
      </c>
      <c r="H113" s="222">
        <f>223-205</f>
        <v>18</v>
      </c>
      <c r="I113" s="218">
        <v>100</v>
      </c>
      <c r="J113" s="268">
        <f t="shared" si="10"/>
        <v>1800</v>
      </c>
      <c r="K113" s="185"/>
      <c r="V113" s="183">
        <f t="shared" si="11"/>
        <v>1</v>
      </c>
      <c r="W113" s="183">
        <f t="shared" si="12"/>
        <v>0</v>
      </c>
    </row>
    <row r="114" spans="1:23" x14ac:dyDescent="0.3">
      <c r="A114" s="184"/>
      <c r="B114" s="194">
        <v>16</v>
      </c>
      <c r="C114" s="195">
        <v>45860</v>
      </c>
      <c r="D114" s="196" t="s">
        <v>16</v>
      </c>
      <c r="E114" s="196" t="s">
        <v>917</v>
      </c>
      <c r="F114" s="222">
        <v>165</v>
      </c>
      <c r="G114" s="274">
        <v>145</v>
      </c>
      <c r="H114" s="274">
        <v>-20</v>
      </c>
      <c r="I114" s="218">
        <v>100</v>
      </c>
      <c r="J114" s="268">
        <f t="shared" si="10"/>
        <v>-2000</v>
      </c>
      <c r="K114" s="185"/>
      <c r="V114" s="183">
        <f t="shared" si="11"/>
        <v>0</v>
      </c>
      <c r="W114" s="183">
        <f t="shared" si="12"/>
        <v>1</v>
      </c>
    </row>
    <row r="115" spans="1:23" x14ac:dyDescent="0.3">
      <c r="A115" s="184"/>
      <c r="B115" s="194">
        <v>17</v>
      </c>
      <c r="C115" s="195">
        <v>45861</v>
      </c>
      <c r="D115" s="196" t="s">
        <v>16</v>
      </c>
      <c r="E115" s="196" t="s">
        <v>917</v>
      </c>
      <c r="F115" s="222">
        <v>160</v>
      </c>
      <c r="G115" s="222">
        <v>180</v>
      </c>
      <c r="H115" s="222">
        <v>20</v>
      </c>
      <c r="I115" s="218">
        <v>100</v>
      </c>
      <c r="J115" s="268">
        <f t="shared" si="10"/>
        <v>2000</v>
      </c>
      <c r="K115" s="185"/>
      <c r="V115" s="183">
        <f t="shared" si="11"/>
        <v>1</v>
      </c>
      <c r="W115" s="183">
        <f t="shared" si="12"/>
        <v>0</v>
      </c>
    </row>
    <row r="116" spans="1:23" x14ac:dyDescent="0.3">
      <c r="A116" s="184"/>
      <c r="B116" s="194">
        <v>18</v>
      </c>
      <c r="C116" s="195">
        <v>45862</v>
      </c>
      <c r="D116" s="196" t="s">
        <v>16</v>
      </c>
      <c r="E116" s="196" t="s">
        <v>919</v>
      </c>
      <c r="F116" s="222">
        <v>165</v>
      </c>
      <c r="G116" s="222">
        <v>195</v>
      </c>
      <c r="H116" s="274">
        <f>195-165</f>
        <v>30</v>
      </c>
      <c r="I116" s="218">
        <v>100</v>
      </c>
      <c r="J116" s="268">
        <f t="shared" si="10"/>
        <v>3000</v>
      </c>
      <c r="K116" s="185"/>
      <c r="V116" s="183">
        <f t="shared" si="11"/>
        <v>1</v>
      </c>
      <c r="W116" s="183">
        <f t="shared" si="12"/>
        <v>0</v>
      </c>
    </row>
    <row r="117" spans="1:23" x14ac:dyDescent="0.3">
      <c r="A117" s="184"/>
      <c r="B117" s="194">
        <v>19</v>
      </c>
      <c r="C117" s="195">
        <v>45863</v>
      </c>
      <c r="D117" s="196" t="s">
        <v>16</v>
      </c>
      <c r="E117" s="196" t="s">
        <v>919</v>
      </c>
      <c r="F117" s="222">
        <v>150</v>
      </c>
      <c r="G117" s="222">
        <v>190</v>
      </c>
      <c r="H117" s="274">
        <v>40</v>
      </c>
      <c r="I117" s="218">
        <v>100</v>
      </c>
      <c r="J117" s="268">
        <f t="shared" si="10"/>
        <v>4000</v>
      </c>
      <c r="K117" s="185"/>
      <c r="V117" s="183">
        <f t="shared" si="11"/>
        <v>1</v>
      </c>
      <c r="W117" s="183">
        <f t="shared" si="12"/>
        <v>0</v>
      </c>
    </row>
    <row r="118" spans="1:23" x14ac:dyDescent="0.3">
      <c r="A118" s="184"/>
      <c r="B118" s="194">
        <v>20</v>
      </c>
      <c r="C118" s="195">
        <v>45866</v>
      </c>
      <c r="D118" s="196" t="s">
        <v>16</v>
      </c>
      <c r="E118" s="222" t="s">
        <v>919</v>
      </c>
      <c r="F118" s="222">
        <v>170</v>
      </c>
      <c r="G118" s="222">
        <v>150</v>
      </c>
      <c r="H118" s="274">
        <v>20</v>
      </c>
      <c r="I118" s="218">
        <v>100</v>
      </c>
      <c r="J118" s="268">
        <f t="shared" si="10"/>
        <v>2000</v>
      </c>
      <c r="K118" s="185"/>
      <c r="V118" s="183">
        <f t="shared" si="11"/>
        <v>1</v>
      </c>
      <c r="W118" s="183">
        <f t="shared" si="12"/>
        <v>0</v>
      </c>
    </row>
    <row r="119" spans="1:23" x14ac:dyDescent="0.3">
      <c r="A119" s="184"/>
      <c r="B119" s="194">
        <v>21</v>
      </c>
      <c r="C119" s="195">
        <v>45867</v>
      </c>
      <c r="D119" s="196" t="s">
        <v>16</v>
      </c>
      <c r="E119" s="222" t="s">
        <v>923</v>
      </c>
      <c r="F119" s="222">
        <v>175</v>
      </c>
      <c r="G119" s="222">
        <v>182</v>
      </c>
      <c r="H119" s="274">
        <f>182-175</f>
        <v>7</v>
      </c>
      <c r="I119" s="218">
        <v>100</v>
      </c>
      <c r="J119" s="268">
        <f t="shared" si="10"/>
        <v>700</v>
      </c>
      <c r="K119" s="185"/>
      <c r="V119" s="183">
        <f t="shared" si="11"/>
        <v>1</v>
      </c>
      <c r="W119" s="183">
        <f t="shared" si="12"/>
        <v>0</v>
      </c>
    </row>
    <row r="120" spans="1:23" x14ac:dyDescent="0.3">
      <c r="A120" s="184"/>
      <c r="B120" s="194">
        <v>22</v>
      </c>
      <c r="C120" s="195">
        <v>45868</v>
      </c>
      <c r="D120" s="196" t="s">
        <v>16</v>
      </c>
      <c r="E120" s="222" t="s">
        <v>916</v>
      </c>
      <c r="F120" s="222">
        <v>155</v>
      </c>
      <c r="G120" s="222">
        <v>195</v>
      </c>
      <c r="H120" s="222">
        <f>195-155</f>
        <v>40</v>
      </c>
      <c r="I120" s="218">
        <v>100</v>
      </c>
      <c r="J120" s="268">
        <f>I120*H120</f>
        <v>4000</v>
      </c>
      <c r="K120" s="185"/>
      <c r="V120" s="183">
        <f t="shared" si="11"/>
        <v>1</v>
      </c>
      <c r="W120" s="183">
        <f t="shared" si="12"/>
        <v>0</v>
      </c>
    </row>
    <row r="121" spans="1:23" ht="15" thickBot="1" x14ac:dyDescent="0.35">
      <c r="A121" s="184"/>
      <c r="B121" s="199">
        <v>23</v>
      </c>
      <c r="C121" s="200">
        <v>45869</v>
      </c>
      <c r="D121" s="201" t="s">
        <v>16</v>
      </c>
      <c r="E121" s="201" t="s">
        <v>915</v>
      </c>
      <c r="F121" s="284">
        <v>145</v>
      </c>
      <c r="G121" s="284">
        <v>185</v>
      </c>
      <c r="H121" s="284">
        <v>40</v>
      </c>
      <c r="I121" s="285">
        <v>100</v>
      </c>
      <c r="J121" s="269">
        <f>I121*H121</f>
        <v>4000</v>
      </c>
      <c r="K121" s="185"/>
      <c r="V121" s="183">
        <f t="shared" si="11"/>
        <v>1</v>
      </c>
      <c r="W121" s="183">
        <f t="shared" si="12"/>
        <v>0</v>
      </c>
    </row>
    <row r="122" spans="1:23" ht="24" thickBot="1" x14ac:dyDescent="0.5">
      <c r="A122" s="184"/>
      <c r="B122" s="304" t="s">
        <v>879</v>
      </c>
      <c r="C122" s="305"/>
      <c r="D122" s="305"/>
      <c r="E122" s="305"/>
      <c r="F122" s="305"/>
      <c r="G122" s="305"/>
      <c r="H122" s="306"/>
      <c r="I122" s="203" t="s">
        <v>880</v>
      </c>
      <c r="J122" s="204">
        <f>SUM(J99:J121)</f>
        <v>38700</v>
      </c>
      <c r="K122" s="185"/>
      <c r="V122" s="183">
        <f>SUM(V99:V121)</f>
        <v>18</v>
      </c>
      <c r="W122" s="183">
        <f>SUM(W99:W121)</f>
        <v>5</v>
      </c>
    </row>
    <row r="123" spans="1:23" ht="30" customHeight="1" thickBot="1" x14ac:dyDescent="0.35">
      <c r="A123" s="205"/>
      <c r="B123" s="286"/>
      <c r="C123" s="286"/>
      <c r="D123" s="286"/>
      <c r="E123" s="286"/>
      <c r="F123" s="286"/>
      <c r="G123" s="286"/>
      <c r="H123" s="287"/>
      <c r="I123" s="286"/>
      <c r="J123" s="287"/>
      <c r="K123" s="207"/>
    </row>
    <row r="124" spans="1:23" ht="15" thickBot="1" x14ac:dyDescent="0.35"/>
    <row r="125" spans="1:23" ht="15" thickBot="1" x14ac:dyDescent="0.35">
      <c r="A125" s="180"/>
      <c r="B125" s="181"/>
      <c r="C125" s="181"/>
      <c r="D125" s="181"/>
      <c r="E125" s="181"/>
      <c r="F125" s="181"/>
      <c r="G125" s="181"/>
      <c r="H125" s="259"/>
      <c r="I125" s="181"/>
      <c r="J125" s="259"/>
      <c r="K125" s="182"/>
    </row>
    <row r="126" spans="1:23" ht="25.2" thickBot="1" x14ac:dyDescent="0.35">
      <c r="A126" s="184" t="s">
        <v>0</v>
      </c>
      <c r="B126" s="307" t="s">
        <v>873</v>
      </c>
      <c r="C126" s="308"/>
      <c r="D126" s="308"/>
      <c r="E126" s="308"/>
      <c r="F126" s="308"/>
      <c r="G126" s="308"/>
      <c r="H126" s="308"/>
      <c r="I126" s="308"/>
      <c r="J126" s="309"/>
      <c r="K126" s="185"/>
    </row>
    <row r="127" spans="1:23" ht="16.2" thickBot="1" x14ac:dyDescent="0.35">
      <c r="A127" s="184"/>
      <c r="B127" s="310">
        <v>45839</v>
      </c>
      <c r="C127" s="311"/>
      <c r="D127" s="311"/>
      <c r="E127" s="311"/>
      <c r="F127" s="311"/>
      <c r="G127" s="311"/>
      <c r="H127" s="311"/>
      <c r="I127" s="311"/>
      <c r="J127" s="312"/>
      <c r="K127" s="185"/>
    </row>
    <row r="128" spans="1:23" ht="16.2" thickBot="1" x14ac:dyDescent="0.35">
      <c r="A128" s="184"/>
      <c r="B128" s="313" t="s">
        <v>995</v>
      </c>
      <c r="C128" s="314"/>
      <c r="D128" s="314"/>
      <c r="E128" s="314"/>
      <c r="F128" s="314"/>
      <c r="G128" s="314"/>
      <c r="H128" s="314"/>
      <c r="I128" s="314"/>
      <c r="J128" s="315"/>
      <c r="K128" s="185"/>
    </row>
    <row r="129" spans="1:23" ht="15" thickBot="1" x14ac:dyDescent="0.35">
      <c r="A129" s="208"/>
      <c r="B129" s="186" t="s">
        <v>876</v>
      </c>
      <c r="C129" s="187" t="s">
        <v>1</v>
      </c>
      <c r="D129" s="188" t="s">
        <v>2</v>
      </c>
      <c r="E129" s="188" t="s">
        <v>3</v>
      </c>
      <c r="F129" s="189" t="s">
        <v>4</v>
      </c>
      <c r="G129" s="189" t="s">
        <v>5</v>
      </c>
      <c r="H129" s="260" t="s">
        <v>720</v>
      </c>
      <c r="I129" s="189" t="s">
        <v>1017</v>
      </c>
      <c r="J129" s="266" t="s">
        <v>7</v>
      </c>
      <c r="K129" s="209"/>
    </row>
    <row r="130" spans="1:23" x14ac:dyDescent="0.3">
      <c r="A130" s="184"/>
      <c r="B130" s="214">
        <v>1</v>
      </c>
      <c r="C130" s="215">
        <v>45839</v>
      </c>
      <c r="D130" s="216" t="s">
        <v>16</v>
      </c>
      <c r="E130" s="256" t="s">
        <v>999</v>
      </c>
      <c r="F130" s="256">
        <v>17.5</v>
      </c>
      <c r="G130" s="256">
        <v>22.5</v>
      </c>
      <c r="H130" s="256">
        <v>5</v>
      </c>
      <c r="I130" s="218">
        <v>2500</v>
      </c>
      <c r="J130" s="273">
        <f>I130*H130</f>
        <v>12500</v>
      </c>
      <c r="K130" s="185"/>
      <c r="V130" s="183">
        <f t="shared" ref="V130:V152" si="13">IF($J130&gt;0,1,0)</f>
        <v>1</v>
      </c>
      <c r="W130" s="183">
        <f t="shared" ref="W130:W152" si="14">IF($J130&lt;0,1,0)</f>
        <v>0</v>
      </c>
    </row>
    <row r="131" spans="1:23" x14ac:dyDescent="0.3">
      <c r="A131" s="184"/>
      <c r="B131" s="194">
        <v>2</v>
      </c>
      <c r="C131" s="195">
        <v>45840</v>
      </c>
      <c r="D131" s="196" t="s">
        <v>16</v>
      </c>
      <c r="E131" s="222" t="s">
        <v>999</v>
      </c>
      <c r="F131" s="222">
        <v>18.5</v>
      </c>
      <c r="G131" s="222">
        <v>15.5</v>
      </c>
      <c r="H131" s="222">
        <v>-3</v>
      </c>
      <c r="I131" s="218">
        <v>2500</v>
      </c>
      <c r="J131" s="268">
        <f t="shared" ref="J131:J150" si="15">I131*H131</f>
        <v>-7500</v>
      </c>
      <c r="K131" s="185"/>
      <c r="V131" s="183">
        <f t="shared" si="13"/>
        <v>0</v>
      </c>
      <c r="W131" s="183">
        <f t="shared" si="14"/>
        <v>1</v>
      </c>
    </row>
    <row r="132" spans="1:23" x14ac:dyDescent="0.3">
      <c r="A132" s="184"/>
      <c r="B132" s="194">
        <v>3</v>
      </c>
      <c r="C132" s="195">
        <v>45841</v>
      </c>
      <c r="D132" s="196" t="s">
        <v>16</v>
      </c>
      <c r="E132" s="222" t="s">
        <v>1012</v>
      </c>
      <c r="F132" s="222">
        <v>19.5</v>
      </c>
      <c r="G132" s="222">
        <v>24.65</v>
      </c>
      <c r="H132" s="222">
        <f>24.65-19.5</f>
        <v>5.1499999999999986</v>
      </c>
      <c r="I132" s="218">
        <v>2500</v>
      </c>
      <c r="J132" s="268">
        <f t="shared" si="15"/>
        <v>12874.999999999996</v>
      </c>
      <c r="K132" s="185"/>
      <c r="V132" s="183">
        <f t="shared" si="13"/>
        <v>1</v>
      </c>
      <c r="W132" s="183">
        <f t="shared" si="14"/>
        <v>0</v>
      </c>
    </row>
    <row r="133" spans="1:23" x14ac:dyDescent="0.3">
      <c r="A133" s="184"/>
      <c r="B133" s="194">
        <v>4</v>
      </c>
      <c r="C133" s="195">
        <v>45842</v>
      </c>
      <c r="D133" s="196" t="s">
        <v>16</v>
      </c>
      <c r="E133" s="222" t="s">
        <v>1009</v>
      </c>
      <c r="F133" s="222">
        <v>17.5</v>
      </c>
      <c r="G133" s="222">
        <v>14.5</v>
      </c>
      <c r="H133" s="222">
        <v>-3</v>
      </c>
      <c r="I133" s="218">
        <v>2500</v>
      </c>
      <c r="J133" s="268">
        <f t="shared" si="15"/>
        <v>-7500</v>
      </c>
      <c r="K133" s="185"/>
      <c r="V133" s="183">
        <f t="shared" si="13"/>
        <v>0</v>
      </c>
      <c r="W133" s="183">
        <f t="shared" si="14"/>
        <v>1</v>
      </c>
    </row>
    <row r="134" spans="1:23" x14ac:dyDescent="0.3">
      <c r="A134" s="184"/>
      <c r="B134" s="194">
        <v>5</v>
      </c>
      <c r="C134" s="195">
        <v>45845</v>
      </c>
      <c r="D134" s="196" t="s">
        <v>16</v>
      </c>
      <c r="E134" s="222" t="s">
        <v>1082</v>
      </c>
      <c r="F134" s="222">
        <v>14</v>
      </c>
      <c r="G134" s="222">
        <v>18</v>
      </c>
      <c r="H134" s="222">
        <v>4</v>
      </c>
      <c r="I134" s="218">
        <v>2500</v>
      </c>
      <c r="J134" s="268">
        <f t="shared" si="15"/>
        <v>10000</v>
      </c>
      <c r="K134" s="185"/>
      <c r="V134" s="183">
        <f t="shared" si="13"/>
        <v>1</v>
      </c>
      <c r="W134" s="183">
        <f t="shared" si="14"/>
        <v>0</v>
      </c>
    </row>
    <row r="135" spans="1:23" x14ac:dyDescent="0.3">
      <c r="A135" s="184"/>
      <c r="B135" s="194">
        <v>6</v>
      </c>
      <c r="C135" s="195">
        <v>45846</v>
      </c>
      <c r="D135" s="196" t="s">
        <v>16</v>
      </c>
      <c r="E135" s="222" t="s">
        <v>1083</v>
      </c>
      <c r="F135" s="222">
        <v>14.5</v>
      </c>
      <c r="G135" s="222">
        <v>16</v>
      </c>
      <c r="H135" s="222">
        <f>16-14.5</f>
        <v>1.5</v>
      </c>
      <c r="I135" s="218">
        <v>2500</v>
      </c>
      <c r="J135" s="268">
        <f t="shared" si="15"/>
        <v>3750</v>
      </c>
      <c r="K135" s="185"/>
      <c r="V135" s="183">
        <f t="shared" si="13"/>
        <v>1</v>
      </c>
      <c r="W135" s="183">
        <f t="shared" si="14"/>
        <v>0</v>
      </c>
    </row>
    <row r="136" spans="1:23" x14ac:dyDescent="0.3">
      <c r="A136" s="184"/>
      <c r="B136" s="194">
        <v>7</v>
      </c>
      <c r="C136" s="195">
        <v>45847</v>
      </c>
      <c r="D136" s="196" t="s">
        <v>16</v>
      </c>
      <c r="E136" s="222" t="s">
        <v>1084</v>
      </c>
      <c r="F136" s="222">
        <v>15.5</v>
      </c>
      <c r="G136" s="222">
        <v>21.5</v>
      </c>
      <c r="H136" s="274">
        <v>6</v>
      </c>
      <c r="I136" s="218">
        <v>2500</v>
      </c>
      <c r="J136" s="268">
        <f t="shared" si="15"/>
        <v>15000</v>
      </c>
      <c r="K136" s="185"/>
      <c r="V136" s="183">
        <f t="shared" si="13"/>
        <v>1</v>
      </c>
      <c r="W136" s="183">
        <f t="shared" si="14"/>
        <v>0</v>
      </c>
    </row>
    <row r="137" spans="1:23" x14ac:dyDescent="0.3">
      <c r="A137" s="184"/>
      <c r="B137" s="194">
        <v>8</v>
      </c>
      <c r="C137" s="195">
        <v>45848</v>
      </c>
      <c r="D137" s="196" t="s">
        <v>16</v>
      </c>
      <c r="E137" s="222" t="s">
        <v>1084</v>
      </c>
      <c r="F137" s="222">
        <v>18.5</v>
      </c>
      <c r="G137" s="222">
        <v>20.5</v>
      </c>
      <c r="H137" s="222">
        <v>2</v>
      </c>
      <c r="I137" s="218">
        <v>2500</v>
      </c>
      <c r="J137" s="268">
        <f t="shared" si="15"/>
        <v>5000</v>
      </c>
      <c r="K137" s="185"/>
      <c r="V137" s="183">
        <f t="shared" si="13"/>
        <v>1</v>
      </c>
      <c r="W137" s="183">
        <f t="shared" si="14"/>
        <v>0</v>
      </c>
    </row>
    <row r="138" spans="1:23" x14ac:dyDescent="0.3">
      <c r="A138" s="184"/>
      <c r="B138" s="194">
        <v>9</v>
      </c>
      <c r="C138" s="195">
        <v>45849</v>
      </c>
      <c r="D138" s="196" t="s">
        <v>16</v>
      </c>
      <c r="E138" s="222" t="s">
        <v>999</v>
      </c>
      <c r="F138" s="222">
        <v>15</v>
      </c>
      <c r="G138" s="222">
        <v>12</v>
      </c>
      <c r="H138" s="222">
        <v>-3</v>
      </c>
      <c r="I138" s="218">
        <v>2500</v>
      </c>
      <c r="J138" s="268">
        <f t="shared" si="15"/>
        <v>-7500</v>
      </c>
      <c r="K138" s="185"/>
      <c r="V138" s="183">
        <f t="shared" si="13"/>
        <v>0</v>
      </c>
      <c r="W138" s="183">
        <f t="shared" si="14"/>
        <v>1</v>
      </c>
    </row>
    <row r="139" spans="1:23" x14ac:dyDescent="0.3">
      <c r="A139" s="184"/>
      <c r="B139" s="194">
        <v>10</v>
      </c>
      <c r="C139" s="195">
        <v>45852</v>
      </c>
      <c r="D139" s="196" t="s">
        <v>16</v>
      </c>
      <c r="E139" s="222" t="s">
        <v>1010</v>
      </c>
      <c r="F139" s="222">
        <v>13.5</v>
      </c>
      <c r="G139" s="222">
        <v>17.399999999999999</v>
      </c>
      <c r="H139" s="222">
        <f>17.4-13.5</f>
        <v>3.8999999999999986</v>
      </c>
      <c r="I139" s="218">
        <v>2500</v>
      </c>
      <c r="J139" s="268">
        <f t="shared" si="15"/>
        <v>9749.9999999999964</v>
      </c>
      <c r="K139" s="185"/>
      <c r="V139" s="183">
        <f t="shared" si="13"/>
        <v>1</v>
      </c>
      <c r="W139" s="183">
        <f t="shared" si="14"/>
        <v>0</v>
      </c>
    </row>
    <row r="140" spans="1:23" x14ac:dyDescent="0.3">
      <c r="A140" s="184"/>
      <c r="B140" s="194">
        <v>11</v>
      </c>
      <c r="C140" s="195">
        <v>45853</v>
      </c>
      <c r="D140" s="196" t="s">
        <v>16</v>
      </c>
      <c r="E140" s="222" t="s">
        <v>1010</v>
      </c>
      <c r="F140" s="222">
        <v>15</v>
      </c>
      <c r="G140" s="222">
        <v>16.25</v>
      </c>
      <c r="H140" s="274">
        <v>1.25</v>
      </c>
      <c r="I140" s="218">
        <v>2500</v>
      </c>
      <c r="J140" s="268">
        <f t="shared" si="15"/>
        <v>3125</v>
      </c>
      <c r="K140" s="185"/>
      <c r="V140" s="183">
        <f t="shared" si="13"/>
        <v>1</v>
      </c>
      <c r="W140" s="183">
        <f t="shared" si="14"/>
        <v>0</v>
      </c>
    </row>
    <row r="141" spans="1:23" x14ac:dyDescent="0.3">
      <c r="A141" s="184"/>
      <c r="B141" s="194">
        <v>12</v>
      </c>
      <c r="C141" s="195">
        <v>45854</v>
      </c>
      <c r="D141" s="196" t="s">
        <v>16</v>
      </c>
      <c r="E141" s="222" t="s">
        <v>1010</v>
      </c>
      <c r="F141" s="222">
        <v>10</v>
      </c>
      <c r="G141" s="222">
        <v>10.9</v>
      </c>
      <c r="H141" s="274">
        <v>0.9</v>
      </c>
      <c r="I141" s="218">
        <v>2500</v>
      </c>
      <c r="J141" s="268">
        <f t="shared" si="15"/>
        <v>2250</v>
      </c>
      <c r="K141" s="185"/>
      <c r="V141" s="183">
        <f t="shared" si="13"/>
        <v>1</v>
      </c>
      <c r="W141" s="183">
        <f t="shared" si="14"/>
        <v>0</v>
      </c>
    </row>
    <row r="142" spans="1:23" x14ac:dyDescent="0.3">
      <c r="A142" s="184"/>
      <c r="B142" s="194">
        <v>13</v>
      </c>
      <c r="C142" s="195">
        <v>45855</v>
      </c>
      <c r="D142" s="196" t="s">
        <v>16</v>
      </c>
      <c r="E142" s="222" t="s">
        <v>1047</v>
      </c>
      <c r="F142" s="222">
        <v>12.5</v>
      </c>
      <c r="G142" s="222">
        <v>14.1</v>
      </c>
      <c r="H142" s="274">
        <f>14.1-12.5</f>
        <v>1.5999999999999996</v>
      </c>
      <c r="I142" s="218">
        <v>2500</v>
      </c>
      <c r="J142" s="268">
        <f t="shared" si="15"/>
        <v>3999.9999999999991</v>
      </c>
      <c r="K142" s="185"/>
      <c r="V142" s="183">
        <f t="shared" si="13"/>
        <v>1</v>
      </c>
      <c r="W142" s="183">
        <f t="shared" si="14"/>
        <v>0</v>
      </c>
    </row>
    <row r="143" spans="1:23" x14ac:dyDescent="0.3">
      <c r="A143" s="184"/>
      <c r="B143" s="194">
        <v>14</v>
      </c>
      <c r="C143" s="195">
        <v>45856</v>
      </c>
      <c r="D143" s="196" t="s">
        <v>16</v>
      </c>
      <c r="E143" s="222" t="s">
        <v>1047</v>
      </c>
      <c r="F143" s="222">
        <v>11.5</v>
      </c>
      <c r="G143" s="222">
        <v>14.35</v>
      </c>
      <c r="H143" s="274">
        <f>14.35-11.5</f>
        <v>2.8499999999999996</v>
      </c>
      <c r="I143" s="218">
        <v>2500</v>
      </c>
      <c r="J143" s="268">
        <f t="shared" si="15"/>
        <v>7124.9999999999991</v>
      </c>
      <c r="K143" s="185"/>
      <c r="V143" s="183">
        <f t="shared" si="13"/>
        <v>1</v>
      </c>
      <c r="W143" s="183">
        <f t="shared" si="14"/>
        <v>0</v>
      </c>
    </row>
    <row r="144" spans="1:23" x14ac:dyDescent="0.3">
      <c r="A144" s="184"/>
      <c r="B144" s="194">
        <v>15</v>
      </c>
      <c r="C144" s="195">
        <v>45859</v>
      </c>
      <c r="D144" s="196" t="s">
        <v>16</v>
      </c>
      <c r="E144" s="196" t="s">
        <v>1010</v>
      </c>
      <c r="F144" s="222">
        <v>12.5</v>
      </c>
      <c r="G144" s="222">
        <v>14.7</v>
      </c>
      <c r="H144" s="222">
        <f>14.7-12.5</f>
        <v>2.1999999999999993</v>
      </c>
      <c r="I144" s="218">
        <v>2500</v>
      </c>
      <c r="J144" s="268">
        <f t="shared" si="15"/>
        <v>5499.9999999999982</v>
      </c>
      <c r="K144" s="185"/>
      <c r="V144" s="183">
        <f t="shared" si="13"/>
        <v>1</v>
      </c>
      <c r="W144" s="183">
        <f t="shared" si="14"/>
        <v>0</v>
      </c>
    </row>
    <row r="145" spans="1:23" x14ac:dyDescent="0.3">
      <c r="A145" s="184"/>
      <c r="B145" s="194">
        <v>16</v>
      </c>
      <c r="C145" s="195">
        <v>45860</v>
      </c>
      <c r="D145" s="196" t="s">
        <v>16</v>
      </c>
      <c r="E145" s="196" t="s">
        <v>1010</v>
      </c>
      <c r="F145" s="222">
        <v>18.5</v>
      </c>
      <c r="G145" s="274">
        <v>23</v>
      </c>
      <c r="H145" s="222">
        <f>23-18.5</f>
        <v>4.5</v>
      </c>
      <c r="I145" s="218">
        <v>2500</v>
      </c>
      <c r="J145" s="268">
        <f t="shared" si="15"/>
        <v>11250</v>
      </c>
      <c r="K145" s="185"/>
      <c r="V145" s="183">
        <f t="shared" si="13"/>
        <v>1</v>
      </c>
      <c r="W145" s="183">
        <f t="shared" si="14"/>
        <v>0</v>
      </c>
    </row>
    <row r="146" spans="1:23" x14ac:dyDescent="0.3">
      <c r="A146" s="184"/>
      <c r="B146" s="194">
        <v>17</v>
      </c>
      <c r="C146" s="195">
        <v>45861</v>
      </c>
      <c r="D146" s="196" t="s">
        <v>16</v>
      </c>
      <c r="E146" s="196" t="s">
        <v>999</v>
      </c>
      <c r="F146" s="222">
        <v>12.5</v>
      </c>
      <c r="G146" s="222">
        <v>18.5</v>
      </c>
      <c r="H146" s="222">
        <v>6</v>
      </c>
      <c r="I146" s="218">
        <v>2500</v>
      </c>
      <c r="J146" s="268">
        <f t="shared" si="15"/>
        <v>15000</v>
      </c>
      <c r="K146" s="185"/>
      <c r="V146" s="183">
        <f t="shared" si="13"/>
        <v>1</v>
      </c>
      <c r="W146" s="183">
        <f t="shared" si="14"/>
        <v>0</v>
      </c>
    </row>
    <row r="147" spans="1:23" x14ac:dyDescent="0.3">
      <c r="A147" s="184"/>
      <c r="B147" s="194">
        <v>18</v>
      </c>
      <c r="C147" s="195">
        <v>45862</v>
      </c>
      <c r="D147" s="196" t="s">
        <v>16</v>
      </c>
      <c r="E147" s="196" t="s">
        <v>1053</v>
      </c>
      <c r="F147" s="222">
        <v>12.5</v>
      </c>
      <c r="G147" s="222">
        <v>14.75</v>
      </c>
      <c r="H147" s="274">
        <f>14.75-12.5</f>
        <v>2.25</v>
      </c>
      <c r="I147" s="218">
        <v>2500</v>
      </c>
      <c r="J147" s="268">
        <f t="shared" si="15"/>
        <v>5625</v>
      </c>
      <c r="K147" s="185"/>
      <c r="V147" s="183">
        <f t="shared" si="13"/>
        <v>1</v>
      </c>
      <c r="W147" s="183">
        <f t="shared" si="14"/>
        <v>0</v>
      </c>
    </row>
    <row r="148" spans="1:23" x14ac:dyDescent="0.3">
      <c r="A148" s="184"/>
      <c r="B148" s="194">
        <v>19</v>
      </c>
      <c r="C148" s="195">
        <v>45863</v>
      </c>
      <c r="D148" s="196" t="s">
        <v>16</v>
      </c>
      <c r="E148" s="196" t="s">
        <v>1054</v>
      </c>
      <c r="F148" s="222">
        <v>16.5</v>
      </c>
      <c r="G148" s="222">
        <v>18</v>
      </c>
      <c r="H148" s="274">
        <f>18-16.5</f>
        <v>1.5</v>
      </c>
      <c r="I148" s="218">
        <v>2500</v>
      </c>
      <c r="J148" s="268">
        <f t="shared" si="15"/>
        <v>3750</v>
      </c>
      <c r="K148" s="185"/>
      <c r="V148" s="183">
        <f t="shared" si="13"/>
        <v>1</v>
      </c>
      <c r="W148" s="183">
        <f t="shared" si="14"/>
        <v>0</v>
      </c>
    </row>
    <row r="149" spans="1:23" x14ac:dyDescent="0.3">
      <c r="A149" s="184"/>
      <c r="B149" s="194">
        <v>20</v>
      </c>
      <c r="C149" s="195">
        <v>45866</v>
      </c>
      <c r="D149" s="196" t="s">
        <v>16</v>
      </c>
      <c r="E149" s="222" t="s">
        <v>1054</v>
      </c>
      <c r="F149" s="222">
        <v>16</v>
      </c>
      <c r="G149" s="222">
        <v>17</v>
      </c>
      <c r="H149" s="274">
        <v>1</v>
      </c>
      <c r="I149" s="218">
        <v>2500</v>
      </c>
      <c r="J149" s="268">
        <f t="shared" si="15"/>
        <v>2500</v>
      </c>
      <c r="K149" s="185"/>
      <c r="V149" s="183">
        <f t="shared" si="13"/>
        <v>1</v>
      </c>
      <c r="W149" s="183">
        <f t="shared" si="14"/>
        <v>0</v>
      </c>
    </row>
    <row r="150" spans="1:23" x14ac:dyDescent="0.3">
      <c r="A150" s="184"/>
      <c r="B150" s="194">
        <v>21</v>
      </c>
      <c r="C150" s="195">
        <v>45867</v>
      </c>
      <c r="D150" s="196" t="s">
        <v>16</v>
      </c>
      <c r="E150" s="222" t="s">
        <v>1054</v>
      </c>
      <c r="F150" s="222">
        <v>16</v>
      </c>
      <c r="G150" s="222">
        <v>17</v>
      </c>
      <c r="H150" s="274">
        <v>1</v>
      </c>
      <c r="I150" s="218">
        <v>2500</v>
      </c>
      <c r="J150" s="268">
        <f t="shared" si="15"/>
        <v>2500</v>
      </c>
      <c r="K150" s="185"/>
      <c r="V150" s="183">
        <f t="shared" si="13"/>
        <v>1</v>
      </c>
      <c r="W150" s="183">
        <f t="shared" si="14"/>
        <v>0</v>
      </c>
    </row>
    <row r="151" spans="1:23" x14ac:dyDescent="0.3">
      <c r="A151" s="184"/>
      <c r="B151" s="194">
        <v>22</v>
      </c>
      <c r="C151" s="195">
        <v>45868</v>
      </c>
      <c r="D151" s="196" t="s">
        <v>16</v>
      </c>
      <c r="E151" s="222" t="s">
        <v>1094</v>
      </c>
      <c r="F151" s="222">
        <v>20.5</v>
      </c>
      <c r="G151" s="222">
        <v>21.7</v>
      </c>
      <c r="H151" s="222">
        <f>21.7-20.5</f>
        <v>1.1999999999999993</v>
      </c>
      <c r="I151" s="218">
        <v>2500</v>
      </c>
      <c r="J151" s="268">
        <f>I151*H151</f>
        <v>2999.9999999999982</v>
      </c>
      <c r="K151" s="185"/>
      <c r="V151" s="183">
        <f t="shared" si="13"/>
        <v>1</v>
      </c>
      <c r="W151" s="183">
        <f t="shared" si="14"/>
        <v>0</v>
      </c>
    </row>
    <row r="152" spans="1:23" ht="15" thickBot="1" x14ac:dyDescent="0.35">
      <c r="A152" s="184"/>
      <c r="B152" s="199">
        <v>23</v>
      </c>
      <c r="C152" s="200">
        <v>45869</v>
      </c>
      <c r="D152" s="201" t="s">
        <v>16</v>
      </c>
      <c r="E152" s="201" t="s">
        <v>1054</v>
      </c>
      <c r="F152" s="284">
        <v>20</v>
      </c>
      <c r="G152" s="284">
        <v>21.95</v>
      </c>
      <c r="H152" s="284">
        <v>1.95</v>
      </c>
      <c r="I152" s="285">
        <v>2500</v>
      </c>
      <c r="J152" s="269">
        <f>I152*H152</f>
        <v>4875</v>
      </c>
      <c r="K152" s="185"/>
      <c r="V152" s="183">
        <f t="shared" si="13"/>
        <v>1</v>
      </c>
      <c r="W152" s="183">
        <f t="shared" si="14"/>
        <v>0</v>
      </c>
    </row>
    <row r="153" spans="1:23" ht="24" thickBot="1" x14ac:dyDescent="0.5">
      <c r="A153" s="184"/>
      <c r="B153" s="304" t="s">
        <v>879</v>
      </c>
      <c r="C153" s="305"/>
      <c r="D153" s="305"/>
      <c r="E153" s="305"/>
      <c r="F153" s="305"/>
      <c r="G153" s="305"/>
      <c r="H153" s="306"/>
      <c r="I153" s="203" t="s">
        <v>880</v>
      </c>
      <c r="J153" s="204">
        <f>SUM(J130:J152)</f>
        <v>116875</v>
      </c>
      <c r="K153" s="185"/>
      <c r="V153" s="183">
        <f>SUM(V130:V152)</f>
        <v>20</v>
      </c>
      <c r="W153" s="183">
        <f>SUM(W130:W152)</f>
        <v>3</v>
      </c>
    </row>
    <row r="154" spans="1:23" ht="15" thickBot="1" x14ac:dyDescent="0.35">
      <c r="A154" s="205"/>
      <c r="B154" s="286"/>
      <c r="C154" s="286"/>
      <c r="D154" s="286"/>
      <c r="E154" s="286"/>
      <c r="F154" s="286"/>
      <c r="G154" s="286"/>
      <c r="H154" s="287"/>
      <c r="I154" s="286"/>
      <c r="J154" s="287"/>
      <c r="K154" s="207"/>
    </row>
    <row r="155" spans="1:23" ht="15" thickBot="1" x14ac:dyDescent="0.35"/>
    <row r="156" spans="1:23" ht="15" thickBot="1" x14ac:dyDescent="0.35">
      <c r="A156" s="180"/>
      <c r="B156" s="181"/>
      <c r="C156" s="181"/>
      <c r="D156" s="181"/>
      <c r="E156" s="181"/>
      <c r="F156" s="181"/>
      <c r="G156" s="181"/>
      <c r="H156" s="259"/>
      <c r="I156" s="181"/>
      <c r="J156" s="259"/>
      <c r="K156" s="182"/>
    </row>
    <row r="157" spans="1:23" ht="25.2" thickBot="1" x14ac:dyDescent="0.35">
      <c r="A157" s="184" t="s">
        <v>0</v>
      </c>
      <c r="B157" s="307" t="s">
        <v>873</v>
      </c>
      <c r="C157" s="308"/>
      <c r="D157" s="308"/>
      <c r="E157" s="308"/>
      <c r="F157" s="308"/>
      <c r="G157" s="308"/>
      <c r="H157" s="308"/>
      <c r="I157" s="308"/>
      <c r="J157" s="309"/>
      <c r="K157" s="185"/>
    </row>
    <row r="158" spans="1:23" ht="16.2" thickBot="1" x14ac:dyDescent="0.35">
      <c r="A158" s="184"/>
      <c r="B158" s="310">
        <v>45839</v>
      </c>
      <c r="C158" s="311"/>
      <c r="D158" s="311"/>
      <c r="E158" s="311"/>
      <c r="F158" s="311"/>
      <c r="G158" s="311"/>
      <c r="H158" s="311"/>
      <c r="I158" s="311"/>
      <c r="J158" s="312"/>
      <c r="K158" s="185"/>
    </row>
    <row r="159" spans="1:23" ht="16.2" thickBot="1" x14ac:dyDescent="0.35">
      <c r="A159" s="184"/>
      <c r="B159" s="313" t="s">
        <v>996</v>
      </c>
      <c r="C159" s="314"/>
      <c r="D159" s="314"/>
      <c r="E159" s="314"/>
      <c r="F159" s="314"/>
      <c r="G159" s="314"/>
      <c r="H159" s="314"/>
      <c r="I159" s="314"/>
      <c r="J159" s="315"/>
      <c r="K159" s="185"/>
    </row>
    <row r="160" spans="1:23" ht="15" thickBot="1" x14ac:dyDescent="0.35">
      <c r="A160" s="208"/>
      <c r="B160" s="186" t="s">
        <v>876</v>
      </c>
      <c r="C160" s="187" t="s">
        <v>1</v>
      </c>
      <c r="D160" s="188" t="s">
        <v>2</v>
      </c>
      <c r="E160" s="188" t="s">
        <v>3</v>
      </c>
      <c r="F160" s="189" t="s">
        <v>4</v>
      </c>
      <c r="G160" s="189" t="s">
        <v>5</v>
      </c>
      <c r="H160" s="260" t="s">
        <v>720</v>
      </c>
      <c r="I160" s="189" t="s">
        <v>1017</v>
      </c>
      <c r="J160" s="266" t="s">
        <v>7</v>
      </c>
      <c r="K160" s="209"/>
    </row>
    <row r="161" spans="1:23" x14ac:dyDescent="0.3">
      <c r="A161" s="184"/>
      <c r="B161" s="214">
        <v>1</v>
      </c>
      <c r="C161" s="215">
        <v>45839</v>
      </c>
      <c r="D161" s="216" t="s">
        <v>23</v>
      </c>
      <c r="E161" s="256" t="s">
        <v>28</v>
      </c>
      <c r="F161" s="256">
        <v>256.3</v>
      </c>
      <c r="G161" s="256">
        <v>257.3</v>
      </c>
      <c r="H161" s="256">
        <v>-1</v>
      </c>
      <c r="I161" s="218">
        <v>5000</v>
      </c>
      <c r="J161" s="273">
        <f>I161*H161</f>
        <v>-5000</v>
      </c>
      <c r="K161" s="185"/>
      <c r="V161" s="183">
        <f t="shared" ref="V161:V183" si="16">IF($J161&gt;0,1,0)</f>
        <v>0</v>
      </c>
      <c r="W161" s="183">
        <f t="shared" ref="W161:W183" si="17">IF($J161&lt;0,1,0)</f>
        <v>1</v>
      </c>
    </row>
    <row r="162" spans="1:23" x14ac:dyDescent="0.3">
      <c r="A162" s="184"/>
      <c r="B162" s="194">
        <v>2</v>
      </c>
      <c r="C162" s="195">
        <v>45840</v>
      </c>
      <c r="D162" s="196" t="s">
        <v>23</v>
      </c>
      <c r="E162" s="222" t="s">
        <v>28</v>
      </c>
      <c r="F162" s="222">
        <v>256.8</v>
      </c>
      <c r="G162" s="222">
        <v>257.8</v>
      </c>
      <c r="H162" s="222">
        <v>-1</v>
      </c>
      <c r="I162" s="218">
        <v>5000</v>
      </c>
      <c r="J162" s="268">
        <f t="shared" ref="J162:J181" si="18">I162*H162</f>
        <v>-5000</v>
      </c>
      <c r="K162" s="185"/>
      <c r="V162" s="183">
        <f t="shared" si="16"/>
        <v>0</v>
      </c>
      <c r="W162" s="183">
        <f t="shared" si="17"/>
        <v>1</v>
      </c>
    </row>
    <row r="163" spans="1:23" x14ac:dyDescent="0.3">
      <c r="A163" s="184"/>
      <c r="B163" s="194">
        <v>3</v>
      </c>
      <c r="C163" s="195">
        <v>45841</v>
      </c>
      <c r="D163" s="196" t="s">
        <v>23</v>
      </c>
      <c r="E163" s="222" t="s">
        <v>28</v>
      </c>
      <c r="F163" s="222">
        <v>258</v>
      </c>
      <c r="G163" s="222">
        <v>257.10000000000002</v>
      </c>
      <c r="H163" s="222">
        <f>258-257.1</f>
        <v>0.89999999999997726</v>
      </c>
      <c r="I163" s="218">
        <v>5000</v>
      </c>
      <c r="J163" s="268">
        <f t="shared" si="18"/>
        <v>4499.9999999998863</v>
      </c>
      <c r="K163" s="185"/>
      <c r="V163" s="183">
        <f t="shared" si="16"/>
        <v>1</v>
      </c>
      <c r="W163" s="183">
        <f t="shared" si="17"/>
        <v>0</v>
      </c>
    </row>
    <row r="164" spans="1:23" x14ac:dyDescent="0.3">
      <c r="A164" s="184"/>
      <c r="B164" s="194">
        <v>4</v>
      </c>
      <c r="C164" s="195">
        <v>45842</v>
      </c>
      <c r="D164" s="196" t="s">
        <v>23</v>
      </c>
      <c r="E164" s="222" t="s">
        <v>28</v>
      </c>
      <c r="F164" s="222">
        <v>257.39999999999998</v>
      </c>
      <c r="G164" s="222">
        <v>256.89999999999998</v>
      </c>
      <c r="H164" s="222">
        <f>257.4-256.9</f>
        <v>0.5</v>
      </c>
      <c r="I164" s="218">
        <v>5000</v>
      </c>
      <c r="J164" s="268">
        <f t="shared" si="18"/>
        <v>2500</v>
      </c>
      <c r="K164" s="185"/>
      <c r="V164" s="183">
        <f t="shared" si="16"/>
        <v>1</v>
      </c>
      <c r="W164" s="183">
        <f t="shared" si="17"/>
        <v>0</v>
      </c>
    </row>
    <row r="165" spans="1:23" x14ac:dyDescent="0.3">
      <c r="A165" s="184"/>
      <c r="B165" s="194">
        <v>5</v>
      </c>
      <c r="C165" s="195">
        <v>45845</v>
      </c>
      <c r="D165" s="196" t="s">
        <v>23</v>
      </c>
      <c r="E165" s="222" t="s">
        <v>28</v>
      </c>
      <c r="F165" s="222">
        <v>255</v>
      </c>
      <c r="G165" s="222">
        <v>254</v>
      </c>
      <c r="H165" s="222">
        <v>1</v>
      </c>
      <c r="I165" s="218">
        <v>5000</v>
      </c>
      <c r="J165" s="268">
        <f t="shared" si="18"/>
        <v>5000</v>
      </c>
      <c r="K165" s="185"/>
      <c r="V165" s="183">
        <f t="shared" si="16"/>
        <v>1</v>
      </c>
      <c r="W165" s="183">
        <f t="shared" si="17"/>
        <v>0</v>
      </c>
    </row>
    <row r="166" spans="1:23" x14ac:dyDescent="0.3">
      <c r="A166" s="184"/>
      <c r="B166" s="194">
        <v>6</v>
      </c>
      <c r="C166" s="195">
        <v>45846</v>
      </c>
      <c r="D166" s="196" t="s">
        <v>23</v>
      </c>
      <c r="E166" s="222" t="s">
        <v>28</v>
      </c>
      <c r="F166" s="222">
        <v>256</v>
      </c>
      <c r="G166" s="222">
        <v>255</v>
      </c>
      <c r="H166" s="222">
        <v>1</v>
      </c>
      <c r="I166" s="218">
        <v>5000</v>
      </c>
      <c r="J166" s="268">
        <f t="shared" si="18"/>
        <v>5000</v>
      </c>
      <c r="K166" s="185"/>
      <c r="V166" s="183">
        <f t="shared" si="16"/>
        <v>1</v>
      </c>
      <c r="W166" s="183">
        <f t="shared" si="17"/>
        <v>0</v>
      </c>
    </row>
    <row r="167" spans="1:23" x14ac:dyDescent="0.3">
      <c r="A167" s="184"/>
      <c r="B167" s="194">
        <v>7</v>
      </c>
      <c r="C167" s="195">
        <v>45847</v>
      </c>
      <c r="D167" s="196" t="s">
        <v>23</v>
      </c>
      <c r="E167" s="222" t="s">
        <v>28</v>
      </c>
      <c r="F167" s="222">
        <v>257.10000000000002</v>
      </c>
      <c r="G167" s="222">
        <v>256.45</v>
      </c>
      <c r="H167" s="274">
        <f>257.1-256.45</f>
        <v>0.65000000000003411</v>
      </c>
      <c r="I167" s="218">
        <v>5000</v>
      </c>
      <c r="J167" s="268">
        <f t="shared" si="18"/>
        <v>3250.0000000001705</v>
      </c>
      <c r="K167" s="185"/>
      <c r="V167" s="183">
        <f t="shared" si="16"/>
        <v>1</v>
      </c>
      <c r="W167" s="183">
        <f t="shared" si="17"/>
        <v>0</v>
      </c>
    </row>
    <row r="168" spans="1:23" x14ac:dyDescent="0.3">
      <c r="A168" s="184"/>
      <c r="B168" s="194">
        <v>8</v>
      </c>
      <c r="C168" s="195">
        <v>45848</v>
      </c>
      <c r="D168" s="196" t="s">
        <v>23</v>
      </c>
      <c r="E168" s="222" t="s">
        <v>28</v>
      </c>
      <c r="F168" s="222">
        <v>260.10000000000002</v>
      </c>
      <c r="G168" s="222">
        <v>259.8</v>
      </c>
      <c r="H168" s="222">
        <f>260.1-259.8</f>
        <v>0.30000000000001137</v>
      </c>
      <c r="I168" s="218">
        <v>5000</v>
      </c>
      <c r="J168" s="268">
        <f t="shared" si="18"/>
        <v>1500.0000000000568</v>
      </c>
      <c r="K168" s="185"/>
      <c r="V168" s="183">
        <f t="shared" si="16"/>
        <v>1</v>
      </c>
      <c r="W168" s="183">
        <f t="shared" si="17"/>
        <v>0</v>
      </c>
    </row>
    <row r="169" spans="1:23" x14ac:dyDescent="0.3">
      <c r="A169" s="184"/>
      <c r="B169" s="194">
        <v>9</v>
      </c>
      <c r="C169" s="195">
        <v>45849</v>
      </c>
      <c r="D169" s="196" t="s">
        <v>23</v>
      </c>
      <c r="E169" s="222" t="s">
        <v>28</v>
      </c>
      <c r="F169" s="222" t="s">
        <v>862</v>
      </c>
      <c r="G169" s="222">
        <v>258.14999999999998</v>
      </c>
      <c r="H169" s="222">
        <f>259.8-258.15</f>
        <v>1.6500000000000341</v>
      </c>
      <c r="I169" s="218">
        <v>5000</v>
      </c>
      <c r="J169" s="268">
        <f t="shared" si="18"/>
        <v>8250.000000000171</v>
      </c>
      <c r="K169" s="185"/>
      <c r="V169" s="183">
        <f t="shared" si="16"/>
        <v>1</v>
      </c>
      <c r="W169" s="183">
        <f t="shared" si="17"/>
        <v>0</v>
      </c>
    </row>
    <row r="170" spans="1:23" x14ac:dyDescent="0.3">
      <c r="A170" s="184"/>
      <c r="B170" s="194">
        <v>10</v>
      </c>
      <c r="C170" s="195">
        <v>45852</v>
      </c>
      <c r="D170" s="196" t="s">
        <v>23</v>
      </c>
      <c r="E170" s="222" t="s">
        <v>28</v>
      </c>
      <c r="F170" s="222">
        <v>258.3</v>
      </c>
      <c r="G170" s="222">
        <v>257.3</v>
      </c>
      <c r="H170" s="222">
        <v>1</v>
      </c>
      <c r="I170" s="218">
        <v>5000</v>
      </c>
      <c r="J170" s="268">
        <f t="shared" si="18"/>
        <v>5000</v>
      </c>
      <c r="K170" s="185"/>
      <c r="V170" s="183">
        <f t="shared" si="16"/>
        <v>1</v>
      </c>
      <c r="W170" s="183">
        <f t="shared" si="17"/>
        <v>0</v>
      </c>
    </row>
    <row r="171" spans="1:23" x14ac:dyDescent="0.3">
      <c r="A171" s="184"/>
      <c r="B171" s="194">
        <v>11</v>
      </c>
      <c r="C171" s="195">
        <v>45853</v>
      </c>
      <c r="D171" s="196" t="s">
        <v>23</v>
      </c>
      <c r="E171" s="222" t="s">
        <v>28</v>
      </c>
      <c r="F171" s="222">
        <v>256</v>
      </c>
      <c r="G171" s="222">
        <v>255.5</v>
      </c>
      <c r="H171" s="274">
        <v>0.5</v>
      </c>
      <c r="I171" s="218">
        <v>5000</v>
      </c>
      <c r="J171" s="268">
        <f t="shared" si="18"/>
        <v>2500</v>
      </c>
      <c r="K171" s="185"/>
      <c r="V171" s="183">
        <f t="shared" si="16"/>
        <v>1</v>
      </c>
      <c r="W171" s="183">
        <f t="shared" si="17"/>
        <v>0</v>
      </c>
    </row>
    <row r="172" spans="1:23" x14ac:dyDescent="0.3">
      <c r="A172" s="184"/>
      <c r="B172" s="194">
        <v>12</v>
      </c>
      <c r="C172" s="195">
        <v>45854</v>
      </c>
      <c r="D172" s="196" t="s">
        <v>23</v>
      </c>
      <c r="E172" s="222" t="s">
        <v>28</v>
      </c>
      <c r="F172" s="222">
        <v>254.8</v>
      </c>
      <c r="G172" s="222">
        <v>254.4</v>
      </c>
      <c r="H172" s="274">
        <f>254.8-254.4</f>
        <v>0.40000000000000568</v>
      </c>
      <c r="I172" s="218">
        <v>5000</v>
      </c>
      <c r="J172" s="268">
        <f t="shared" si="18"/>
        <v>2000.0000000000284</v>
      </c>
      <c r="K172" s="185"/>
      <c r="V172" s="183">
        <f t="shared" si="16"/>
        <v>1</v>
      </c>
      <c r="W172" s="183">
        <f t="shared" si="17"/>
        <v>0</v>
      </c>
    </row>
    <row r="173" spans="1:23" x14ac:dyDescent="0.3">
      <c r="A173" s="184"/>
      <c r="B173" s="194">
        <v>13</v>
      </c>
      <c r="C173" s="195">
        <v>45855</v>
      </c>
      <c r="D173" s="196" t="s">
        <v>23</v>
      </c>
      <c r="E173" s="222" t="s">
        <v>28</v>
      </c>
      <c r="F173" s="222">
        <v>255.8</v>
      </c>
      <c r="G173" s="222">
        <v>255.4</v>
      </c>
      <c r="H173" s="274">
        <f>255.8-255.4</f>
        <v>0.40000000000000568</v>
      </c>
      <c r="I173" s="218">
        <v>5000</v>
      </c>
      <c r="J173" s="268">
        <f t="shared" si="18"/>
        <v>2000.0000000000284</v>
      </c>
      <c r="K173" s="185"/>
      <c r="V173" s="183">
        <f t="shared" si="16"/>
        <v>1</v>
      </c>
      <c r="W173" s="183">
        <f t="shared" si="17"/>
        <v>0</v>
      </c>
    </row>
    <row r="174" spans="1:23" x14ac:dyDescent="0.3">
      <c r="A174" s="184"/>
      <c r="B174" s="194">
        <v>14</v>
      </c>
      <c r="C174" s="195">
        <v>45856</v>
      </c>
      <c r="D174" s="196" t="s">
        <v>23</v>
      </c>
      <c r="E174" s="222" t="s">
        <v>28</v>
      </c>
      <c r="F174" s="222">
        <v>261.5</v>
      </c>
      <c r="G174" s="222">
        <v>262.5</v>
      </c>
      <c r="H174" s="274">
        <v>-1</v>
      </c>
      <c r="I174" s="218">
        <v>5000</v>
      </c>
      <c r="J174" s="268">
        <f t="shared" si="18"/>
        <v>-5000</v>
      </c>
      <c r="K174" s="185"/>
      <c r="V174" s="183">
        <f t="shared" si="16"/>
        <v>0</v>
      </c>
      <c r="W174" s="183">
        <f t="shared" si="17"/>
        <v>1</v>
      </c>
    </row>
    <row r="175" spans="1:23" x14ac:dyDescent="0.3">
      <c r="A175" s="184"/>
      <c r="B175" s="194">
        <v>15</v>
      </c>
      <c r="C175" s="195">
        <v>45859</v>
      </c>
      <c r="D175" s="196" t="s">
        <v>23</v>
      </c>
      <c r="E175" s="196" t="s">
        <v>28</v>
      </c>
      <c r="F175" s="222">
        <v>269.2</v>
      </c>
      <c r="G175" s="222">
        <v>267.2</v>
      </c>
      <c r="H175" s="222">
        <v>2</v>
      </c>
      <c r="I175" s="218">
        <v>5000</v>
      </c>
      <c r="J175" s="268">
        <f t="shared" si="18"/>
        <v>10000</v>
      </c>
      <c r="K175" s="185"/>
      <c r="V175" s="183">
        <f t="shared" si="16"/>
        <v>1</v>
      </c>
      <c r="W175" s="183">
        <f t="shared" si="17"/>
        <v>0</v>
      </c>
    </row>
    <row r="176" spans="1:23" x14ac:dyDescent="0.3">
      <c r="A176" s="184"/>
      <c r="B176" s="194">
        <v>16</v>
      </c>
      <c r="C176" s="195">
        <v>45860</v>
      </c>
      <c r="D176" s="196" t="s">
        <v>23</v>
      </c>
      <c r="E176" s="196" t="s">
        <v>28</v>
      </c>
      <c r="F176" s="222">
        <v>267.5</v>
      </c>
      <c r="G176" s="274">
        <v>268.5</v>
      </c>
      <c r="H176" s="274">
        <v>-1</v>
      </c>
      <c r="I176" s="218">
        <v>5000</v>
      </c>
      <c r="J176" s="268">
        <f t="shared" si="18"/>
        <v>-5000</v>
      </c>
      <c r="K176" s="185"/>
      <c r="V176" s="183">
        <f t="shared" si="16"/>
        <v>0</v>
      </c>
      <c r="W176" s="183">
        <f t="shared" si="17"/>
        <v>1</v>
      </c>
    </row>
    <row r="177" spans="1:23" x14ac:dyDescent="0.3">
      <c r="A177" s="184"/>
      <c r="B177" s="194">
        <v>17</v>
      </c>
      <c r="C177" s="195">
        <v>45861</v>
      </c>
      <c r="D177" s="196" t="s">
        <v>23</v>
      </c>
      <c r="E177" s="196" t="s">
        <v>28</v>
      </c>
      <c r="F177" s="222">
        <v>269.5</v>
      </c>
      <c r="G177" s="222">
        <v>269</v>
      </c>
      <c r="H177" s="274">
        <v>0.5</v>
      </c>
      <c r="I177" s="218">
        <v>5000</v>
      </c>
      <c r="J177" s="268">
        <f t="shared" si="18"/>
        <v>2500</v>
      </c>
      <c r="K177" s="185"/>
      <c r="V177" s="183">
        <f t="shared" si="16"/>
        <v>1</v>
      </c>
      <c r="W177" s="183">
        <f t="shared" si="17"/>
        <v>0</v>
      </c>
    </row>
    <row r="178" spans="1:23" x14ac:dyDescent="0.3">
      <c r="A178" s="184"/>
      <c r="B178" s="194">
        <v>18</v>
      </c>
      <c r="C178" s="195">
        <v>45862</v>
      </c>
      <c r="D178" s="196" t="s">
        <v>23</v>
      </c>
      <c r="E178" s="196" t="s">
        <v>28</v>
      </c>
      <c r="F178" s="222">
        <v>270.5</v>
      </c>
      <c r="G178" s="222">
        <v>268.5</v>
      </c>
      <c r="H178" s="274">
        <v>2</v>
      </c>
      <c r="I178" s="218">
        <v>5000</v>
      </c>
      <c r="J178" s="268">
        <f t="shared" si="18"/>
        <v>10000</v>
      </c>
      <c r="K178" s="185"/>
      <c r="V178" s="183">
        <f t="shared" si="16"/>
        <v>1</v>
      </c>
      <c r="W178" s="183">
        <f t="shared" si="17"/>
        <v>0</v>
      </c>
    </row>
    <row r="179" spans="1:23" x14ac:dyDescent="0.3">
      <c r="A179" s="184"/>
      <c r="B179" s="194">
        <v>19</v>
      </c>
      <c r="C179" s="195">
        <v>45863</v>
      </c>
      <c r="D179" s="196" t="s">
        <v>23</v>
      </c>
      <c r="E179" s="196" t="s">
        <v>28</v>
      </c>
      <c r="F179" s="222">
        <v>269.7</v>
      </c>
      <c r="G179" s="222">
        <v>269.3</v>
      </c>
      <c r="H179" s="274">
        <f>269.7-269.3</f>
        <v>0.39999999999997726</v>
      </c>
      <c r="I179" s="218">
        <v>5000</v>
      </c>
      <c r="J179" s="268">
        <f t="shared" si="18"/>
        <v>1999.9999999998863</v>
      </c>
      <c r="K179" s="185"/>
      <c r="V179" s="183">
        <f t="shared" si="16"/>
        <v>1</v>
      </c>
      <c r="W179" s="183">
        <f t="shared" si="17"/>
        <v>0</v>
      </c>
    </row>
    <row r="180" spans="1:23" x14ac:dyDescent="0.3">
      <c r="A180" s="184"/>
      <c r="B180" s="194">
        <v>20</v>
      </c>
      <c r="C180" s="195">
        <v>45866</v>
      </c>
      <c r="D180" s="196" t="s">
        <v>23</v>
      </c>
      <c r="E180" s="222" t="s">
        <v>28</v>
      </c>
      <c r="F180" s="222">
        <v>266.3</v>
      </c>
      <c r="G180" s="222">
        <v>267.3</v>
      </c>
      <c r="H180" s="274">
        <v>-1</v>
      </c>
      <c r="I180" s="218">
        <v>5000</v>
      </c>
      <c r="J180" s="268">
        <f t="shared" si="18"/>
        <v>-5000</v>
      </c>
      <c r="K180" s="185"/>
      <c r="V180" s="183">
        <f t="shared" si="16"/>
        <v>0</v>
      </c>
      <c r="W180" s="183">
        <f t="shared" si="17"/>
        <v>1</v>
      </c>
    </row>
    <row r="181" spans="1:23" x14ac:dyDescent="0.3">
      <c r="A181" s="184"/>
      <c r="B181" s="194">
        <v>21</v>
      </c>
      <c r="C181" s="195">
        <v>45867</v>
      </c>
      <c r="D181" s="196" t="s">
        <v>23</v>
      </c>
      <c r="E181" s="222" t="s">
        <v>28</v>
      </c>
      <c r="F181" s="222">
        <v>16</v>
      </c>
      <c r="G181" s="222">
        <v>17</v>
      </c>
      <c r="H181" s="274">
        <v>1</v>
      </c>
      <c r="I181" s="218">
        <v>5000</v>
      </c>
      <c r="J181" s="268">
        <f t="shared" si="18"/>
        <v>5000</v>
      </c>
      <c r="K181" s="185"/>
      <c r="V181" s="183">
        <f t="shared" si="16"/>
        <v>1</v>
      </c>
      <c r="W181" s="183">
        <f t="shared" si="17"/>
        <v>0</v>
      </c>
    </row>
    <row r="182" spans="1:23" x14ac:dyDescent="0.3">
      <c r="A182" s="184"/>
      <c r="B182" s="194">
        <v>22</v>
      </c>
      <c r="C182" s="195">
        <v>45868</v>
      </c>
      <c r="D182" s="196" t="s">
        <v>23</v>
      </c>
      <c r="E182" s="222" t="s">
        <v>28</v>
      </c>
      <c r="F182" s="222">
        <v>267</v>
      </c>
      <c r="G182" s="222">
        <v>268</v>
      </c>
      <c r="H182" s="222">
        <v>-1</v>
      </c>
      <c r="I182" s="218">
        <v>5000</v>
      </c>
      <c r="J182" s="268">
        <f>I182*H182</f>
        <v>-5000</v>
      </c>
      <c r="K182" s="185"/>
      <c r="V182" s="183">
        <f t="shared" si="16"/>
        <v>0</v>
      </c>
      <c r="W182" s="183">
        <f t="shared" si="17"/>
        <v>1</v>
      </c>
    </row>
    <row r="183" spans="1:23" ht="15" thickBot="1" x14ac:dyDescent="0.35">
      <c r="A183" s="184"/>
      <c r="B183" s="199">
        <v>23</v>
      </c>
      <c r="C183" s="200">
        <v>45869</v>
      </c>
      <c r="D183" s="201" t="s">
        <v>23</v>
      </c>
      <c r="E183" s="201" t="s">
        <v>28</v>
      </c>
      <c r="F183" s="284">
        <v>265.8</v>
      </c>
      <c r="G183" s="284">
        <v>265.39999999999998</v>
      </c>
      <c r="H183" s="284">
        <f>265.8-265.4</f>
        <v>0.40000000000003411</v>
      </c>
      <c r="I183" s="285">
        <v>5000</v>
      </c>
      <c r="J183" s="269">
        <f>I183*H183</f>
        <v>2000.0000000001705</v>
      </c>
      <c r="K183" s="185"/>
      <c r="V183" s="183">
        <f t="shared" si="16"/>
        <v>1</v>
      </c>
      <c r="W183" s="183">
        <f t="shared" si="17"/>
        <v>0</v>
      </c>
    </row>
    <row r="184" spans="1:23" ht="24" thickBot="1" x14ac:dyDescent="0.5">
      <c r="A184" s="184"/>
      <c r="B184" s="304" t="s">
        <v>879</v>
      </c>
      <c r="C184" s="305"/>
      <c r="D184" s="305"/>
      <c r="E184" s="305"/>
      <c r="F184" s="305"/>
      <c r="G184" s="305"/>
      <c r="H184" s="306"/>
      <c r="I184" s="203" t="s">
        <v>880</v>
      </c>
      <c r="J184" s="204">
        <f>SUM(J161:J183)</f>
        <v>43000.000000000393</v>
      </c>
      <c r="K184" s="185"/>
      <c r="V184" s="183">
        <f>SUM(V161:V183)</f>
        <v>17</v>
      </c>
      <c r="W184" s="183">
        <f>SUM(W161:W183)</f>
        <v>6</v>
      </c>
    </row>
    <row r="185" spans="1:23" ht="15" thickBot="1" x14ac:dyDescent="0.35">
      <c r="A185" s="205"/>
      <c r="B185" s="286"/>
      <c r="C185" s="286"/>
      <c r="D185" s="286"/>
      <c r="E185" s="286"/>
      <c r="F185" s="286"/>
      <c r="G185" s="286"/>
      <c r="H185" s="287"/>
      <c r="I185" s="286"/>
      <c r="J185" s="287"/>
      <c r="K185" s="207"/>
    </row>
  </sheetData>
  <mergeCells count="74">
    <mergeCell ref="B153:H153"/>
    <mergeCell ref="B157:J157"/>
    <mergeCell ref="B158:J158"/>
    <mergeCell ref="B159:J159"/>
    <mergeCell ref="B184:H184"/>
    <mergeCell ref="B128:J128"/>
    <mergeCell ref="B60:H60"/>
    <mergeCell ref="B64:J64"/>
    <mergeCell ref="B65:J65"/>
    <mergeCell ref="B66:J66"/>
    <mergeCell ref="B91:H91"/>
    <mergeCell ref="B95:J95"/>
    <mergeCell ref="B96:J96"/>
    <mergeCell ref="B97:J97"/>
    <mergeCell ref="B122:H122"/>
    <mergeCell ref="B126:J126"/>
    <mergeCell ref="B127:J127"/>
    <mergeCell ref="P14:P15"/>
    <mergeCell ref="Q14:Q15"/>
    <mergeCell ref="B35:J35"/>
    <mergeCell ref="M16:M17"/>
    <mergeCell ref="N16:N17"/>
    <mergeCell ref="O16:O17"/>
    <mergeCell ref="P16:P17"/>
    <mergeCell ref="M18:O20"/>
    <mergeCell ref="P18:R20"/>
    <mergeCell ref="B29:H29"/>
    <mergeCell ref="B33:J33"/>
    <mergeCell ref="B34:J34"/>
    <mergeCell ref="Q16:Q17"/>
    <mergeCell ref="R16:R17"/>
    <mergeCell ref="R14:R15"/>
    <mergeCell ref="R12:R13"/>
    <mergeCell ref="M10:M11"/>
    <mergeCell ref="N10:N11"/>
    <mergeCell ref="O10:O11"/>
    <mergeCell ref="P10:P11"/>
    <mergeCell ref="Q10:Q11"/>
    <mergeCell ref="R10:R11"/>
    <mergeCell ref="M12:M13"/>
    <mergeCell ref="N12:N13"/>
    <mergeCell ref="O12:O13"/>
    <mergeCell ref="P12:P13"/>
    <mergeCell ref="Q12:Q13"/>
    <mergeCell ref="M14:M15"/>
    <mergeCell ref="N14:N15"/>
    <mergeCell ref="O14:O15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6E2E7547-0541-490B-9C72-1F71E6CAF5C5}"/>
    <hyperlink ref="B60" r:id="rId2" xr:uid="{4F81FA57-11E7-4366-AD74-71AD92BEF7BE}"/>
    <hyperlink ref="M4:M5" location="'JULY 2025'!A1" display="GOLDM OPTION" xr:uid="{D230AAC2-A5B7-476D-9440-FAA89DDFA703}"/>
    <hyperlink ref="M8:M9" location="'JULY 2025'!A75" display="CRUDEOIL" xr:uid="{E9DCA5A2-31AE-4EAC-9283-261EC989DA04}"/>
    <hyperlink ref="M1" location="MASTER!A1" display="Back" xr:uid="{16DB8A6B-5889-4BF9-BD9D-35FCD832C4C5}"/>
    <hyperlink ref="M6:M7" location="'JULY 2025'!A33" display="SILVERM OPTION" xr:uid="{F7A7F153-B921-4488-AFFC-0516E0B1DC9F}"/>
    <hyperlink ref="B122" r:id="rId3" xr:uid="{FF2AA447-2A52-4091-AD7C-90CFCAC6BB8C}"/>
    <hyperlink ref="M10:M11" location="'JULY 2025'!A110" display="CRUDEOIL OPTION" xr:uid="{725CD378-45DE-4D0B-BE1C-36161C6025DC}"/>
    <hyperlink ref="B153" r:id="rId4" xr:uid="{1D5F55B1-5877-4A0B-B44D-CCDEEF9EE9A9}"/>
    <hyperlink ref="B184" r:id="rId5" xr:uid="{6738C22D-85F6-4AF4-A2FF-50C0F3396CAF}"/>
    <hyperlink ref="M12:M13" location="'JULY 2025'!A140" display="NATURALGAS OPTION" xr:uid="{5199CEB1-1CB0-4335-8AD3-F097A6E2BEF1}"/>
    <hyperlink ref="M14:M15" location="'JULY 2025'!A170" display="BASE METAL" xr:uid="{B8E2E632-67AE-41E8-A45F-A20B243B046C}"/>
    <hyperlink ref="B91" r:id="rId6" xr:uid="{1229EB24-AC2B-4480-85C8-095DC8C9159D}"/>
  </hyperlinks>
  <pageMargins left="0" right="0" top="0" bottom="0" header="0" footer="0"/>
  <pageSetup paperSize="9" orientation="portrait" r:id="rId7"/>
  <drawing r:id="rId8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B1:U42"/>
  <sheetViews>
    <sheetView topLeftCell="E19" zoomScale="90" zoomScaleNormal="90" zoomScaleSheetLayoutView="90" workbookViewId="0">
      <selection activeCell="R37" sqref="R37"/>
    </sheetView>
  </sheetViews>
  <sheetFormatPr defaultColWidth="9.109375" defaultRowHeight="14.4" x14ac:dyDescent="0.3"/>
  <cols>
    <col min="1" max="1" width="16.109375" style="31" customWidth="1"/>
    <col min="2" max="2" width="8.88671875" style="65" customWidth="1"/>
    <col min="3" max="3" width="14.33203125" style="65" customWidth="1"/>
    <col min="4" max="4" width="1.44140625" style="65" customWidth="1"/>
    <col min="5" max="5" width="8.88671875" style="31" customWidth="1"/>
    <col min="6" max="6" width="14.33203125" style="31" customWidth="1"/>
    <col min="7" max="7" width="1.44140625" style="31" customWidth="1"/>
    <col min="8" max="8" width="8.88671875" style="31" customWidth="1"/>
    <col min="9" max="9" width="14.33203125" style="31" customWidth="1"/>
    <col min="10" max="10" width="1.44140625" style="31" customWidth="1"/>
    <col min="11" max="11" width="8.88671875" style="31" customWidth="1"/>
    <col min="12" max="12" width="14.33203125" style="31" customWidth="1"/>
    <col min="13" max="13" width="1.44140625" style="31" customWidth="1"/>
    <col min="14" max="14" width="8.88671875" style="31" customWidth="1"/>
    <col min="15" max="15" width="14.33203125" style="31" customWidth="1"/>
    <col min="16" max="16" width="1.88671875" style="31" customWidth="1"/>
    <col min="17" max="17" width="8.88671875" style="31" customWidth="1"/>
    <col min="18" max="18" width="14.33203125" style="31" customWidth="1"/>
    <col min="19" max="19" width="1.88671875" style="31" customWidth="1"/>
    <col min="20" max="20" width="8.88671875" style="31" customWidth="1"/>
    <col min="21" max="21" width="14.33203125" style="31" customWidth="1"/>
    <col min="22" max="16384" width="9.109375" style="31"/>
  </cols>
  <sheetData>
    <row r="1" spans="2:21" ht="15" thickBot="1" x14ac:dyDescent="0.35">
      <c r="B1" s="31"/>
      <c r="C1" s="31"/>
      <c r="D1" s="31"/>
    </row>
    <row r="2" spans="2:21" ht="14.25" customHeight="1" x14ac:dyDescent="0.3">
      <c r="B2" s="400"/>
      <c r="C2" s="401"/>
      <c r="D2" s="401"/>
      <c r="E2" s="401"/>
      <c r="F2" s="402"/>
      <c r="G2" s="391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393"/>
    </row>
    <row r="3" spans="2:21" ht="14.25" customHeight="1" x14ac:dyDescent="0.3">
      <c r="B3" s="403"/>
      <c r="C3" s="404"/>
      <c r="D3" s="404"/>
      <c r="E3" s="404"/>
      <c r="F3" s="405"/>
      <c r="G3" s="394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6"/>
    </row>
    <row r="4" spans="2:21" ht="14.25" customHeight="1" x14ac:dyDescent="0.3">
      <c r="B4" s="403"/>
      <c r="C4" s="404"/>
      <c r="D4" s="404"/>
      <c r="E4" s="404"/>
      <c r="F4" s="405"/>
      <c r="G4" s="394"/>
      <c r="H4" s="395"/>
      <c r="I4" s="395"/>
      <c r="J4" s="395"/>
      <c r="K4" s="395"/>
      <c r="L4" s="395"/>
      <c r="M4" s="395"/>
      <c r="N4" s="395"/>
      <c r="O4" s="395"/>
      <c r="P4" s="395"/>
      <c r="Q4" s="395"/>
      <c r="R4" s="395"/>
      <c r="S4" s="395"/>
      <c r="T4" s="395"/>
      <c r="U4" s="396"/>
    </row>
    <row r="5" spans="2:21" ht="14.25" customHeight="1" x14ac:dyDescent="0.3">
      <c r="B5" s="403"/>
      <c r="C5" s="404"/>
      <c r="D5" s="404"/>
      <c r="E5" s="404"/>
      <c r="F5" s="405"/>
      <c r="G5" s="394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6"/>
    </row>
    <row r="6" spans="2:21" ht="14.25" customHeight="1" x14ac:dyDescent="0.3">
      <c r="B6" s="403"/>
      <c r="C6" s="404"/>
      <c r="D6" s="404"/>
      <c r="E6" s="404"/>
      <c r="F6" s="405"/>
      <c r="G6" s="394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6"/>
    </row>
    <row r="7" spans="2:21" ht="14.25" customHeight="1" x14ac:dyDescent="0.3">
      <c r="B7" s="403"/>
      <c r="C7" s="404"/>
      <c r="D7" s="404"/>
      <c r="E7" s="404"/>
      <c r="F7" s="405"/>
      <c r="G7" s="394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6"/>
    </row>
    <row r="8" spans="2:21" ht="14.25" customHeight="1" x14ac:dyDescent="0.3">
      <c r="B8" s="403"/>
      <c r="C8" s="404"/>
      <c r="D8" s="404"/>
      <c r="E8" s="404"/>
      <c r="F8" s="405"/>
      <c r="G8" s="394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6"/>
    </row>
    <row r="9" spans="2:21" ht="14.25" customHeight="1" x14ac:dyDescent="0.3">
      <c r="B9" s="403"/>
      <c r="C9" s="404"/>
      <c r="D9" s="404"/>
      <c r="E9" s="404"/>
      <c r="F9" s="405"/>
      <c r="G9" s="394"/>
      <c r="H9" s="395"/>
      <c r="I9" s="395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6"/>
    </row>
    <row r="10" spans="2:21" ht="14.25" customHeight="1" x14ac:dyDescent="0.3">
      <c r="B10" s="403"/>
      <c r="C10" s="404"/>
      <c r="D10" s="404"/>
      <c r="E10" s="404"/>
      <c r="F10" s="405"/>
      <c r="G10" s="394"/>
      <c r="H10" s="395"/>
      <c r="I10" s="395"/>
      <c r="J10" s="395"/>
      <c r="K10" s="395"/>
      <c r="L10" s="395"/>
      <c r="M10" s="395"/>
      <c r="N10" s="395"/>
      <c r="O10" s="395"/>
      <c r="P10" s="395"/>
      <c r="Q10" s="395"/>
      <c r="R10" s="395"/>
      <c r="S10" s="395"/>
      <c r="T10" s="395"/>
      <c r="U10" s="396"/>
    </row>
    <row r="11" spans="2:21" ht="15.75" customHeight="1" thickBot="1" x14ac:dyDescent="0.35">
      <c r="B11" s="406"/>
      <c r="C11" s="407"/>
      <c r="D11" s="407"/>
      <c r="E11" s="407"/>
      <c r="F11" s="408"/>
      <c r="G11" s="397"/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9"/>
    </row>
    <row r="12" spans="2:21" ht="15" thickBot="1" x14ac:dyDescent="0.35">
      <c r="B12" s="31"/>
      <c r="C12" s="31"/>
      <c r="D12" s="31"/>
    </row>
    <row r="13" spans="2:21" ht="15" customHeight="1" x14ac:dyDescent="0.3">
      <c r="B13" s="409" t="s">
        <v>883</v>
      </c>
      <c r="C13" s="385"/>
      <c r="D13" s="389" t="s">
        <v>884</v>
      </c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5" t="s">
        <v>883</v>
      </c>
      <c r="U13" s="386"/>
    </row>
    <row r="14" spans="2:21" ht="15.75" customHeight="1" thickBot="1" x14ac:dyDescent="0.35">
      <c r="B14" s="410"/>
      <c r="C14" s="387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87"/>
      <c r="U14" s="388"/>
    </row>
    <row r="15" spans="2:21" ht="15" thickBot="1" x14ac:dyDescent="0.35"/>
    <row r="16" spans="2:21" ht="15" thickBot="1" x14ac:dyDescent="0.35">
      <c r="B16" s="224" t="s">
        <v>885</v>
      </c>
      <c r="C16" s="225" t="s">
        <v>886</v>
      </c>
      <c r="E16" s="224" t="s">
        <v>885</v>
      </c>
      <c r="F16" s="225" t="s">
        <v>886</v>
      </c>
      <c r="G16" s="65"/>
      <c r="H16" s="224" t="s">
        <v>885</v>
      </c>
      <c r="I16" s="225" t="s">
        <v>886</v>
      </c>
      <c r="K16" s="224" t="s">
        <v>885</v>
      </c>
      <c r="L16" s="225" t="s">
        <v>886</v>
      </c>
      <c r="N16" s="224" t="s">
        <v>885</v>
      </c>
      <c r="O16" s="225" t="s">
        <v>886</v>
      </c>
      <c r="Q16" s="224" t="s">
        <v>885</v>
      </c>
      <c r="R16" s="225" t="s">
        <v>886</v>
      </c>
      <c r="T16" s="224" t="s">
        <v>885</v>
      </c>
      <c r="U16" s="225" t="s">
        <v>886</v>
      </c>
    </row>
    <row r="17" spans="2:21" x14ac:dyDescent="0.3">
      <c r="B17" s="226">
        <v>2013</v>
      </c>
      <c r="C17" s="254" t="s">
        <v>887</v>
      </c>
      <c r="E17" s="227">
        <v>2014</v>
      </c>
      <c r="F17" s="251" t="s">
        <v>887</v>
      </c>
      <c r="G17" s="65"/>
      <c r="H17" s="228">
        <v>2015</v>
      </c>
      <c r="I17" s="248" t="s">
        <v>887</v>
      </c>
      <c r="K17" s="229">
        <v>2016</v>
      </c>
      <c r="L17" s="245" t="s">
        <v>887</v>
      </c>
      <c r="N17" s="230">
        <v>2017</v>
      </c>
      <c r="O17" s="231" t="s">
        <v>887</v>
      </c>
      <c r="Q17" s="228">
        <v>2018</v>
      </c>
      <c r="R17" s="248" t="s">
        <v>887</v>
      </c>
      <c r="T17" s="276">
        <v>2019</v>
      </c>
      <c r="U17" s="279" t="s">
        <v>887</v>
      </c>
    </row>
    <row r="18" spans="2:21" x14ac:dyDescent="0.3">
      <c r="B18" s="232">
        <v>2013</v>
      </c>
      <c r="C18" s="253" t="s">
        <v>888</v>
      </c>
      <c r="E18" s="233">
        <v>2014</v>
      </c>
      <c r="F18" s="250" t="s">
        <v>888</v>
      </c>
      <c r="G18" s="65"/>
      <c r="H18" s="234">
        <v>2015</v>
      </c>
      <c r="I18" s="247" t="s">
        <v>888</v>
      </c>
      <c r="K18" s="235">
        <v>2016</v>
      </c>
      <c r="L18" s="244" t="s">
        <v>888</v>
      </c>
      <c r="N18" s="236">
        <v>2017</v>
      </c>
      <c r="O18" s="237" t="s">
        <v>888</v>
      </c>
      <c r="Q18" s="234">
        <v>2018</v>
      </c>
      <c r="R18" s="247" t="s">
        <v>888</v>
      </c>
      <c r="T18" s="277">
        <v>2019</v>
      </c>
      <c r="U18" s="280" t="s">
        <v>888</v>
      </c>
    </row>
    <row r="19" spans="2:21" x14ac:dyDescent="0.3">
      <c r="B19" s="232">
        <v>2013</v>
      </c>
      <c r="C19" s="253" t="s">
        <v>889</v>
      </c>
      <c r="E19" s="233">
        <v>2014</v>
      </c>
      <c r="F19" s="250" t="s">
        <v>889</v>
      </c>
      <c r="G19" s="65"/>
      <c r="H19" s="234">
        <v>2015</v>
      </c>
      <c r="I19" s="247" t="s">
        <v>889</v>
      </c>
      <c r="K19" s="235">
        <v>2016</v>
      </c>
      <c r="L19" s="244" t="s">
        <v>889</v>
      </c>
      <c r="N19" s="236">
        <v>2017</v>
      </c>
      <c r="O19" s="237" t="s">
        <v>889</v>
      </c>
      <c r="Q19" s="234">
        <v>2018</v>
      </c>
      <c r="R19" s="247" t="s">
        <v>889</v>
      </c>
      <c r="T19" s="277">
        <v>2019</v>
      </c>
      <c r="U19" s="280" t="s">
        <v>889</v>
      </c>
    </row>
    <row r="20" spans="2:21" x14ac:dyDescent="0.3">
      <c r="B20" s="232">
        <v>2013</v>
      </c>
      <c r="C20" s="253" t="s">
        <v>890</v>
      </c>
      <c r="E20" s="233">
        <v>2014</v>
      </c>
      <c r="F20" s="250" t="s">
        <v>890</v>
      </c>
      <c r="G20" s="65"/>
      <c r="H20" s="234">
        <v>2015</v>
      </c>
      <c r="I20" s="247" t="s">
        <v>890</v>
      </c>
      <c r="K20" s="235">
        <v>2016</v>
      </c>
      <c r="L20" s="244" t="s">
        <v>890</v>
      </c>
      <c r="N20" s="236">
        <v>2017</v>
      </c>
      <c r="O20" s="237" t="s">
        <v>890</v>
      </c>
      <c r="Q20" s="234">
        <v>2018</v>
      </c>
      <c r="R20" s="247" t="s">
        <v>890</v>
      </c>
      <c r="T20" s="277">
        <v>2019</v>
      </c>
      <c r="U20" s="280" t="s">
        <v>890</v>
      </c>
    </row>
    <row r="21" spans="2:21" x14ac:dyDescent="0.3">
      <c r="B21" s="232">
        <v>2013</v>
      </c>
      <c r="C21" s="253" t="s">
        <v>891</v>
      </c>
      <c r="E21" s="233">
        <v>2014</v>
      </c>
      <c r="F21" s="250" t="s">
        <v>891</v>
      </c>
      <c r="G21" s="65"/>
      <c r="H21" s="234">
        <v>2015</v>
      </c>
      <c r="I21" s="247" t="s">
        <v>891</v>
      </c>
      <c r="K21" s="235">
        <v>2016</v>
      </c>
      <c r="L21" s="244" t="s">
        <v>891</v>
      </c>
      <c r="N21" s="236">
        <v>2017</v>
      </c>
      <c r="O21" s="237" t="s">
        <v>891</v>
      </c>
      <c r="Q21" s="234">
        <v>2018</v>
      </c>
      <c r="R21" s="247" t="s">
        <v>891</v>
      </c>
      <c r="T21" s="277">
        <v>2019</v>
      </c>
      <c r="U21" s="280" t="s">
        <v>891</v>
      </c>
    </row>
    <row r="22" spans="2:21" x14ac:dyDescent="0.3">
      <c r="B22" s="232">
        <v>2013</v>
      </c>
      <c r="C22" s="253" t="s">
        <v>892</v>
      </c>
      <c r="E22" s="233">
        <v>2014</v>
      </c>
      <c r="F22" s="250" t="s">
        <v>892</v>
      </c>
      <c r="G22" s="65"/>
      <c r="H22" s="234">
        <v>2015</v>
      </c>
      <c r="I22" s="247" t="s">
        <v>892</v>
      </c>
      <c r="K22" s="235">
        <v>2016</v>
      </c>
      <c r="L22" s="244" t="s">
        <v>892</v>
      </c>
      <c r="N22" s="236">
        <v>2017</v>
      </c>
      <c r="O22" s="237" t="s">
        <v>892</v>
      </c>
      <c r="Q22" s="234">
        <v>2018</v>
      </c>
      <c r="R22" s="247" t="s">
        <v>892</v>
      </c>
      <c r="T22" s="277">
        <v>2019</v>
      </c>
      <c r="U22" s="280" t="s">
        <v>892</v>
      </c>
    </row>
    <row r="23" spans="2:21" x14ac:dyDescent="0.3">
      <c r="B23" s="232">
        <v>2013</v>
      </c>
      <c r="C23" s="253" t="s">
        <v>893</v>
      </c>
      <c r="E23" s="233">
        <v>2014</v>
      </c>
      <c r="F23" s="250" t="s">
        <v>893</v>
      </c>
      <c r="G23" s="65"/>
      <c r="H23" s="234">
        <v>2015</v>
      </c>
      <c r="I23" s="247" t="s">
        <v>893</v>
      </c>
      <c r="K23" s="235">
        <v>2016</v>
      </c>
      <c r="L23" s="244" t="s">
        <v>893</v>
      </c>
      <c r="N23" s="236">
        <v>2017</v>
      </c>
      <c r="O23" s="237" t="s">
        <v>893</v>
      </c>
      <c r="Q23" s="234">
        <v>2018</v>
      </c>
      <c r="R23" s="247" t="s">
        <v>893</v>
      </c>
      <c r="T23" s="277">
        <v>2019</v>
      </c>
      <c r="U23" s="280" t="s">
        <v>893</v>
      </c>
    </row>
    <row r="24" spans="2:21" x14ac:dyDescent="0.3">
      <c r="B24" s="232">
        <v>2013</v>
      </c>
      <c r="C24" s="253" t="s">
        <v>894</v>
      </c>
      <c r="E24" s="233">
        <v>2014</v>
      </c>
      <c r="F24" s="250" t="s">
        <v>894</v>
      </c>
      <c r="G24" s="65"/>
      <c r="H24" s="234">
        <v>2015</v>
      </c>
      <c r="I24" s="247" t="s">
        <v>894</v>
      </c>
      <c r="K24" s="235">
        <v>2016</v>
      </c>
      <c r="L24" s="244" t="s">
        <v>894</v>
      </c>
      <c r="N24" s="236">
        <v>2017</v>
      </c>
      <c r="O24" s="237" t="s">
        <v>894</v>
      </c>
      <c r="Q24" s="234">
        <v>2018</v>
      </c>
      <c r="R24" s="247" t="s">
        <v>894</v>
      </c>
      <c r="T24" s="277">
        <v>2019</v>
      </c>
      <c r="U24" s="280" t="s">
        <v>894</v>
      </c>
    </row>
    <row r="25" spans="2:21" x14ac:dyDescent="0.3">
      <c r="B25" s="232">
        <v>2013</v>
      </c>
      <c r="C25" s="253" t="s">
        <v>895</v>
      </c>
      <c r="E25" s="233">
        <v>2014</v>
      </c>
      <c r="F25" s="250" t="s">
        <v>895</v>
      </c>
      <c r="G25" s="65"/>
      <c r="H25" s="234">
        <v>2015</v>
      </c>
      <c r="I25" s="247" t="s">
        <v>895</v>
      </c>
      <c r="K25" s="235">
        <v>2016</v>
      </c>
      <c r="L25" s="244" t="s">
        <v>895</v>
      </c>
      <c r="N25" s="236">
        <v>2017</v>
      </c>
      <c r="O25" s="237" t="s">
        <v>899</v>
      </c>
      <c r="Q25" s="234">
        <v>2018</v>
      </c>
      <c r="R25" s="247" t="s">
        <v>895</v>
      </c>
      <c r="T25" s="277">
        <v>2019</v>
      </c>
      <c r="U25" s="280" t="s">
        <v>895</v>
      </c>
    </row>
    <row r="26" spans="2:21" x14ac:dyDescent="0.3">
      <c r="B26" s="232">
        <v>2013</v>
      </c>
      <c r="C26" s="253" t="s">
        <v>896</v>
      </c>
      <c r="E26" s="233">
        <v>2014</v>
      </c>
      <c r="F26" s="250" t="s">
        <v>896</v>
      </c>
      <c r="G26" s="65"/>
      <c r="H26" s="234">
        <v>2015</v>
      </c>
      <c r="I26" s="247" t="s">
        <v>896</v>
      </c>
      <c r="K26" s="235">
        <v>2016</v>
      </c>
      <c r="L26" s="244" t="s">
        <v>896</v>
      </c>
      <c r="N26" s="236">
        <v>2017</v>
      </c>
      <c r="O26" s="237" t="s">
        <v>900</v>
      </c>
      <c r="Q26" s="234">
        <v>2018</v>
      </c>
      <c r="R26" s="247" t="s">
        <v>896</v>
      </c>
      <c r="T26" s="277">
        <v>2019</v>
      </c>
      <c r="U26" s="280" t="s">
        <v>896</v>
      </c>
    </row>
    <row r="27" spans="2:21" x14ac:dyDescent="0.3">
      <c r="B27" s="232">
        <v>2013</v>
      </c>
      <c r="C27" s="253" t="s">
        <v>897</v>
      </c>
      <c r="E27" s="233">
        <v>2014</v>
      </c>
      <c r="F27" s="250" t="s">
        <v>897</v>
      </c>
      <c r="G27" s="65"/>
      <c r="H27" s="234">
        <v>2015</v>
      </c>
      <c r="I27" s="247" t="s">
        <v>897</v>
      </c>
      <c r="K27" s="235">
        <v>2016</v>
      </c>
      <c r="L27" s="244" t="s">
        <v>897</v>
      </c>
      <c r="N27" s="236">
        <v>2017</v>
      </c>
      <c r="O27" s="237" t="s">
        <v>897</v>
      </c>
      <c r="P27" s="31" t="s">
        <v>870</v>
      </c>
      <c r="Q27" s="234">
        <v>2018</v>
      </c>
      <c r="R27" s="247" t="s">
        <v>897</v>
      </c>
      <c r="T27" s="277">
        <v>2019</v>
      </c>
      <c r="U27" s="280" t="s">
        <v>897</v>
      </c>
    </row>
    <row r="28" spans="2:21" ht="15" thickBot="1" x14ac:dyDescent="0.35">
      <c r="B28" s="238">
        <v>2013</v>
      </c>
      <c r="C28" s="252" t="s">
        <v>898</v>
      </c>
      <c r="E28" s="239">
        <v>2014</v>
      </c>
      <c r="F28" s="249" t="s">
        <v>898</v>
      </c>
      <c r="G28" s="65"/>
      <c r="H28" s="240">
        <v>2015</v>
      </c>
      <c r="I28" s="246" t="s">
        <v>898</v>
      </c>
      <c r="K28" s="241">
        <v>2016</v>
      </c>
      <c r="L28" s="243" t="s">
        <v>898</v>
      </c>
      <c r="N28" s="242">
        <v>2017</v>
      </c>
      <c r="O28" s="275" t="s">
        <v>898</v>
      </c>
      <c r="Q28" s="240">
        <v>2018</v>
      </c>
      <c r="R28" s="246" t="s">
        <v>898</v>
      </c>
      <c r="T28" s="278">
        <v>2019</v>
      </c>
      <c r="U28" s="281" t="s">
        <v>898</v>
      </c>
    </row>
    <row r="29" spans="2:21" ht="15" thickBot="1" x14ac:dyDescent="0.35">
      <c r="G29" s="65"/>
    </row>
    <row r="30" spans="2:21" x14ac:dyDescent="0.3">
      <c r="B30" s="224" t="s">
        <v>885</v>
      </c>
      <c r="C30" s="225" t="s">
        <v>886</v>
      </c>
      <c r="E30" s="224" t="s">
        <v>885</v>
      </c>
      <c r="F30" s="225" t="s">
        <v>886</v>
      </c>
      <c r="G30" s="65"/>
      <c r="H30" s="224" t="s">
        <v>885</v>
      </c>
      <c r="I30" s="225" t="s">
        <v>886</v>
      </c>
      <c r="K30" s="224" t="s">
        <v>885</v>
      </c>
      <c r="L30" s="225" t="s">
        <v>886</v>
      </c>
      <c r="N30" s="224" t="s">
        <v>885</v>
      </c>
      <c r="O30" s="225" t="s">
        <v>886</v>
      </c>
      <c r="Q30" s="224" t="s">
        <v>885</v>
      </c>
      <c r="R30" s="225" t="s">
        <v>886</v>
      </c>
    </row>
    <row r="31" spans="2:21" x14ac:dyDescent="0.3">
      <c r="B31" s="282">
        <v>2020</v>
      </c>
      <c r="C31" s="253" t="s">
        <v>887</v>
      </c>
      <c r="E31" s="282">
        <v>2021</v>
      </c>
      <c r="F31" s="283" t="s">
        <v>887</v>
      </c>
      <c r="H31" s="282">
        <v>2022</v>
      </c>
      <c r="I31" s="283" t="s">
        <v>887</v>
      </c>
      <c r="K31" s="282">
        <v>2023</v>
      </c>
      <c r="L31" s="288" t="s">
        <v>887</v>
      </c>
      <c r="N31" s="282">
        <v>2024</v>
      </c>
      <c r="O31" s="288" t="s">
        <v>887</v>
      </c>
      <c r="Q31" s="282">
        <v>2025</v>
      </c>
      <c r="R31" s="290" t="s">
        <v>887</v>
      </c>
    </row>
    <row r="32" spans="2:21" x14ac:dyDescent="0.3">
      <c r="B32" s="282">
        <v>2020</v>
      </c>
      <c r="C32" s="253" t="s">
        <v>888</v>
      </c>
      <c r="E32" s="282">
        <v>2021</v>
      </c>
      <c r="F32" s="283" t="s">
        <v>888</v>
      </c>
      <c r="H32" s="282">
        <v>2022</v>
      </c>
      <c r="I32" s="283" t="s">
        <v>888</v>
      </c>
      <c r="K32" s="282">
        <v>2023</v>
      </c>
      <c r="L32" s="288" t="s">
        <v>888</v>
      </c>
      <c r="N32" s="282">
        <v>2024</v>
      </c>
      <c r="O32" s="288" t="s">
        <v>888</v>
      </c>
      <c r="Q32" s="282">
        <v>2025</v>
      </c>
      <c r="R32" s="288" t="s">
        <v>888</v>
      </c>
    </row>
    <row r="33" spans="2:18" x14ac:dyDescent="0.3">
      <c r="B33" s="282">
        <v>2020</v>
      </c>
      <c r="C33" s="253" t="s">
        <v>889</v>
      </c>
      <c r="E33" s="282">
        <v>2021</v>
      </c>
      <c r="F33" s="283" t="s">
        <v>889</v>
      </c>
      <c r="H33" s="282">
        <v>2022</v>
      </c>
      <c r="I33" s="283" t="s">
        <v>889</v>
      </c>
      <c r="K33" s="282">
        <v>2023</v>
      </c>
      <c r="L33" s="288" t="s">
        <v>889</v>
      </c>
      <c r="N33" s="282">
        <v>2024</v>
      </c>
      <c r="O33" s="288" t="s">
        <v>889</v>
      </c>
      <c r="Q33" s="282">
        <v>2025</v>
      </c>
      <c r="R33" s="288" t="s">
        <v>889</v>
      </c>
    </row>
    <row r="34" spans="2:18" x14ac:dyDescent="0.3">
      <c r="B34" s="282">
        <v>2020</v>
      </c>
      <c r="C34" s="253" t="s">
        <v>890</v>
      </c>
      <c r="E34" s="282">
        <v>2021</v>
      </c>
      <c r="F34" s="283" t="s">
        <v>890</v>
      </c>
      <c r="H34" s="282">
        <v>2022</v>
      </c>
      <c r="I34" s="283" t="s">
        <v>890</v>
      </c>
      <c r="K34" s="282">
        <v>2023</v>
      </c>
      <c r="L34" s="288" t="s">
        <v>890</v>
      </c>
      <c r="N34" s="282">
        <v>2024</v>
      </c>
      <c r="O34" s="288" t="s">
        <v>890</v>
      </c>
      <c r="Q34" s="282">
        <v>2025</v>
      </c>
      <c r="R34" s="288" t="s">
        <v>890</v>
      </c>
    </row>
    <row r="35" spans="2:18" x14ac:dyDescent="0.3">
      <c r="B35" s="282">
        <v>2020</v>
      </c>
      <c r="C35" s="253" t="s">
        <v>891</v>
      </c>
      <c r="E35" s="282">
        <v>2021</v>
      </c>
      <c r="F35" s="283" t="s">
        <v>891</v>
      </c>
      <c r="H35" s="282">
        <v>2022</v>
      </c>
      <c r="I35" s="283" t="s">
        <v>891</v>
      </c>
      <c r="K35" s="282">
        <v>2023</v>
      </c>
      <c r="L35" s="288" t="s">
        <v>891</v>
      </c>
      <c r="N35" s="282">
        <v>2024</v>
      </c>
      <c r="O35" s="288" t="s">
        <v>891</v>
      </c>
      <c r="Q35" s="282">
        <v>2025</v>
      </c>
      <c r="R35" s="288" t="s">
        <v>891</v>
      </c>
    </row>
    <row r="36" spans="2:18" x14ac:dyDescent="0.3">
      <c r="B36" s="282">
        <v>2020</v>
      </c>
      <c r="C36" s="253" t="s">
        <v>892</v>
      </c>
      <c r="E36" s="282">
        <v>2021</v>
      </c>
      <c r="F36" s="283" t="s">
        <v>892</v>
      </c>
      <c r="H36" s="282">
        <v>2022</v>
      </c>
      <c r="I36" s="283" t="s">
        <v>892</v>
      </c>
      <c r="K36" s="282">
        <v>2023</v>
      </c>
      <c r="L36" s="288" t="s">
        <v>892</v>
      </c>
      <c r="N36" s="282">
        <v>2024</v>
      </c>
      <c r="O36" s="288" t="s">
        <v>892</v>
      </c>
      <c r="Q36" s="282">
        <v>2025</v>
      </c>
      <c r="R36" s="288" t="s">
        <v>892</v>
      </c>
    </row>
    <row r="37" spans="2:18" x14ac:dyDescent="0.3">
      <c r="B37" s="282">
        <v>2020</v>
      </c>
      <c r="C37" s="253" t="s">
        <v>893</v>
      </c>
      <c r="E37" s="282">
        <v>2021</v>
      </c>
      <c r="F37" s="283" t="s">
        <v>893</v>
      </c>
      <c r="H37" s="282">
        <v>2022</v>
      </c>
      <c r="I37" s="283" t="s">
        <v>893</v>
      </c>
      <c r="K37" s="282">
        <v>2023</v>
      </c>
      <c r="L37" s="288" t="s">
        <v>893</v>
      </c>
      <c r="N37" s="282">
        <v>2024</v>
      </c>
      <c r="O37" s="288" t="s">
        <v>893</v>
      </c>
      <c r="Q37" s="282">
        <v>2025</v>
      </c>
      <c r="R37" s="288" t="s">
        <v>893</v>
      </c>
    </row>
    <row r="38" spans="2:18" x14ac:dyDescent="0.3">
      <c r="B38" s="282">
        <v>2020</v>
      </c>
      <c r="C38" s="253" t="s">
        <v>894</v>
      </c>
      <c r="E38" s="282">
        <v>2021</v>
      </c>
      <c r="F38" s="283" t="s">
        <v>894</v>
      </c>
      <c r="H38" s="282">
        <v>2022</v>
      </c>
      <c r="I38" s="283" t="s">
        <v>894</v>
      </c>
      <c r="K38" s="282">
        <v>2023</v>
      </c>
      <c r="L38" s="288" t="s">
        <v>894</v>
      </c>
      <c r="N38" s="282">
        <v>2024</v>
      </c>
      <c r="O38" s="288" t="s">
        <v>894</v>
      </c>
      <c r="Q38" s="282">
        <v>2025</v>
      </c>
      <c r="R38" s="289" t="s">
        <v>894</v>
      </c>
    </row>
    <row r="39" spans="2:18" x14ac:dyDescent="0.3">
      <c r="B39" s="282">
        <v>2020</v>
      </c>
      <c r="C39" s="253" t="s">
        <v>895</v>
      </c>
      <c r="E39" s="282">
        <v>2021</v>
      </c>
      <c r="F39" s="283" t="s">
        <v>895</v>
      </c>
      <c r="H39" s="282">
        <v>2022</v>
      </c>
      <c r="I39" s="283" t="s">
        <v>895</v>
      </c>
      <c r="K39" s="282">
        <v>2023</v>
      </c>
      <c r="L39" s="288" t="s">
        <v>895</v>
      </c>
      <c r="N39" s="282">
        <v>2024</v>
      </c>
      <c r="O39" s="288" t="s">
        <v>895</v>
      </c>
      <c r="Q39" s="282">
        <v>2025</v>
      </c>
      <c r="R39" s="289" t="s">
        <v>895</v>
      </c>
    </row>
    <row r="40" spans="2:18" x14ac:dyDescent="0.3">
      <c r="B40" s="282">
        <v>2020</v>
      </c>
      <c r="C40" s="253" t="s">
        <v>896</v>
      </c>
      <c r="E40" s="282">
        <v>2021</v>
      </c>
      <c r="F40" s="283" t="s">
        <v>896</v>
      </c>
      <c r="H40" s="282">
        <v>2022</v>
      </c>
      <c r="I40" s="283" t="s">
        <v>896</v>
      </c>
      <c r="K40" s="282">
        <v>2023</v>
      </c>
      <c r="L40" s="288" t="s">
        <v>896</v>
      </c>
      <c r="N40" s="282">
        <v>2024</v>
      </c>
      <c r="O40" s="288" t="s">
        <v>896</v>
      </c>
      <c r="Q40" s="282">
        <v>2025</v>
      </c>
      <c r="R40" s="289" t="s">
        <v>896</v>
      </c>
    </row>
    <row r="41" spans="2:18" x14ac:dyDescent="0.3">
      <c r="B41" s="282">
        <v>2020</v>
      </c>
      <c r="C41" s="253" t="s">
        <v>897</v>
      </c>
      <c r="E41" s="282">
        <v>2021</v>
      </c>
      <c r="F41" s="283" t="s">
        <v>897</v>
      </c>
      <c r="H41" s="282">
        <v>2022</v>
      </c>
      <c r="I41" s="283" t="s">
        <v>897</v>
      </c>
      <c r="K41" s="282">
        <v>2023</v>
      </c>
      <c r="L41" s="288" t="s">
        <v>897</v>
      </c>
      <c r="N41" s="282">
        <v>2024</v>
      </c>
      <c r="O41" s="288" t="s">
        <v>897</v>
      </c>
      <c r="Q41" s="282">
        <v>2025</v>
      </c>
      <c r="R41" s="289" t="s">
        <v>897</v>
      </c>
    </row>
    <row r="42" spans="2:18" x14ac:dyDescent="0.3">
      <c r="B42" s="282">
        <v>2020</v>
      </c>
      <c r="C42" s="253" t="s">
        <v>898</v>
      </c>
      <c r="E42" s="282">
        <v>2021</v>
      </c>
      <c r="F42" s="283" t="s">
        <v>898</v>
      </c>
      <c r="H42" s="282">
        <v>2022</v>
      </c>
      <c r="I42" s="283" t="s">
        <v>898</v>
      </c>
      <c r="K42" s="282">
        <v>2023</v>
      </c>
      <c r="L42" s="288" t="s">
        <v>898</v>
      </c>
      <c r="N42" s="282">
        <v>2024</v>
      </c>
      <c r="O42" s="288" t="s">
        <v>898</v>
      </c>
      <c r="Q42" s="282">
        <v>2025</v>
      </c>
      <c r="R42" s="289" t="s">
        <v>898</v>
      </c>
    </row>
  </sheetData>
  <mergeCells count="5">
    <mergeCell ref="T13:U14"/>
    <mergeCell ref="D13:S14"/>
    <mergeCell ref="G2:U11"/>
    <mergeCell ref="B2:F11"/>
    <mergeCell ref="B13:C14"/>
  </mergeCells>
  <hyperlinks>
    <hyperlink ref="O23" location="'JULY 2017'!A1" display="July" xr:uid="{00000000-0004-0000-8700-000000000000}"/>
    <hyperlink ref="O22" location="'JUNE 2017'!A1" display="June" xr:uid="{00000000-0004-0000-8700-000001000000}"/>
    <hyperlink ref="O21" location="'MAY 2017'!A1" display="May" xr:uid="{00000000-0004-0000-8700-000002000000}"/>
    <hyperlink ref="O20" location="'APRIL 2017'!A1" display="April" xr:uid="{00000000-0004-0000-8700-000003000000}"/>
    <hyperlink ref="O19" location="'MARCH 2017'!A1" display="March" xr:uid="{00000000-0004-0000-8700-000004000000}"/>
    <hyperlink ref="O18" location="'FEB 2017'!A1" display="February" xr:uid="{00000000-0004-0000-8700-000005000000}"/>
    <hyperlink ref="O17" location="'JAN 2017'!A1" display="January" xr:uid="{00000000-0004-0000-8700-000006000000}"/>
    <hyperlink ref="L28" location="'DEC 2016'!A1" display="December" xr:uid="{00000000-0004-0000-8700-000007000000}"/>
    <hyperlink ref="L27" location="'NOV 2016'!A1" display="November" xr:uid="{00000000-0004-0000-8700-000008000000}"/>
    <hyperlink ref="L26" location="'OCT 2016'!A1" display="October" xr:uid="{00000000-0004-0000-8700-000009000000}"/>
    <hyperlink ref="L25" location="'SEP 2016'!A1" display="September" xr:uid="{00000000-0004-0000-8700-00000A000000}"/>
    <hyperlink ref="L24" location="'AUG 2016'!A1" display="August" xr:uid="{00000000-0004-0000-8700-00000B000000}"/>
    <hyperlink ref="L23" location="'JULY 2016'!A1" display="July" xr:uid="{00000000-0004-0000-8700-00000C000000}"/>
    <hyperlink ref="L22" location="'JUNE 2016'!A1" display="June" xr:uid="{00000000-0004-0000-8700-00000D000000}"/>
    <hyperlink ref="L21" location="'MAY 2016'!A1" display="May" xr:uid="{00000000-0004-0000-8700-00000E000000}"/>
    <hyperlink ref="L20" location="'APRIL 2016'!A1" display="April" xr:uid="{00000000-0004-0000-8700-00000F000000}"/>
    <hyperlink ref="L19" location="'MARCH 2016'!A1" display="March" xr:uid="{00000000-0004-0000-8700-000010000000}"/>
    <hyperlink ref="L18" location="'FEB 2016'!A1" display="February" xr:uid="{00000000-0004-0000-8700-000011000000}"/>
    <hyperlink ref="L17" location="'JAN 2016'!A1" display="January" xr:uid="{00000000-0004-0000-8700-000012000000}"/>
    <hyperlink ref="I28" location="'DEC 2015'!A1" display="December" xr:uid="{00000000-0004-0000-8700-000013000000}"/>
    <hyperlink ref="I27" location="'NOV 2015'!A1" display="November" xr:uid="{00000000-0004-0000-8700-000014000000}"/>
    <hyperlink ref="I26" location="'OCT 2015'!A1" display="October" xr:uid="{00000000-0004-0000-8700-000015000000}"/>
    <hyperlink ref="I25" location="'SEP 2015'!A1" display="September" xr:uid="{00000000-0004-0000-8700-000016000000}"/>
    <hyperlink ref="I24" location="'AUGUST 2015'!A1" display="August" xr:uid="{00000000-0004-0000-8700-000017000000}"/>
    <hyperlink ref="I23" location="'JULY 2015'!A1" display="July" xr:uid="{00000000-0004-0000-8700-000018000000}"/>
    <hyperlink ref="I22" location="'JUNE 2015'!A1" display="June" xr:uid="{00000000-0004-0000-8700-000019000000}"/>
    <hyperlink ref="I21" location="'MAY 2015'!A1" display="May" xr:uid="{00000000-0004-0000-8700-00001A000000}"/>
    <hyperlink ref="I20" location="'APRIL 2015'!A1" display="April" xr:uid="{00000000-0004-0000-8700-00001B000000}"/>
    <hyperlink ref="I19" location="'MARCH 2015'!A1" display="March" xr:uid="{00000000-0004-0000-8700-00001C000000}"/>
    <hyperlink ref="I18" location="'FEB 2015'!A1" display="February" xr:uid="{00000000-0004-0000-8700-00001D000000}"/>
    <hyperlink ref="I17" location="'JAN 2015'!A1" display="January" xr:uid="{00000000-0004-0000-8700-00001E000000}"/>
    <hyperlink ref="F28" location="'DEC 2014'!A1" display="December" xr:uid="{00000000-0004-0000-8700-00001F000000}"/>
    <hyperlink ref="F27" location="'NOV 2014'!A1" display="November" xr:uid="{00000000-0004-0000-8700-000020000000}"/>
    <hyperlink ref="F26" location="'OCT 2014'!A1" display="October" xr:uid="{00000000-0004-0000-8700-000021000000}"/>
    <hyperlink ref="F25" location="'SEP 2014'!A1" display="September" xr:uid="{00000000-0004-0000-8700-000022000000}"/>
    <hyperlink ref="F24" location="'AUG 2014'!A1" display="August" xr:uid="{00000000-0004-0000-8700-000023000000}"/>
    <hyperlink ref="F23" location="'JULY 2014'!A1" display="July" xr:uid="{00000000-0004-0000-8700-000024000000}"/>
    <hyperlink ref="F22" location="'JUNE 2014'!A1" display="June" xr:uid="{00000000-0004-0000-8700-000025000000}"/>
    <hyperlink ref="F21" location="'MAY 2014'!A1" display="May" xr:uid="{00000000-0004-0000-8700-000026000000}"/>
    <hyperlink ref="F20" location="'APRIL 2014'!A1" display="April" xr:uid="{00000000-0004-0000-8700-000027000000}"/>
    <hyperlink ref="F19" location="'MARCH 2014'!A1" display="March" xr:uid="{00000000-0004-0000-8700-000028000000}"/>
    <hyperlink ref="F18" location="'FEB 2014'!A1" display="February" xr:uid="{00000000-0004-0000-8700-000029000000}"/>
    <hyperlink ref="F17" location="' JAN 2014'!A1" display="January" xr:uid="{00000000-0004-0000-8700-00002A000000}"/>
    <hyperlink ref="C28" location="'DEC 13'!A1" display="December" xr:uid="{00000000-0004-0000-8700-00002B000000}"/>
    <hyperlink ref="C27" location="'NOV 13'!A1" display="November" xr:uid="{00000000-0004-0000-8700-00002C000000}"/>
    <hyperlink ref="C26" location="'OCT 2013'!A1" display="October" xr:uid="{00000000-0004-0000-8700-00002D000000}"/>
    <hyperlink ref="C25" location="'SEP 2013'!A1" display="September" xr:uid="{00000000-0004-0000-8700-00002E000000}"/>
    <hyperlink ref="C24" location="'AUG 2013'!A1" display="August" xr:uid="{00000000-0004-0000-8700-00002F000000}"/>
    <hyperlink ref="C23" location="'JULY 2013'!A1" display="July" xr:uid="{00000000-0004-0000-8700-000030000000}"/>
    <hyperlink ref="C22" location="'JUNE 2013'!A1" display="June" xr:uid="{00000000-0004-0000-8700-000031000000}"/>
    <hyperlink ref="C21" location="'MAY 2013'!A1" display="May" xr:uid="{00000000-0004-0000-8700-000032000000}"/>
    <hyperlink ref="C20" location="APRIL2013!A1" display="April" xr:uid="{00000000-0004-0000-8700-000033000000}"/>
    <hyperlink ref="C19" location="'MARCH 2013'!A1" display="March" xr:uid="{00000000-0004-0000-8700-000034000000}"/>
    <hyperlink ref="C18" location="'FEB 2013'!A1" display="February" xr:uid="{00000000-0004-0000-8700-000035000000}"/>
    <hyperlink ref="C17" location="'JAN 2013'!A1" display="January" xr:uid="{00000000-0004-0000-8700-000036000000}"/>
    <hyperlink ref="O24" location="'AUG-2017'!A1" display="August" xr:uid="{00000000-0004-0000-8700-000037000000}"/>
    <hyperlink ref="O25" location="'SEP-2017'!A1" display="SEPTEMBER" xr:uid="{00000000-0004-0000-8700-000038000000}"/>
    <hyperlink ref="O26" location="'OCT-2017'!A1" display="OCTOBER" xr:uid="{00000000-0004-0000-8700-000039000000}"/>
    <hyperlink ref="O27" location="'NOV-2017'!A1" display="November" xr:uid="{00000000-0004-0000-8700-00003A000000}"/>
    <hyperlink ref="O28" location="'DEC 2017'!A1" display="December" xr:uid="{00000000-0004-0000-8700-00003B000000}"/>
    <hyperlink ref="R17" location="'JAN 2018'!A1" display="January" xr:uid="{00000000-0004-0000-8700-00003C000000}"/>
    <hyperlink ref="R18" location="'FEB 2018'!A1" display="February" xr:uid="{00000000-0004-0000-8700-00003D000000}"/>
    <hyperlink ref="R19" location="'MARCH 2018'!A1" display="March" xr:uid="{00000000-0004-0000-8700-00003E000000}"/>
    <hyperlink ref="R20" location="'APRIL-2018'!A1" display="April" xr:uid="{00000000-0004-0000-8700-00003F000000}"/>
    <hyperlink ref="R21" location="'MAY-2018'!A1" display="May" xr:uid="{00000000-0004-0000-8700-000040000000}"/>
    <hyperlink ref="R22" location="'JUNE-2018'!A1" display="June" xr:uid="{00000000-0004-0000-8700-000041000000}"/>
    <hyperlink ref="R23" location="'JULY-2018'!A1" display="July" xr:uid="{00000000-0004-0000-8700-000042000000}"/>
    <hyperlink ref="R24" location="'AUGUST-2018'!A1" display="August" xr:uid="{00000000-0004-0000-8700-000043000000}"/>
    <hyperlink ref="R25" location="'SEP-2018'!A1" display="September" xr:uid="{00000000-0004-0000-8700-000044000000}"/>
    <hyperlink ref="R26" location="'OCT -2018'!A1" display="October" xr:uid="{00000000-0004-0000-8700-000045000000}"/>
    <hyperlink ref="R28" location="'DEC-2018'!A1" display="December" xr:uid="{00000000-0004-0000-8700-000046000000}"/>
    <hyperlink ref="R27" location="'NOV-2018'!A1" display="November" xr:uid="{00000000-0004-0000-8700-000047000000}"/>
    <hyperlink ref="U17" location="'JAN-2019'!A1" display="January" xr:uid="{00000000-0004-0000-8700-000048000000}"/>
    <hyperlink ref="U18" location="'FEB-2019'!A1" display="February" xr:uid="{00000000-0004-0000-8700-000049000000}"/>
    <hyperlink ref="U19" location="'MARCH 2019'!A1" display="March" xr:uid="{00000000-0004-0000-8700-00004A000000}"/>
    <hyperlink ref="U20" location="'APRIL 2019'!A1" display="April" xr:uid="{00000000-0004-0000-8700-00004B000000}"/>
    <hyperlink ref="U21" location="'MAY 2019'!A1" display="May" xr:uid="{00000000-0004-0000-8700-00004C000000}"/>
    <hyperlink ref="U22" location="'JUN 2019'!A1" display="June" xr:uid="{00000000-0004-0000-8700-00004D000000}"/>
    <hyperlink ref="U23" location="'JULY 2019'!A1" display="July" xr:uid="{00000000-0004-0000-8700-00004E000000}"/>
    <hyperlink ref="U24" location="'AUGUST 2019'!A1" display="August" xr:uid="{00000000-0004-0000-8700-00004F000000}"/>
    <hyperlink ref="U25" location="'SEP 2019'!A1" display="September" xr:uid="{00000000-0004-0000-8700-000050000000}"/>
    <hyperlink ref="U26" location="'OCT 2019'!A1" display="October" xr:uid="{00000000-0004-0000-8700-000051000000}"/>
    <hyperlink ref="U27" location="'NOV 2019'!A1" display="November" xr:uid="{00000000-0004-0000-8700-000052000000}"/>
    <hyperlink ref="U28" location="'DEC 2019'!A1" display="December" xr:uid="{00000000-0004-0000-8700-000053000000}"/>
    <hyperlink ref="C31" location="'JAN 2020'!A1" display="January" xr:uid="{00000000-0004-0000-8700-000054000000}"/>
    <hyperlink ref="C32" location="'FEB 2020'!A1" display="February" xr:uid="{00000000-0004-0000-8700-000055000000}"/>
    <hyperlink ref="C33" location="'MARCH 2020'!A1" display="March" xr:uid="{00000000-0004-0000-8700-000056000000}"/>
    <hyperlink ref="C34" location="'APRIL 2020'!A1" display="April" xr:uid="{00000000-0004-0000-8700-000057000000}"/>
    <hyperlink ref="C35" location="'MAY 2020'!A1" display="May" xr:uid="{00000000-0004-0000-8700-000058000000}"/>
    <hyperlink ref="C36" location="'JUNE 2020'!A1" display="June" xr:uid="{00000000-0004-0000-8700-000059000000}"/>
    <hyperlink ref="C38" location="'AUGUST 2020'!A1" display="August" xr:uid="{00000000-0004-0000-8700-00005A000000}"/>
    <hyperlink ref="C37" location="'JULY 2020'!A1" display="July" xr:uid="{00000000-0004-0000-8700-00005B000000}"/>
    <hyperlink ref="C39" location="'SEP 2020'!A1" display="September" xr:uid="{00000000-0004-0000-8700-00005C000000}"/>
    <hyperlink ref="C40" location="'OCT 2020'!A1" display="October" xr:uid="{00000000-0004-0000-8700-00005D000000}"/>
    <hyperlink ref="C41" location="'NOV 2020'!A1" display="November" xr:uid="{00000000-0004-0000-8700-00005E000000}"/>
    <hyperlink ref="C42" location="'DEC 2020'!A1" display="December" xr:uid="{00000000-0004-0000-8700-00005F000000}"/>
    <hyperlink ref="F31" location="'JAN 2021'!A1" display="January" xr:uid="{00000000-0004-0000-8700-000060000000}"/>
    <hyperlink ref="F32" location="'FEB 2021'!A1" display="February" xr:uid="{00000000-0004-0000-8700-000061000000}"/>
    <hyperlink ref="F33" location="'MARCH 2021'!A1" display="March" xr:uid="{00000000-0004-0000-8700-000062000000}"/>
    <hyperlink ref="F34" location="'APRIL 2021'!A1" display="April" xr:uid="{00000000-0004-0000-8700-000063000000}"/>
    <hyperlink ref="F35" location="'MAY 2021'!A1" display="May" xr:uid="{00000000-0004-0000-8700-000064000000}"/>
    <hyperlink ref="F36" location="'JUNE 2021'!A1" display="June" xr:uid="{00000000-0004-0000-8700-000065000000}"/>
    <hyperlink ref="F37" location="'JULY 2021'!A1" display="July" xr:uid="{00000000-0004-0000-8700-000066000000}"/>
    <hyperlink ref="F38" location="'AUGUST 2021'!A1" display="August" xr:uid="{00000000-0004-0000-8700-000067000000}"/>
    <hyperlink ref="F39" location="'SEP 2021'!A1" display="September" xr:uid="{00000000-0004-0000-8700-000068000000}"/>
    <hyperlink ref="F41" location="'NOV 2021'!A1" display="November" xr:uid="{00000000-0004-0000-8700-000069000000}"/>
    <hyperlink ref="F42" location="'DEC 2021'!A1" display="December" xr:uid="{00000000-0004-0000-8700-00006A000000}"/>
    <hyperlink ref="I31" location="'JAN 2023'!A1" display="January" xr:uid="{00000000-0004-0000-8700-00006B000000}"/>
    <hyperlink ref="I32" location="'FEB 2023'!A1" display="February" xr:uid="{00000000-0004-0000-8700-00006C000000}"/>
    <hyperlink ref="I33" location="'MARCH -2022'!A1" display="March" xr:uid="{00000000-0004-0000-8700-00006D000000}"/>
    <hyperlink ref="I34" location="'APRIL 2023'!A1" display="April" xr:uid="{00000000-0004-0000-8700-00006E000000}"/>
    <hyperlink ref="I35" location="'MAY 2022'!A1" display="May" xr:uid="{00000000-0004-0000-8700-00006F000000}"/>
    <hyperlink ref="I36" location="'JUN 2022'!A1" display="June" xr:uid="{00000000-0004-0000-8700-000070000000}"/>
    <hyperlink ref="I37" location="'JULY 2022'!A1" display="July" xr:uid="{00000000-0004-0000-8700-000071000000}"/>
    <hyperlink ref="I38" location="'AUGUST 2022'!A1" display="August" xr:uid="{00000000-0004-0000-8700-000072000000}"/>
    <hyperlink ref="I39" location="'SEP 2022'!A1" display="September" xr:uid="{00000000-0004-0000-8700-000073000000}"/>
    <hyperlink ref="I40" location="'OCT 2022'!A1" display="October" xr:uid="{00000000-0004-0000-8700-000074000000}"/>
    <hyperlink ref="I41" location="'NOV 2022'!A1" display="November" xr:uid="{00000000-0004-0000-8700-000075000000}"/>
    <hyperlink ref="I42" location="'DEC 2022'!A1" display="December" xr:uid="{00000000-0004-0000-8700-000076000000}"/>
    <hyperlink ref="L35" location="'MAY 2023'!A1" display="May" xr:uid="{00000000-0004-0000-8700-000077000000}"/>
    <hyperlink ref="L34" location="'APRIL 2023'!A1" display="April" xr:uid="{00000000-0004-0000-8700-000078000000}"/>
    <hyperlink ref="L33" location="'MARCH 2023'!A1" display="March" xr:uid="{00000000-0004-0000-8700-000079000000}"/>
    <hyperlink ref="L32" location="'FEB 2023'!A1" display="February" xr:uid="{00000000-0004-0000-8700-00007A000000}"/>
    <hyperlink ref="L31" location="'JAN 2023'!A1" display="January" xr:uid="{00000000-0004-0000-8700-00007B000000}"/>
    <hyperlink ref="L36" location="'JUN 2023'!A1" display="June" xr:uid="{00000000-0004-0000-8700-00007C000000}"/>
    <hyperlink ref="L37" location="'JULY 2023'!A1" display="July" xr:uid="{00000000-0004-0000-8700-00007D000000}"/>
    <hyperlink ref="L38" location="'AUGUST 2023'!A1" display="August" xr:uid="{00000000-0004-0000-8700-00007E000000}"/>
    <hyperlink ref="L39" location="'SEP 2023'!A1" display="September" xr:uid="{00000000-0004-0000-8700-00007F000000}"/>
    <hyperlink ref="L40" location="'OCT 2023'!A1" display="October" xr:uid="{00000000-0004-0000-8700-000080000000}"/>
    <hyperlink ref="L41" location="'NOV 2023'!A1" display="November" xr:uid="{00000000-0004-0000-8700-000081000000}"/>
    <hyperlink ref="L42" location="'DEC 2023'!A1" display="December" xr:uid="{00000000-0004-0000-8700-000082000000}"/>
    <hyperlink ref="O31" location="'JAN 2024'!A1" display="January" xr:uid="{00000000-0004-0000-8700-000083000000}"/>
    <hyperlink ref="O32" location="'FEB 2024'!A1" display="February" xr:uid="{FAC4479B-5ABA-4755-96F6-70E1C985B49A}"/>
    <hyperlink ref="O33" location="'MARCH 2024'!A1" display="March" xr:uid="{B640DCDC-9856-42FC-9FE3-EB0B8CB80C87}"/>
    <hyperlink ref="O34" location="'APRIL 2024'!A1" display="April" xr:uid="{AC7BFAD3-8C60-4159-838A-F43CC5B90A7C}"/>
    <hyperlink ref="O35" location="'MAY 2024'!A1" display="May" xr:uid="{05CA3350-C67B-4BCC-B6F5-08D0758F0584}"/>
    <hyperlink ref="O36" location="'JUN 2024'!A1" display="June" xr:uid="{D3A05CFF-F447-480F-B567-D4CE83563814}"/>
    <hyperlink ref="O37" location="'JULY 2024'!A1" display="July" xr:uid="{35277BAE-B161-43FB-8A3E-62B5BD0E8685}"/>
    <hyperlink ref="O38" location="'AUGUST 2024'!A1" display="August" xr:uid="{BE670E09-C92C-4C72-BCC2-ED06371B7EA0}"/>
    <hyperlink ref="O39" location="'SEP 2024'!A1" display="September" xr:uid="{DEDF4B27-04E6-4ADA-A3F7-FB75708A71D2}"/>
    <hyperlink ref="O40" location="'OCT 2024'!A1" display="October" xr:uid="{EF0F41F2-7FC6-4FC4-8B2B-80C9A461C8CF}"/>
    <hyperlink ref="O42" location="'DEC 2024'!A1" display="December" xr:uid="{73F51AE5-309C-4C16-A790-EBC7F60DB26C}"/>
    <hyperlink ref="O41" location="'NOV 2024'!A1" display="November" xr:uid="{0F62B50A-637F-4D59-806B-A5C1F35C20A2}"/>
    <hyperlink ref="R31" location="'JAN 2025'!A1" display="January" xr:uid="{0F49888B-86DA-4C27-B8A5-C40CFCF75FCF}"/>
    <hyperlink ref="R32" location="'FEB 2025'!A1" display="February" xr:uid="{EABCCD8D-2353-4FD2-94DD-45DB7F0CD1AD}"/>
    <hyperlink ref="R33" location="'MARCH 2025'!A1" display="March" xr:uid="{2BAD0F5F-C6FB-47A1-9052-41B5DC1A597F}"/>
    <hyperlink ref="R34" location="'APRIL 2025'!A1" display="April" xr:uid="{C7BE19FD-044F-4D2A-82CD-D0175A4DF97D}"/>
    <hyperlink ref="R35" location="'MAY 2025'!A1" display="May" xr:uid="{FEF638F2-2677-42F7-A15B-8AD16548E757}"/>
    <hyperlink ref="R36" location="'JUN 2025'!A1" display="June" xr:uid="{EAD66154-E1D3-4EAB-8646-798444C3AA8D}"/>
    <hyperlink ref="R37" location="'JULY 2025'!A1" display="July" xr:uid="{233B3837-E68D-4212-A764-7258442F04B6}"/>
  </hyperlinks>
  <pageMargins left="0" right="0" top="0" bottom="0" header="0" footer="0"/>
  <pageSetup scale="8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33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41701</v>
      </c>
      <c r="C5" s="24" t="s">
        <v>55</v>
      </c>
      <c r="D5" s="26" t="s">
        <v>24</v>
      </c>
      <c r="E5" s="49" t="s">
        <v>168</v>
      </c>
      <c r="F5" s="49" t="s">
        <v>169</v>
      </c>
      <c r="G5" s="29">
        <v>100</v>
      </c>
      <c r="H5" s="29">
        <v>11000</v>
      </c>
      <c r="I5" s="20"/>
      <c r="J5" s="34"/>
    </row>
    <row r="6" spans="1:10" x14ac:dyDescent="0.3">
      <c r="A6" s="20"/>
      <c r="B6" s="71">
        <v>41702</v>
      </c>
      <c r="C6" s="24" t="s">
        <v>23</v>
      </c>
      <c r="D6" s="26" t="s">
        <v>22</v>
      </c>
      <c r="E6" s="49" t="s">
        <v>170</v>
      </c>
      <c r="F6" s="49" t="s">
        <v>151</v>
      </c>
      <c r="G6" s="29">
        <v>30</v>
      </c>
      <c r="H6" s="29">
        <v>12000</v>
      </c>
      <c r="I6" s="20"/>
      <c r="J6" s="34"/>
    </row>
    <row r="7" spans="1:10" x14ac:dyDescent="0.3">
      <c r="A7" s="20"/>
      <c r="B7" s="71">
        <v>41702</v>
      </c>
      <c r="C7" s="24" t="s">
        <v>23</v>
      </c>
      <c r="D7" s="26" t="s">
        <v>24</v>
      </c>
      <c r="E7" s="49" t="s">
        <v>171</v>
      </c>
      <c r="F7" s="49" t="s">
        <v>174</v>
      </c>
      <c r="G7" s="29">
        <v>100</v>
      </c>
      <c r="H7" s="29">
        <v>14500</v>
      </c>
      <c r="I7" s="20"/>
      <c r="J7" s="34"/>
    </row>
    <row r="8" spans="1:10" x14ac:dyDescent="0.3">
      <c r="A8" s="20"/>
      <c r="B8" s="71">
        <v>41703</v>
      </c>
      <c r="C8" s="24" t="s">
        <v>23</v>
      </c>
      <c r="D8" s="26" t="s">
        <v>24</v>
      </c>
      <c r="E8" s="49" t="s">
        <v>175</v>
      </c>
      <c r="F8" s="49" t="s">
        <v>176</v>
      </c>
      <c r="G8" s="29">
        <v>100</v>
      </c>
      <c r="H8" s="29">
        <v>9000</v>
      </c>
      <c r="I8" s="20"/>
      <c r="J8" s="34"/>
    </row>
    <row r="9" spans="1:10" x14ac:dyDescent="0.3">
      <c r="A9" s="20"/>
      <c r="B9" s="71">
        <v>41704</v>
      </c>
      <c r="C9" s="24" t="s">
        <v>23</v>
      </c>
      <c r="D9" s="26" t="s">
        <v>24</v>
      </c>
      <c r="E9" s="49" t="s">
        <v>180</v>
      </c>
      <c r="F9" s="49" t="s">
        <v>181</v>
      </c>
      <c r="G9" s="29">
        <v>100</v>
      </c>
      <c r="H9" s="29">
        <v>17000</v>
      </c>
      <c r="I9" s="20"/>
      <c r="J9" s="34"/>
    </row>
    <row r="10" spans="1:10" x14ac:dyDescent="0.3">
      <c r="A10" s="20"/>
      <c r="B10" s="71">
        <v>41705</v>
      </c>
      <c r="C10" s="24" t="s">
        <v>16</v>
      </c>
      <c r="D10" s="26" t="s">
        <v>24</v>
      </c>
      <c r="E10" s="49" t="s">
        <v>117</v>
      </c>
      <c r="F10" s="49" t="s">
        <v>183</v>
      </c>
      <c r="G10" s="29">
        <v>100</v>
      </c>
      <c r="H10" s="29">
        <v>6000</v>
      </c>
      <c r="I10" s="20"/>
      <c r="J10" s="34"/>
    </row>
    <row r="11" spans="1:10" x14ac:dyDescent="0.3">
      <c r="A11" s="20"/>
      <c r="B11" s="71">
        <v>41708</v>
      </c>
      <c r="C11" s="24" t="s">
        <v>16</v>
      </c>
      <c r="D11" s="26" t="s">
        <v>24</v>
      </c>
      <c r="E11" s="49" t="s">
        <v>185</v>
      </c>
      <c r="F11" s="49" t="s">
        <v>114</v>
      </c>
      <c r="G11" s="29">
        <v>100</v>
      </c>
      <c r="H11" s="29">
        <v>14000</v>
      </c>
      <c r="I11" s="20"/>
      <c r="J11" s="34"/>
    </row>
    <row r="12" spans="1:10" x14ac:dyDescent="0.3">
      <c r="A12" s="20"/>
      <c r="B12" s="71">
        <v>41709</v>
      </c>
      <c r="C12" s="24" t="s">
        <v>16</v>
      </c>
      <c r="D12" s="26" t="s">
        <v>24</v>
      </c>
      <c r="E12" s="49" t="s">
        <v>188</v>
      </c>
      <c r="F12" s="49" t="s">
        <v>183</v>
      </c>
      <c r="G12" s="29">
        <v>100</v>
      </c>
      <c r="H12" s="29">
        <v>18000</v>
      </c>
      <c r="I12" s="20"/>
      <c r="J12" s="34"/>
    </row>
    <row r="13" spans="1:10" x14ac:dyDescent="0.3">
      <c r="A13" s="20"/>
      <c r="B13" s="71">
        <v>41710</v>
      </c>
      <c r="C13" s="24" t="s">
        <v>16</v>
      </c>
      <c r="D13" s="26" t="s">
        <v>24</v>
      </c>
      <c r="E13" s="49" t="s">
        <v>189</v>
      </c>
      <c r="F13" s="49" t="s">
        <v>190</v>
      </c>
      <c r="G13" s="29">
        <v>100</v>
      </c>
      <c r="H13" s="29">
        <v>9000</v>
      </c>
      <c r="I13" s="20"/>
      <c r="J13" s="34"/>
    </row>
    <row r="14" spans="1:10" x14ac:dyDescent="0.3">
      <c r="A14" s="20"/>
      <c r="B14" s="71">
        <v>41711</v>
      </c>
      <c r="C14" s="24" t="s">
        <v>23</v>
      </c>
      <c r="D14" s="26" t="s">
        <v>24</v>
      </c>
      <c r="E14" s="49" t="s">
        <v>192</v>
      </c>
      <c r="F14" s="49" t="s">
        <v>194</v>
      </c>
      <c r="G14" s="29">
        <v>100</v>
      </c>
      <c r="H14" s="29">
        <v>-12000</v>
      </c>
      <c r="I14" s="20"/>
      <c r="J14" s="34"/>
    </row>
    <row r="15" spans="1:10" x14ac:dyDescent="0.3">
      <c r="A15" s="20"/>
      <c r="B15" s="71">
        <v>41712</v>
      </c>
      <c r="C15" s="24" t="s">
        <v>16</v>
      </c>
      <c r="D15" s="26" t="s">
        <v>22</v>
      </c>
      <c r="E15" s="49" t="s">
        <v>195</v>
      </c>
      <c r="F15" s="49" t="s">
        <v>195</v>
      </c>
      <c r="G15" s="29">
        <v>30</v>
      </c>
      <c r="H15" s="29">
        <v>0</v>
      </c>
      <c r="I15" s="20"/>
      <c r="J15" s="34"/>
    </row>
    <row r="16" spans="1:10" x14ac:dyDescent="0.3">
      <c r="A16" s="20"/>
      <c r="B16" s="71">
        <v>41716</v>
      </c>
      <c r="C16" s="24" t="s">
        <v>23</v>
      </c>
      <c r="D16" s="26" t="s">
        <v>22</v>
      </c>
      <c r="E16" s="49" t="s">
        <v>198</v>
      </c>
      <c r="F16" s="49" t="s">
        <v>199</v>
      </c>
      <c r="G16" s="29">
        <v>30</v>
      </c>
      <c r="H16" s="29">
        <v>6000</v>
      </c>
      <c r="I16" s="20"/>
      <c r="J16" s="34"/>
    </row>
    <row r="17" spans="1:10" x14ac:dyDescent="0.3">
      <c r="A17" s="20"/>
      <c r="B17" s="71">
        <v>41716</v>
      </c>
      <c r="C17" s="24" t="s">
        <v>23</v>
      </c>
      <c r="D17" s="26" t="s">
        <v>24</v>
      </c>
      <c r="E17" s="49" t="s">
        <v>117</v>
      </c>
      <c r="F17" s="49" t="s">
        <v>183</v>
      </c>
      <c r="G17" s="29">
        <v>100</v>
      </c>
      <c r="H17" s="29">
        <v>-6000</v>
      </c>
      <c r="I17" s="20"/>
      <c r="J17" s="34"/>
    </row>
    <row r="18" spans="1:10" x14ac:dyDescent="0.3">
      <c r="A18" s="20"/>
      <c r="B18" s="71">
        <v>41717</v>
      </c>
      <c r="C18" s="24" t="s">
        <v>23</v>
      </c>
      <c r="D18" s="26" t="s">
        <v>22</v>
      </c>
      <c r="E18" s="49" t="s">
        <v>201</v>
      </c>
      <c r="F18" s="49" t="s">
        <v>204</v>
      </c>
      <c r="G18" s="29">
        <v>30</v>
      </c>
      <c r="H18" s="29">
        <v>9450</v>
      </c>
      <c r="I18" s="20"/>
      <c r="J18" s="34"/>
    </row>
    <row r="19" spans="1:10" x14ac:dyDescent="0.3">
      <c r="A19" s="20"/>
      <c r="B19" s="71">
        <v>41718</v>
      </c>
      <c r="C19" s="24" t="s">
        <v>23</v>
      </c>
      <c r="D19" s="26" t="s">
        <v>24</v>
      </c>
      <c r="E19" s="49" t="s">
        <v>205</v>
      </c>
      <c r="F19" s="49" t="s">
        <v>206</v>
      </c>
      <c r="G19" s="29">
        <v>100</v>
      </c>
      <c r="H19" s="29">
        <v>5000</v>
      </c>
      <c r="I19" s="20"/>
      <c r="J19" s="34"/>
    </row>
    <row r="20" spans="1:10" x14ac:dyDescent="0.3">
      <c r="A20" s="20"/>
      <c r="B20" s="71">
        <v>41719</v>
      </c>
      <c r="C20" s="24" t="s">
        <v>23</v>
      </c>
      <c r="D20" s="26" t="s">
        <v>22</v>
      </c>
      <c r="E20" s="49" t="s">
        <v>209</v>
      </c>
      <c r="F20" s="49" t="s">
        <v>210</v>
      </c>
      <c r="G20" s="29">
        <v>30</v>
      </c>
      <c r="H20" s="29">
        <v>-8400</v>
      </c>
      <c r="I20" s="20"/>
      <c r="J20" s="34"/>
    </row>
    <row r="21" spans="1:10" x14ac:dyDescent="0.3">
      <c r="A21" s="20"/>
      <c r="B21" s="71">
        <v>41722</v>
      </c>
      <c r="C21" s="24" t="s">
        <v>23</v>
      </c>
      <c r="D21" s="26" t="s">
        <v>24</v>
      </c>
      <c r="E21" s="49" t="s">
        <v>213</v>
      </c>
      <c r="F21" s="49" t="s">
        <v>212</v>
      </c>
      <c r="G21" s="29">
        <v>100</v>
      </c>
      <c r="H21" s="29">
        <v>13000</v>
      </c>
      <c r="I21" s="20"/>
      <c r="J21" s="34"/>
    </row>
    <row r="22" spans="1:10" x14ac:dyDescent="0.3">
      <c r="A22" s="20"/>
      <c r="B22" s="71">
        <v>41723</v>
      </c>
      <c r="C22" s="24" t="s">
        <v>23</v>
      </c>
      <c r="D22" s="78" t="s">
        <v>24</v>
      </c>
      <c r="E22" s="26">
        <v>29160</v>
      </c>
      <c r="F22" s="49" t="s">
        <v>215</v>
      </c>
      <c r="G22" s="29">
        <v>100</v>
      </c>
      <c r="H22" s="29">
        <v>13000</v>
      </c>
      <c r="I22" s="20"/>
      <c r="J22" s="34"/>
    </row>
    <row r="23" spans="1:10" x14ac:dyDescent="0.3">
      <c r="A23" s="20"/>
      <c r="B23" s="71">
        <v>41724</v>
      </c>
      <c r="C23" s="24" t="s">
        <v>23</v>
      </c>
      <c r="D23" s="26" t="s">
        <v>22</v>
      </c>
      <c r="E23" s="49" t="s">
        <v>216</v>
      </c>
      <c r="F23" s="49" t="s">
        <v>217</v>
      </c>
      <c r="G23" s="29">
        <v>30</v>
      </c>
      <c r="H23" s="29">
        <v>10200</v>
      </c>
      <c r="I23" s="20"/>
      <c r="J23" s="34"/>
    </row>
    <row r="24" spans="1:10" x14ac:dyDescent="0.3">
      <c r="A24" s="20"/>
      <c r="B24" s="71">
        <v>41725</v>
      </c>
      <c r="C24" s="24" t="s">
        <v>23</v>
      </c>
      <c r="D24" s="26" t="s">
        <v>22</v>
      </c>
      <c r="E24" s="49" t="s">
        <v>220</v>
      </c>
      <c r="F24" s="49" t="s">
        <v>221</v>
      </c>
      <c r="G24" s="29">
        <v>20</v>
      </c>
      <c r="H24" s="29">
        <v>5400</v>
      </c>
      <c r="I24" s="20"/>
      <c r="J24" s="34"/>
    </row>
    <row r="25" spans="1:10" x14ac:dyDescent="0.3">
      <c r="A25" s="20"/>
      <c r="B25" s="71">
        <v>41726</v>
      </c>
      <c r="C25" s="24" t="s">
        <v>23</v>
      </c>
      <c r="D25" s="26" t="s">
        <v>22</v>
      </c>
      <c r="E25" s="49" t="s">
        <v>222</v>
      </c>
      <c r="F25" s="49" t="s">
        <v>223</v>
      </c>
      <c r="G25" s="29">
        <v>30</v>
      </c>
      <c r="H25" s="29">
        <v>10500</v>
      </c>
      <c r="I25" s="20"/>
      <c r="J25" s="34"/>
    </row>
    <row r="26" spans="1:10" x14ac:dyDescent="0.3">
      <c r="A26" s="20"/>
      <c r="B26" s="71">
        <v>41729</v>
      </c>
      <c r="C26" s="24" t="s">
        <v>16</v>
      </c>
      <c r="D26" s="26" t="s">
        <v>24</v>
      </c>
      <c r="E26" s="49" t="s">
        <v>224</v>
      </c>
      <c r="F26" s="49" t="s">
        <v>225</v>
      </c>
      <c r="G26" s="25">
        <v>100</v>
      </c>
      <c r="H26" s="45">
        <v>-8000</v>
      </c>
      <c r="I26" s="20"/>
    </row>
    <row r="27" spans="1:10" ht="15.6" x14ac:dyDescent="0.3">
      <c r="A27" s="20"/>
      <c r="B27" s="71"/>
      <c r="C27" s="24"/>
      <c r="D27" s="26"/>
      <c r="E27" s="49"/>
      <c r="F27" s="49"/>
      <c r="G27" s="25"/>
      <c r="H27" s="46">
        <v>148650</v>
      </c>
      <c r="I27" s="20"/>
    </row>
    <row r="28" spans="1:10" ht="15.6" x14ac:dyDescent="0.3">
      <c r="A28" s="20"/>
      <c r="B28" s="71"/>
      <c r="C28" s="24"/>
      <c r="D28" s="26"/>
      <c r="E28" s="26"/>
      <c r="F28" s="26"/>
      <c r="G28" s="25"/>
      <c r="H28" s="79"/>
      <c r="I28" s="20"/>
    </row>
    <row r="29" spans="1:10" x14ac:dyDescent="0.3">
      <c r="A29" s="20"/>
      <c r="B29" s="35"/>
      <c r="C29" s="29"/>
      <c r="D29" s="36"/>
      <c r="E29" s="36"/>
      <c r="F29" s="29"/>
      <c r="G29" s="29"/>
      <c r="H29" s="29"/>
      <c r="I29" s="20"/>
    </row>
    <row r="30" spans="1:10" ht="15.6" x14ac:dyDescent="0.3">
      <c r="A30" s="20"/>
      <c r="B30" s="61" t="s">
        <v>165</v>
      </c>
      <c r="C30" s="62"/>
      <c r="D30" s="63"/>
      <c r="E30" s="62"/>
      <c r="F30" s="62"/>
      <c r="G30" s="62"/>
      <c r="H30" s="62"/>
      <c r="I30" s="20"/>
    </row>
    <row r="31" spans="1:10" x14ac:dyDescent="0.3">
      <c r="A31" s="20"/>
      <c r="B31" s="71">
        <v>41701</v>
      </c>
      <c r="C31" s="24" t="s">
        <v>16</v>
      </c>
      <c r="D31" s="24" t="s">
        <v>25</v>
      </c>
      <c r="E31" s="49" t="s">
        <v>166</v>
      </c>
      <c r="F31" s="49" t="s">
        <v>167</v>
      </c>
      <c r="G31" s="25">
        <v>100</v>
      </c>
      <c r="H31" s="29">
        <v>2000</v>
      </c>
      <c r="I31" s="20"/>
    </row>
    <row r="32" spans="1:10" x14ac:dyDescent="0.3">
      <c r="A32" s="20"/>
      <c r="B32" s="71">
        <v>41702</v>
      </c>
      <c r="C32" s="24" t="s">
        <v>23</v>
      </c>
      <c r="D32" s="24" t="s">
        <v>25</v>
      </c>
      <c r="E32" s="49" t="s">
        <v>172</v>
      </c>
      <c r="F32" s="49" t="s">
        <v>173</v>
      </c>
      <c r="G32" s="25">
        <v>100</v>
      </c>
      <c r="H32" s="29">
        <v>2000</v>
      </c>
      <c r="I32" s="20"/>
    </row>
    <row r="33" spans="1:9" x14ac:dyDescent="0.3">
      <c r="A33" s="20"/>
      <c r="B33" s="71">
        <v>41703</v>
      </c>
      <c r="C33" s="24" t="s">
        <v>23</v>
      </c>
      <c r="D33" s="24" t="s">
        <v>25</v>
      </c>
      <c r="E33" s="49" t="s">
        <v>177</v>
      </c>
      <c r="F33" s="49" t="s">
        <v>178</v>
      </c>
      <c r="G33" s="25">
        <v>100</v>
      </c>
      <c r="H33" s="29">
        <v>4000</v>
      </c>
      <c r="I33" s="20"/>
    </row>
    <row r="34" spans="1:9" x14ac:dyDescent="0.3">
      <c r="A34" s="20"/>
      <c r="B34" s="71">
        <v>41704</v>
      </c>
      <c r="C34" s="24" t="s">
        <v>23</v>
      </c>
      <c r="D34" s="24" t="s">
        <v>25</v>
      </c>
      <c r="E34" s="49" t="s">
        <v>179</v>
      </c>
      <c r="F34" s="49" t="s">
        <v>182</v>
      </c>
      <c r="G34" s="25">
        <v>100</v>
      </c>
      <c r="H34" s="29">
        <v>4500</v>
      </c>
      <c r="I34" s="20"/>
    </row>
    <row r="35" spans="1:9" x14ac:dyDescent="0.3">
      <c r="A35" s="20"/>
      <c r="B35" s="71">
        <v>41705</v>
      </c>
      <c r="C35" s="24" t="s">
        <v>16</v>
      </c>
      <c r="D35" s="24" t="s">
        <v>25</v>
      </c>
      <c r="E35" s="49" t="s">
        <v>184</v>
      </c>
      <c r="F35" s="49" t="s">
        <v>158</v>
      </c>
      <c r="G35" s="25">
        <v>100</v>
      </c>
      <c r="H35" s="29">
        <v>2000</v>
      </c>
      <c r="I35" s="20"/>
    </row>
    <row r="36" spans="1:9" x14ac:dyDescent="0.3">
      <c r="A36" s="20"/>
      <c r="B36" s="71">
        <v>41708</v>
      </c>
      <c r="C36" s="24" t="s">
        <v>23</v>
      </c>
      <c r="D36" s="24" t="s">
        <v>25</v>
      </c>
      <c r="E36" s="49" t="s">
        <v>186</v>
      </c>
      <c r="F36" s="49" t="s">
        <v>187</v>
      </c>
      <c r="G36" s="25">
        <v>100</v>
      </c>
      <c r="H36" s="29">
        <v>2000</v>
      </c>
      <c r="I36" s="20"/>
    </row>
    <row r="37" spans="1:9" x14ac:dyDescent="0.3">
      <c r="A37" s="20"/>
      <c r="B37" s="71">
        <v>41710</v>
      </c>
      <c r="C37" s="24" t="s">
        <v>23</v>
      </c>
      <c r="D37" s="24" t="s">
        <v>25</v>
      </c>
      <c r="E37" s="49" t="s">
        <v>153</v>
      </c>
      <c r="F37" s="49" t="s">
        <v>191</v>
      </c>
      <c r="G37" s="25">
        <v>100</v>
      </c>
      <c r="H37" s="29">
        <v>4000</v>
      </c>
      <c r="I37" s="20"/>
    </row>
    <row r="38" spans="1:9" x14ac:dyDescent="0.3">
      <c r="A38" s="20"/>
      <c r="B38" s="71">
        <v>41711</v>
      </c>
      <c r="C38" s="24" t="s">
        <v>23</v>
      </c>
      <c r="D38" s="24" t="s">
        <v>25</v>
      </c>
      <c r="E38" s="49" t="s">
        <v>193</v>
      </c>
      <c r="F38" s="49" t="s">
        <v>191</v>
      </c>
      <c r="G38" s="25">
        <v>100</v>
      </c>
      <c r="H38" s="29">
        <v>-3000</v>
      </c>
      <c r="I38" s="20"/>
    </row>
    <row r="39" spans="1:9" x14ac:dyDescent="0.3">
      <c r="A39" s="20"/>
      <c r="B39" s="71">
        <v>41712</v>
      </c>
      <c r="C39" s="24" t="s">
        <v>23</v>
      </c>
      <c r="D39" s="24" t="s">
        <v>25</v>
      </c>
      <c r="E39" s="49" t="s">
        <v>191</v>
      </c>
      <c r="F39" s="49" t="s">
        <v>196</v>
      </c>
      <c r="G39" s="25">
        <v>100</v>
      </c>
      <c r="H39" s="29">
        <v>-2500</v>
      </c>
      <c r="I39" s="20"/>
    </row>
    <row r="40" spans="1:9" x14ac:dyDescent="0.3">
      <c r="A40" s="20"/>
      <c r="B40" s="71">
        <v>41716</v>
      </c>
      <c r="C40" s="24" t="s">
        <v>16</v>
      </c>
      <c r="D40" s="24" t="s">
        <v>25</v>
      </c>
      <c r="E40" s="49" t="s">
        <v>197</v>
      </c>
      <c r="F40" s="49" t="s">
        <v>200</v>
      </c>
      <c r="G40" s="25">
        <v>100</v>
      </c>
      <c r="H40" s="29">
        <v>4500</v>
      </c>
      <c r="I40" s="20"/>
    </row>
    <row r="41" spans="1:9" x14ac:dyDescent="0.3">
      <c r="A41" s="20"/>
      <c r="B41" s="71">
        <v>41717</v>
      </c>
      <c r="C41" s="24" t="s">
        <v>16</v>
      </c>
      <c r="D41" s="24" t="s">
        <v>25</v>
      </c>
      <c r="E41" s="49" t="s">
        <v>202</v>
      </c>
      <c r="F41" s="49" t="s">
        <v>203</v>
      </c>
      <c r="G41" s="25">
        <v>100</v>
      </c>
      <c r="H41" s="29">
        <v>3500</v>
      </c>
      <c r="I41" s="20"/>
    </row>
    <row r="42" spans="1:9" x14ac:dyDescent="0.3">
      <c r="A42" s="20"/>
      <c r="B42" s="71">
        <v>41718</v>
      </c>
      <c r="C42" s="24" t="s">
        <v>23</v>
      </c>
      <c r="D42" s="24" t="s">
        <v>25</v>
      </c>
      <c r="E42" s="49" t="s">
        <v>207</v>
      </c>
      <c r="F42" s="49" t="s">
        <v>208</v>
      </c>
      <c r="G42" s="25">
        <v>100</v>
      </c>
      <c r="H42" s="29">
        <v>2500</v>
      </c>
      <c r="I42" s="20"/>
    </row>
    <row r="43" spans="1:9" x14ac:dyDescent="0.3">
      <c r="A43" s="20"/>
      <c r="B43" s="71">
        <v>41719</v>
      </c>
      <c r="C43" s="24" t="s">
        <v>23</v>
      </c>
      <c r="D43" s="24" t="s">
        <v>25</v>
      </c>
      <c r="E43" s="49" t="s">
        <v>211</v>
      </c>
      <c r="F43" s="49" t="s">
        <v>202</v>
      </c>
      <c r="G43" s="25">
        <v>100</v>
      </c>
      <c r="H43" s="29">
        <v>-2500</v>
      </c>
      <c r="I43" s="20"/>
    </row>
    <row r="44" spans="1:9" x14ac:dyDescent="0.3">
      <c r="A44" s="20"/>
      <c r="B44" s="71">
        <v>41722</v>
      </c>
      <c r="C44" s="24" t="s">
        <v>23</v>
      </c>
      <c r="D44" s="24" t="s">
        <v>25</v>
      </c>
      <c r="E44" s="49" t="s">
        <v>153</v>
      </c>
      <c r="F44" s="49" t="s">
        <v>214</v>
      </c>
      <c r="G44" s="25">
        <v>100</v>
      </c>
      <c r="H44" s="29">
        <v>-2000</v>
      </c>
      <c r="I44" s="20"/>
    </row>
    <row r="45" spans="1:9" x14ac:dyDescent="0.3">
      <c r="A45" s="20"/>
      <c r="B45" s="71">
        <v>41723</v>
      </c>
      <c r="C45" s="24" t="s">
        <v>16</v>
      </c>
      <c r="D45" s="24" t="s">
        <v>25</v>
      </c>
      <c r="E45" s="49" t="s">
        <v>202</v>
      </c>
      <c r="F45" s="49" t="s">
        <v>200</v>
      </c>
      <c r="G45" s="25">
        <v>100</v>
      </c>
      <c r="H45" s="29">
        <v>-2000</v>
      </c>
      <c r="I45" s="20"/>
    </row>
    <row r="46" spans="1:9" x14ac:dyDescent="0.3">
      <c r="A46" s="20"/>
      <c r="B46" s="71">
        <v>41724</v>
      </c>
      <c r="C46" s="24" t="s">
        <v>23</v>
      </c>
      <c r="D46" s="24" t="s">
        <v>25</v>
      </c>
      <c r="E46" s="49" t="s">
        <v>218</v>
      </c>
      <c r="F46" s="49" t="s">
        <v>219</v>
      </c>
      <c r="G46" s="25">
        <v>100</v>
      </c>
      <c r="H46" s="29">
        <v>-2500</v>
      </c>
      <c r="I46" s="20"/>
    </row>
    <row r="47" spans="1:9" ht="15.6" x14ac:dyDescent="0.3">
      <c r="A47" s="20"/>
      <c r="B47" s="71">
        <v>41725</v>
      </c>
      <c r="C47" s="24" t="s">
        <v>23</v>
      </c>
      <c r="D47" s="24" t="s">
        <v>26</v>
      </c>
      <c r="E47" s="26">
        <v>264.60000000000002</v>
      </c>
      <c r="F47" s="26">
        <v>266.60000000000002</v>
      </c>
      <c r="G47" s="25">
        <v>1250</v>
      </c>
      <c r="H47" s="79">
        <v>-2500</v>
      </c>
      <c r="I47" s="20"/>
    </row>
    <row r="48" spans="1:9" x14ac:dyDescent="0.3">
      <c r="A48" s="20"/>
      <c r="B48" s="71">
        <v>41726</v>
      </c>
      <c r="C48" s="24" t="s">
        <v>23</v>
      </c>
      <c r="D48" s="24" t="s">
        <v>25</v>
      </c>
      <c r="E48" s="49">
        <v>6115</v>
      </c>
      <c r="F48" s="49">
        <v>6095</v>
      </c>
      <c r="G48" s="25">
        <v>100</v>
      </c>
      <c r="H48" s="45">
        <v>2000</v>
      </c>
      <c r="I48" s="20"/>
    </row>
    <row r="49" spans="1:9" x14ac:dyDescent="0.3">
      <c r="A49" s="20"/>
      <c r="B49" s="71">
        <v>41729</v>
      </c>
      <c r="C49" s="75" t="s">
        <v>23</v>
      </c>
      <c r="D49" s="24" t="s">
        <v>25</v>
      </c>
      <c r="E49" s="75">
        <v>6112</v>
      </c>
      <c r="F49" s="75">
        <v>6080</v>
      </c>
      <c r="G49" s="25">
        <v>100</v>
      </c>
      <c r="H49" s="29">
        <v>3200</v>
      </c>
      <c r="I49" s="20"/>
    </row>
    <row r="50" spans="1:9" ht="15.6" x14ac:dyDescent="0.3">
      <c r="A50" s="20"/>
      <c r="B50" s="71"/>
      <c r="C50" s="18"/>
      <c r="D50" s="18"/>
      <c r="E50" s="18"/>
      <c r="F50" s="18"/>
      <c r="G50" s="25"/>
      <c r="H50" s="80">
        <v>19200</v>
      </c>
      <c r="I50" s="20"/>
    </row>
    <row r="51" spans="1:9" x14ac:dyDescent="0.3">
      <c r="A51" s="20"/>
      <c r="B51" s="71"/>
      <c r="C51" s="18"/>
      <c r="D51" s="18"/>
      <c r="E51" s="18"/>
      <c r="F51" s="18"/>
      <c r="G51" s="25"/>
      <c r="H51" s="29"/>
      <c r="I51" s="20"/>
    </row>
    <row r="52" spans="1:9" x14ac:dyDescent="0.3">
      <c r="A52" s="20"/>
      <c r="B52" s="71"/>
      <c r="C52" s="18"/>
      <c r="D52" s="18"/>
      <c r="E52" s="18"/>
      <c r="F52" s="18"/>
      <c r="G52" s="25"/>
      <c r="H52" s="29"/>
      <c r="I52" s="20"/>
    </row>
    <row r="53" spans="1:9" x14ac:dyDescent="0.3">
      <c r="A53" s="20"/>
      <c r="B53" s="35"/>
      <c r="C53" s="29"/>
      <c r="D53" s="36"/>
      <c r="E53" s="29"/>
      <c r="F53" s="29"/>
      <c r="G53" s="29"/>
      <c r="H53" s="29"/>
      <c r="I53" s="20"/>
    </row>
    <row r="54" spans="1:9" ht="15.6" x14ac:dyDescent="0.3">
      <c r="A54" s="20"/>
      <c r="B54" s="61" t="s">
        <v>164</v>
      </c>
      <c r="C54" s="62"/>
      <c r="D54" s="63"/>
      <c r="E54" s="62"/>
      <c r="F54" s="62"/>
      <c r="G54" s="62"/>
      <c r="H54" s="64"/>
      <c r="I54" s="20"/>
    </row>
    <row r="55" spans="1:9" x14ac:dyDescent="0.3">
      <c r="A55" s="20"/>
      <c r="B55" s="71">
        <v>41701</v>
      </c>
      <c r="C55" s="24" t="s">
        <v>23</v>
      </c>
      <c r="D55" s="24" t="s">
        <v>28</v>
      </c>
      <c r="E55" s="26">
        <v>127.7</v>
      </c>
      <c r="F55" s="26">
        <v>128.19999999999999</v>
      </c>
      <c r="G55" s="49">
        <v>5000</v>
      </c>
      <c r="H55" s="29">
        <v>-2500</v>
      </c>
      <c r="I55" s="20"/>
    </row>
    <row r="56" spans="1:9" x14ac:dyDescent="0.3">
      <c r="A56" s="20"/>
      <c r="B56" s="71">
        <v>41702</v>
      </c>
      <c r="C56" s="24" t="s">
        <v>23</v>
      </c>
      <c r="D56" s="24" t="s">
        <v>27</v>
      </c>
      <c r="E56" s="26">
        <v>130.75</v>
      </c>
      <c r="F56" s="26">
        <v>131.30000000000001</v>
      </c>
      <c r="G56" s="49">
        <v>5000</v>
      </c>
      <c r="H56" s="29">
        <v>-2500</v>
      </c>
      <c r="I56" s="20"/>
    </row>
    <row r="57" spans="1:9" x14ac:dyDescent="0.3">
      <c r="A57" s="20"/>
      <c r="B57" s="71">
        <v>41703</v>
      </c>
      <c r="C57" s="24" t="s">
        <v>16</v>
      </c>
      <c r="D57" s="24" t="s">
        <v>27</v>
      </c>
      <c r="E57" s="26">
        <v>132.4</v>
      </c>
      <c r="F57" s="26">
        <v>132</v>
      </c>
      <c r="G57" s="49">
        <v>5000</v>
      </c>
      <c r="H57" s="29">
        <v>-2000</v>
      </c>
      <c r="I57" s="20"/>
    </row>
    <row r="58" spans="1:9" x14ac:dyDescent="0.3">
      <c r="A58" s="20"/>
      <c r="B58" s="71">
        <v>41704</v>
      </c>
      <c r="C58" s="24" t="s">
        <v>23</v>
      </c>
      <c r="D58" s="24" t="s">
        <v>28</v>
      </c>
      <c r="E58" s="26">
        <v>129.30000000000001</v>
      </c>
      <c r="F58" s="26">
        <v>128.80000000000001</v>
      </c>
      <c r="G58" s="49">
        <v>5000</v>
      </c>
      <c r="H58" s="29">
        <v>2500</v>
      </c>
      <c r="I58" s="20"/>
    </row>
    <row r="59" spans="1:9" x14ac:dyDescent="0.3">
      <c r="A59" s="20"/>
      <c r="B59" s="71">
        <v>41705</v>
      </c>
      <c r="C59" s="24" t="s">
        <v>16</v>
      </c>
      <c r="D59" s="26" t="s">
        <v>27</v>
      </c>
      <c r="E59" s="26">
        <v>130.30000000000001</v>
      </c>
      <c r="F59" s="26">
        <v>129.80000000000001</v>
      </c>
      <c r="G59" s="49">
        <v>5000</v>
      </c>
      <c r="H59" s="29">
        <v>-2500</v>
      </c>
      <c r="I59" s="20"/>
    </row>
    <row r="60" spans="1:9" x14ac:dyDescent="0.3">
      <c r="A60" s="20"/>
      <c r="B60" s="71">
        <v>41708</v>
      </c>
      <c r="C60" s="24" t="s">
        <v>23</v>
      </c>
      <c r="D60" s="24" t="s">
        <v>28</v>
      </c>
      <c r="E60" s="29">
        <v>123.5</v>
      </c>
      <c r="F60" s="29">
        <v>123</v>
      </c>
      <c r="G60" s="49">
        <v>5000</v>
      </c>
      <c r="H60" s="29">
        <v>2500</v>
      </c>
      <c r="I60" s="20"/>
    </row>
    <row r="61" spans="1:9" x14ac:dyDescent="0.3">
      <c r="A61" s="20"/>
      <c r="B61" s="71">
        <v>41709</v>
      </c>
      <c r="C61" s="24" t="s">
        <v>23</v>
      </c>
      <c r="D61" s="24" t="s">
        <v>29</v>
      </c>
      <c r="E61" s="29">
        <v>414</v>
      </c>
      <c r="F61" s="29">
        <v>411.7</v>
      </c>
      <c r="G61" s="49">
        <v>1000</v>
      </c>
      <c r="H61" s="29">
        <v>2300</v>
      </c>
      <c r="I61" s="20"/>
    </row>
    <row r="62" spans="1:9" x14ac:dyDescent="0.3">
      <c r="A62" s="20"/>
      <c r="B62" s="71">
        <v>41710</v>
      </c>
      <c r="C62" s="24" t="s">
        <v>23</v>
      </c>
      <c r="D62" s="24" t="s">
        <v>28</v>
      </c>
      <c r="E62" s="29">
        <v>122.3</v>
      </c>
      <c r="F62" s="29">
        <v>121.3</v>
      </c>
      <c r="G62" s="49">
        <v>5000</v>
      </c>
      <c r="H62" s="29">
        <v>5000</v>
      </c>
      <c r="I62" s="20"/>
    </row>
    <row r="63" spans="1:9" x14ac:dyDescent="0.3">
      <c r="A63" s="20"/>
      <c r="B63" s="71">
        <v>41711</v>
      </c>
      <c r="C63" s="24" t="s">
        <v>23</v>
      </c>
      <c r="D63" s="24" t="s">
        <v>27</v>
      </c>
      <c r="E63" s="29">
        <v>123.5</v>
      </c>
      <c r="F63" s="29">
        <v>123</v>
      </c>
      <c r="G63" s="49">
        <v>5000</v>
      </c>
      <c r="H63" s="29">
        <v>2500</v>
      </c>
      <c r="I63" s="20"/>
    </row>
    <row r="64" spans="1:9" x14ac:dyDescent="0.3">
      <c r="A64" s="20"/>
      <c r="B64" s="71">
        <v>41712</v>
      </c>
      <c r="C64" s="24" t="s">
        <v>23</v>
      </c>
      <c r="D64" s="24" t="s">
        <v>29</v>
      </c>
      <c r="E64" s="29">
        <v>403</v>
      </c>
      <c r="F64" s="29">
        <v>401</v>
      </c>
      <c r="G64" s="49">
        <v>1000</v>
      </c>
      <c r="H64" s="29">
        <v>2000</v>
      </c>
      <c r="I64" s="20"/>
    </row>
    <row r="65" spans="1:9" x14ac:dyDescent="0.3">
      <c r="A65" s="20"/>
      <c r="B65" s="71">
        <v>41716</v>
      </c>
      <c r="C65" s="24" t="s">
        <v>23</v>
      </c>
      <c r="D65" s="26" t="s">
        <v>27</v>
      </c>
      <c r="E65" s="26">
        <v>124.75</v>
      </c>
      <c r="F65" s="26">
        <v>124.25</v>
      </c>
      <c r="G65" s="49">
        <v>5000</v>
      </c>
      <c r="H65" s="29">
        <v>2500</v>
      </c>
      <c r="I65" s="20"/>
    </row>
    <row r="66" spans="1:9" x14ac:dyDescent="0.3">
      <c r="A66" s="20"/>
      <c r="B66" s="71">
        <v>41717</v>
      </c>
      <c r="C66" s="24" t="s">
        <v>23</v>
      </c>
      <c r="D66" s="26" t="s">
        <v>27</v>
      </c>
      <c r="E66" s="26">
        <v>126.45</v>
      </c>
      <c r="F66" s="26">
        <v>125.95</v>
      </c>
      <c r="G66" s="49">
        <v>5000</v>
      </c>
      <c r="H66" s="29">
        <v>-2500</v>
      </c>
      <c r="I66" s="20"/>
    </row>
    <row r="67" spans="1:9" x14ac:dyDescent="0.3">
      <c r="A67" s="20"/>
      <c r="B67" s="71">
        <v>41718</v>
      </c>
      <c r="C67" s="24" t="s">
        <v>16</v>
      </c>
      <c r="D67" s="26" t="s">
        <v>27</v>
      </c>
      <c r="E67" s="26">
        <v>125.3</v>
      </c>
      <c r="F67" s="29">
        <v>126.4</v>
      </c>
      <c r="G67" s="49">
        <v>5000</v>
      </c>
      <c r="H67" s="29">
        <v>5500</v>
      </c>
      <c r="I67" s="20"/>
    </row>
    <row r="68" spans="1:9" x14ac:dyDescent="0.3">
      <c r="A68" s="20"/>
      <c r="B68" s="71">
        <v>41722</v>
      </c>
      <c r="C68" s="24" t="s">
        <v>16</v>
      </c>
      <c r="D68" s="26" t="s">
        <v>28</v>
      </c>
      <c r="E68" s="26">
        <v>118.1</v>
      </c>
      <c r="F68" s="26">
        <v>118.6</v>
      </c>
      <c r="G68" s="49">
        <v>5000</v>
      </c>
      <c r="H68" s="29">
        <v>2500</v>
      </c>
      <c r="I68" s="20"/>
    </row>
    <row r="69" spans="1:9" ht="15.6" x14ac:dyDescent="0.3">
      <c r="A69" s="20"/>
      <c r="B69" s="71">
        <v>41723</v>
      </c>
      <c r="C69" s="24" t="s">
        <v>23</v>
      </c>
      <c r="D69" s="24" t="s">
        <v>27</v>
      </c>
      <c r="E69" s="29">
        <v>124.75</v>
      </c>
      <c r="F69" s="29">
        <v>124.5</v>
      </c>
      <c r="G69" s="49">
        <v>5000</v>
      </c>
      <c r="H69" s="77">
        <v>1250</v>
      </c>
      <c r="I69" s="20"/>
    </row>
    <row r="70" spans="1:9" x14ac:dyDescent="0.3">
      <c r="A70" s="20"/>
      <c r="B70" s="71">
        <v>41724</v>
      </c>
      <c r="C70" s="24" t="s">
        <v>23</v>
      </c>
      <c r="D70" s="24" t="s">
        <v>28</v>
      </c>
      <c r="E70" s="29">
        <v>119.8</v>
      </c>
      <c r="F70" s="29">
        <v>118.6</v>
      </c>
      <c r="G70" s="49">
        <v>5000</v>
      </c>
      <c r="H70" s="29">
        <v>6000</v>
      </c>
      <c r="I70" s="20"/>
    </row>
    <row r="71" spans="1:9" x14ac:dyDescent="0.3">
      <c r="A71" s="20"/>
      <c r="B71" s="71">
        <v>41725</v>
      </c>
      <c r="C71" s="24" t="s">
        <v>23</v>
      </c>
      <c r="D71" s="24" t="s">
        <v>28</v>
      </c>
      <c r="E71" s="29">
        <v>118.1</v>
      </c>
      <c r="F71" s="29">
        <v>118.6</v>
      </c>
      <c r="G71" s="49">
        <v>5000</v>
      </c>
      <c r="H71" s="29">
        <v>-2500</v>
      </c>
      <c r="I71" s="20"/>
    </row>
    <row r="72" spans="1:9" x14ac:dyDescent="0.3">
      <c r="A72" s="20"/>
      <c r="B72" s="71">
        <v>41726</v>
      </c>
      <c r="C72" s="24" t="s">
        <v>23</v>
      </c>
      <c r="D72" s="24" t="s">
        <v>27</v>
      </c>
      <c r="E72" s="26">
        <v>123.5</v>
      </c>
      <c r="F72" s="26">
        <v>123</v>
      </c>
      <c r="G72" s="25">
        <v>5000</v>
      </c>
      <c r="H72" s="37">
        <v>2500</v>
      </c>
      <c r="I72" s="20"/>
    </row>
    <row r="73" spans="1:9" x14ac:dyDescent="0.3">
      <c r="A73" s="20"/>
      <c r="B73" s="71">
        <v>41729</v>
      </c>
      <c r="C73" s="24" t="s">
        <v>16</v>
      </c>
      <c r="D73" s="24" t="s">
        <v>29</v>
      </c>
      <c r="E73" s="26">
        <v>403</v>
      </c>
      <c r="F73" s="26">
        <v>405</v>
      </c>
      <c r="G73" s="25">
        <v>1000</v>
      </c>
      <c r="H73" s="29">
        <v>2000</v>
      </c>
      <c r="I73" s="20"/>
    </row>
    <row r="74" spans="1:9" ht="15.6" x14ac:dyDescent="0.3">
      <c r="A74" s="20"/>
      <c r="B74" s="35"/>
      <c r="C74" s="24"/>
      <c r="D74" s="24"/>
      <c r="E74" s="26"/>
      <c r="F74" s="26"/>
      <c r="G74" s="25"/>
      <c r="H74" s="80">
        <v>24550</v>
      </c>
      <c r="I74" s="20"/>
    </row>
    <row r="75" spans="1:9" x14ac:dyDescent="0.3">
      <c r="A75" s="20"/>
      <c r="B75" s="35"/>
      <c r="C75" s="24"/>
      <c r="D75" s="24"/>
      <c r="E75" s="26"/>
      <c r="F75" s="26"/>
      <c r="G75" s="25"/>
      <c r="H75" s="29"/>
      <c r="I75" s="20"/>
    </row>
    <row r="76" spans="1:9" x14ac:dyDescent="0.3">
      <c r="A76" s="20"/>
      <c r="H76" s="32"/>
      <c r="I76" s="20"/>
    </row>
    <row r="77" spans="1:9" x14ac:dyDescent="0.3">
      <c r="A77" s="20"/>
      <c r="I77" s="76"/>
    </row>
    <row r="78" spans="1:9" x14ac:dyDescent="0.3">
      <c r="A78" s="57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0F00-000000000000}"/>
  </hyperlinks>
  <pageMargins left="0.7" right="0.7" top="0.75" bottom="0.75" header="0.3" footer="0.3"/>
  <pageSetup orientation="portrait" horizontalDpi="300" verticalDpi="0" r:id="rId1"/>
  <ignoredErrors>
    <ignoredError sqref="E31:F31 E5:F5 E32:F32 E6:G8 E33:F33 E9:F9 E34:F34 E35:F35 E10:F10 E36:F36 E11:F14 E37:F38 E39 E40:F40 F39 E15:F17 E18:F18 E19:F21 F22 E23:F24 E41:F47 E25:F26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226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41731</v>
      </c>
      <c r="C5" s="24" t="s">
        <v>55</v>
      </c>
      <c r="D5" s="26" t="s">
        <v>22</v>
      </c>
      <c r="E5" s="29">
        <v>42700</v>
      </c>
      <c r="F5" s="29">
        <v>43100</v>
      </c>
      <c r="G5" s="29">
        <v>30</v>
      </c>
      <c r="H5" s="29">
        <v>12000</v>
      </c>
      <c r="I5" s="20"/>
      <c r="J5" s="34"/>
    </row>
    <row r="6" spans="1:10" x14ac:dyDescent="0.3">
      <c r="A6" s="20"/>
      <c r="B6" s="71">
        <v>41732</v>
      </c>
      <c r="C6" s="24" t="s">
        <v>23</v>
      </c>
      <c r="D6" s="26" t="s">
        <v>22</v>
      </c>
      <c r="E6" s="29">
        <v>42950</v>
      </c>
      <c r="F6" s="29">
        <v>42750</v>
      </c>
      <c r="G6" s="29">
        <v>30</v>
      </c>
      <c r="H6" s="29">
        <v>6000</v>
      </c>
      <c r="I6" s="20"/>
      <c r="J6" s="34"/>
    </row>
    <row r="7" spans="1:10" x14ac:dyDescent="0.3">
      <c r="A7" s="20"/>
      <c r="B7" s="71">
        <v>41733</v>
      </c>
      <c r="C7" s="24" t="s">
        <v>23</v>
      </c>
      <c r="D7" s="26" t="s">
        <v>22</v>
      </c>
      <c r="E7" s="29">
        <v>43200</v>
      </c>
      <c r="F7" s="29">
        <v>43380</v>
      </c>
      <c r="G7" s="29">
        <v>30</v>
      </c>
      <c r="H7" s="29">
        <v>-5400</v>
      </c>
      <c r="I7" s="20"/>
      <c r="J7" s="34"/>
    </row>
    <row r="8" spans="1:10" x14ac:dyDescent="0.3">
      <c r="A8" s="20"/>
      <c r="B8" s="71">
        <v>41736</v>
      </c>
      <c r="C8" s="24" t="s">
        <v>23</v>
      </c>
      <c r="D8" s="26" t="s">
        <v>22</v>
      </c>
      <c r="E8" s="29">
        <v>42850</v>
      </c>
      <c r="F8" s="29">
        <v>43100</v>
      </c>
      <c r="G8" s="29">
        <v>30</v>
      </c>
      <c r="H8" s="29">
        <v>-7500</v>
      </c>
      <c r="I8" s="20"/>
      <c r="J8" s="34"/>
    </row>
    <row r="9" spans="1:10" x14ac:dyDescent="0.3">
      <c r="A9" s="20"/>
      <c r="B9" s="71">
        <v>41738</v>
      </c>
      <c r="C9" s="24" t="s">
        <v>16</v>
      </c>
      <c r="D9" s="26" t="s">
        <v>24</v>
      </c>
      <c r="E9" s="29">
        <v>28540</v>
      </c>
      <c r="F9" s="29">
        <v>28440</v>
      </c>
      <c r="G9" s="29">
        <v>100</v>
      </c>
      <c r="H9" s="29">
        <v>-10000</v>
      </c>
      <c r="I9" s="20"/>
      <c r="J9" s="34"/>
    </row>
    <row r="10" spans="1:10" x14ac:dyDescent="0.3">
      <c r="A10" s="20"/>
      <c r="B10" s="71">
        <v>41739</v>
      </c>
      <c r="C10" s="24" t="s">
        <v>23</v>
      </c>
      <c r="D10" s="26" t="s">
        <v>22</v>
      </c>
      <c r="E10" s="29">
        <v>43520</v>
      </c>
      <c r="F10" s="29">
        <v>43460</v>
      </c>
      <c r="G10" s="29">
        <v>30</v>
      </c>
      <c r="H10" s="29">
        <v>1800</v>
      </c>
      <c r="I10" s="20"/>
      <c r="J10" s="34"/>
    </row>
    <row r="11" spans="1:10" x14ac:dyDescent="0.3">
      <c r="A11" s="20"/>
      <c r="B11" s="71">
        <v>41740</v>
      </c>
      <c r="C11" s="24" t="s">
        <v>23</v>
      </c>
      <c r="D11" s="26" t="s">
        <v>24</v>
      </c>
      <c r="E11" s="29">
        <v>28690</v>
      </c>
      <c r="F11" s="29">
        <v>28780</v>
      </c>
      <c r="G11" s="29">
        <v>100</v>
      </c>
      <c r="H11" s="29">
        <v>9000</v>
      </c>
      <c r="I11" s="20"/>
      <c r="J11" s="34"/>
    </row>
    <row r="12" spans="1:10" x14ac:dyDescent="0.3">
      <c r="A12" s="20"/>
      <c r="B12" s="71">
        <v>41744</v>
      </c>
      <c r="C12" s="24" t="s">
        <v>23</v>
      </c>
      <c r="D12" s="26" t="s">
        <v>24</v>
      </c>
      <c r="E12" s="29">
        <v>28690</v>
      </c>
      <c r="F12" s="29">
        <v>28580</v>
      </c>
      <c r="G12" s="29">
        <v>100</v>
      </c>
      <c r="H12" s="29">
        <v>11000</v>
      </c>
      <c r="I12" s="20"/>
      <c r="J12" s="34"/>
    </row>
    <row r="13" spans="1:10" x14ac:dyDescent="0.3">
      <c r="A13" s="20"/>
      <c r="B13" s="71">
        <v>41745</v>
      </c>
      <c r="C13" s="24" t="s">
        <v>23</v>
      </c>
      <c r="D13" s="26" t="s">
        <v>24</v>
      </c>
      <c r="E13" s="29">
        <v>28380</v>
      </c>
      <c r="F13" s="29">
        <v>28480</v>
      </c>
      <c r="G13" s="29">
        <v>100</v>
      </c>
      <c r="H13" s="29">
        <v>-10000</v>
      </c>
      <c r="I13" s="20"/>
      <c r="J13" s="34"/>
    </row>
    <row r="14" spans="1:10" x14ac:dyDescent="0.3">
      <c r="A14" s="20"/>
      <c r="B14" s="71">
        <v>41746</v>
      </c>
      <c r="C14" s="24" t="s">
        <v>23</v>
      </c>
      <c r="D14" s="26" t="s">
        <v>22</v>
      </c>
      <c r="E14" s="29">
        <v>42500</v>
      </c>
      <c r="F14" s="29">
        <v>42450</v>
      </c>
      <c r="G14" s="29">
        <v>30</v>
      </c>
      <c r="H14" s="29">
        <v>-1500</v>
      </c>
      <c r="I14" s="20"/>
      <c r="J14" s="34"/>
    </row>
    <row r="15" spans="1:10" x14ac:dyDescent="0.3">
      <c r="A15" s="20"/>
      <c r="B15" s="71">
        <v>41750</v>
      </c>
      <c r="C15" s="24" t="s">
        <v>23</v>
      </c>
      <c r="D15" s="26" t="s">
        <v>24</v>
      </c>
      <c r="E15" s="29">
        <v>28380</v>
      </c>
      <c r="F15" s="29">
        <v>28460</v>
      </c>
      <c r="G15" s="29">
        <v>100</v>
      </c>
      <c r="H15" s="29">
        <v>8000</v>
      </c>
      <c r="I15" s="20"/>
      <c r="J15" s="34"/>
    </row>
    <row r="16" spans="1:10" x14ac:dyDescent="0.3">
      <c r="A16" s="20"/>
      <c r="B16" s="71">
        <v>41751</v>
      </c>
      <c r="C16" s="24" t="s">
        <v>16</v>
      </c>
      <c r="D16" s="26" t="s">
        <v>22</v>
      </c>
      <c r="E16" s="29">
        <v>42150</v>
      </c>
      <c r="F16" s="29">
        <v>42460</v>
      </c>
      <c r="G16" s="29">
        <v>30</v>
      </c>
      <c r="H16" s="29">
        <v>9300</v>
      </c>
      <c r="I16" s="20"/>
      <c r="J16" s="34"/>
    </row>
    <row r="17" spans="1:10" x14ac:dyDescent="0.3">
      <c r="A17" s="20"/>
      <c r="B17" s="71">
        <v>41752</v>
      </c>
      <c r="C17" s="24" t="s">
        <v>16</v>
      </c>
      <c r="D17" s="26" t="s">
        <v>22</v>
      </c>
      <c r="E17" s="29">
        <v>42530</v>
      </c>
      <c r="F17" s="29">
        <v>42730</v>
      </c>
      <c r="G17" s="29">
        <v>30</v>
      </c>
      <c r="H17" s="29">
        <v>6000</v>
      </c>
      <c r="I17" s="20"/>
      <c r="J17" s="34"/>
    </row>
    <row r="18" spans="1:10" x14ac:dyDescent="0.3">
      <c r="A18" s="20"/>
      <c r="B18" s="71">
        <v>41754</v>
      </c>
      <c r="C18" s="24" t="s">
        <v>16</v>
      </c>
      <c r="D18" s="24" t="s">
        <v>22</v>
      </c>
      <c r="E18" s="29">
        <v>42720</v>
      </c>
      <c r="F18" s="29">
        <v>42500</v>
      </c>
      <c r="G18" s="29">
        <v>30</v>
      </c>
      <c r="H18" s="29">
        <v>6600</v>
      </c>
      <c r="I18" s="20"/>
      <c r="J18" s="34"/>
    </row>
    <row r="19" spans="1:10" x14ac:dyDescent="0.3">
      <c r="A19" s="20"/>
      <c r="B19" s="71">
        <v>41757</v>
      </c>
      <c r="C19" s="24" t="s">
        <v>23</v>
      </c>
      <c r="D19" s="26" t="s">
        <v>22</v>
      </c>
      <c r="E19" s="26">
        <v>42400</v>
      </c>
      <c r="F19" s="26">
        <v>42200</v>
      </c>
      <c r="G19" s="25">
        <v>30</v>
      </c>
      <c r="H19" s="45">
        <v>6000</v>
      </c>
      <c r="I19" s="20"/>
      <c r="J19" s="34"/>
    </row>
    <row r="20" spans="1:10" x14ac:dyDescent="0.3">
      <c r="A20" s="20"/>
      <c r="B20" s="71">
        <v>41758</v>
      </c>
      <c r="C20" s="24" t="s">
        <v>23</v>
      </c>
      <c r="D20" s="26" t="s">
        <v>22</v>
      </c>
      <c r="E20" s="26">
        <v>42020</v>
      </c>
      <c r="F20" s="26">
        <v>41820</v>
      </c>
      <c r="G20" s="25">
        <v>30</v>
      </c>
      <c r="H20" s="45">
        <v>6000</v>
      </c>
      <c r="I20" s="20"/>
      <c r="J20" s="34"/>
    </row>
    <row r="21" spans="1:10" x14ac:dyDescent="0.3">
      <c r="A21" s="20"/>
      <c r="B21" s="71">
        <v>41759</v>
      </c>
      <c r="C21" s="24" t="s">
        <v>23</v>
      </c>
      <c r="D21" s="26" t="s">
        <v>24</v>
      </c>
      <c r="E21" s="26">
        <v>28670</v>
      </c>
      <c r="F21" s="26">
        <v>28590</v>
      </c>
      <c r="G21" s="25">
        <v>100</v>
      </c>
      <c r="H21" s="45">
        <v>8000</v>
      </c>
      <c r="I21" s="20"/>
      <c r="J21" s="34"/>
    </row>
    <row r="22" spans="1:10" ht="15.6" x14ac:dyDescent="0.3">
      <c r="A22" s="20"/>
      <c r="B22" s="71"/>
      <c r="C22" s="24"/>
      <c r="D22" s="26"/>
      <c r="E22" s="26"/>
      <c r="F22" s="26"/>
      <c r="G22" s="25"/>
      <c r="H22" s="46">
        <v>55300</v>
      </c>
      <c r="I22" s="20"/>
      <c r="J22" s="34"/>
    </row>
    <row r="23" spans="1:10" x14ac:dyDescent="0.3">
      <c r="A23" s="20"/>
      <c r="B23" s="35"/>
      <c r="C23" s="45"/>
      <c r="D23" s="36"/>
      <c r="E23" s="45"/>
      <c r="F23" s="45"/>
      <c r="G23" s="29"/>
      <c r="H23" s="73"/>
      <c r="I23" s="20"/>
      <c r="J23" s="34"/>
    </row>
    <row r="24" spans="1:10" x14ac:dyDescent="0.3">
      <c r="A24" s="20"/>
      <c r="B24" s="35"/>
      <c r="C24" s="45"/>
      <c r="D24" s="36"/>
      <c r="E24" s="45"/>
      <c r="F24" s="45"/>
      <c r="G24" s="29"/>
      <c r="H24" s="45"/>
      <c r="I24" s="20"/>
      <c r="J24" s="34"/>
    </row>
    <row r="25" spans="1:10" x14ac:dyDescent="0.3">
      <c r="A25" s="20"/>
      <c r="B25" s="35"/>
      <c r="C25" s="29"/>
      <c r="D25" s="36"/>
      <c r="E25" s="36"/>
      <c r="F25" s="29"/>
      <c r="G25" s="29"/>
      <c r="H25" s="29"/>
      <c r="I25" s="20"/>
      <c r="J25" s="34"/>
    </row>
    <row r="26" spans="1:10" ht="15.6" x14ac:dyDescent="0.3">
      <c r="A26" s="20"/>
      <c r="B26" s="61" t="s">
        <v>227</v>
      </c>
      <c r="C26" s="62"/>
      <c r="D26" s="63"/>
      <c r="E26" s="62"/>
      <c r="F26" s="62"/>
      <c r="G26" s="62"/>
      <c r="H26" s="62"/>
      <c r="I26" s="20"/>
    </row>
    <row r="27" spans="1:10" x14ac:dyDescent="0.3">
      <c r="A27" s="20"/>
      <c r="B27" s="71">
        <v>41730</v>
      </c>
      <c r="C27" s="24" t="s">
        <v>23</v>
      </c>
      <c r="D27" s="24" t="s">
        <v>25</v>
      </c>
      <c r="E27" s="26">
        <v>6080</v>
      </c>
      <c r="F27" s="26">
        <v>6050</v>
      </c>
      <c r="G27" s="25">
        <v>100</v>
      </c>
      <c r="H27" s="29">
        <v>3000</v>
      </c>
      <c r="I27" s="20"/>
    </row>
    <row r="28" spans="1:10" x14ac:dyDescent="0.3">
      <c r="A28" s="20"/>
      <c r="B28" s="71">
        <v>41731</v>
      </c>
      <c r="C28" s="24" t="s">
        <v>23</v>
      </c>
      <c r="D28" s="24" t="s">
        <v>26</v>
      </c>
      <c r="E28" s="26">
        <v>255.5</v>
      </c>
      <c r="F28" s="26">
        <v>256.5</v>
      </c>
      <c r="G28" s="25">
        <v>1250</v>
      </c>
      <c r="H28" s="29">
        <v>-1250</v>
      </c>
      <c r="I28" s="20"/>
    </row>
    <row r="29" spans="1:10" x14ac:dyDescent="0.3">
      <c r="A29" s="20"/>
      <c r="B29" s="71">
        <v>41732</v>
      </c>
      <c r="C29" s="24" t="s">
        <v>23</v>
      </c>
      <c r="D29" s="24" t="s">
        <v>26</v>
      </c>
      <c r="E29" s="26">
        <v>262.5</v>
      </c>
      <c r="F29" s="26">
        <v>261</v>
      </c>
      <c r="G29" s="25">
        <v>1250</v>
      </c>
      <c r="H29" s="29">
        <v>1875</v>
      </c>
      <c r="I29" s="20"/>
    </row>
    <row r="30" spans="1:10" x14ac:dyDescent="0.3">
      <c r="A30" s="20"/>
      <c r="B30" s="71">
        <v>41733</v>
      </c>
      <c r="C30" s="24" t="s">
        <v>16</v>
      </c>
      <c r="D30" s="24" t="s">
        <v>25</v>
      </c>
      <c r="E30" s="26">
        <v>6095</v>
      </c>
      <c r="F30" s="26">
        <v>6075</v>
      </c>
      <c r="G30" s="25">
        <v>100</v>
      </c>
      <c r="H30" s="29">
        <v>-2000</v>
      </c>
      <c r="I30" s="20"/>
    </row>
    <row r="31" spans="1:10" x14ac:dyDescent="0.3">
      <c r="A31" s="20"/>
      <c r="B31" s="71">
        <v>41736</v>
      </c>
      <c r="C31" s="24" t="s">
        <v>23</v>
      </c>
      <c r="D31" s="24" t="s">
        <v>25</v>
      </c>
      <c r="E31" s="26">
        <v>6055</v>
      </c>
      <c r="F31" s="26">
        <v>6080</v>
      </c>
      <c r="G31" s="25">
        <v>100</v>
      </c>
      <c r="H31" s="29">
        <v>-2500</v>
      </c>
      <c r="I31" s="20"/>
    </row>
    <row r="32" spans="1:10" x14ac:dyDescent="0.3">
      <c r="A32" s="20"/>
      <c r="B32" s="71">
        <v>41738</v>
      </c>
      <c r="C32" s="24" t="s">
        <v>16</v>
      </c>
      <c r="D32" s="24" t="s">
        <v>25</v>
      </c>
      <c r="E32" s="26">
        <v>6175</v>
      </c>
      <c r="F32" s="26">
        <v>6205</v>
      </c>
      <c r="G32" s="25">
        <v>100</v>
      </c>
      <c r="H32" s="29">
        <v>3000</v>
      </c>
      <c r="I32" s="20"/>
    </row>
    <row r="33" spans="1:9" x14ac:dyDescent="0.3">
      <c r="A33" s="20"/>
      <c r="B33" s="71">
        <v>41739</v>
      </c>
      <c r="C33" s="24" t="s">
        <v>23</v>
      </c>
      <c r="D33" s="24" t="s">
        <v>25</v>
      </c>
      <c r="E33" s="26">
        <v>6115</v>
      </c>
      <c r="F33" s="26">
        <v>6135</v>
      </c>
      <c r="G33" s="25">
        <v>100</v>
      </c>
      <c r="H33" s="29">
        <v>-2000</v>
      </c>
      <c r="I33" s="20"/>
    </row>
    <row r="34" spans="1:9" x14ac:dyDescent="0.3">
      <c r="A34" s="20"/>
      <c r="B34" s="71">
        <v>41740</v>
      </c>
      <c r="C34" s="24" t="s">
        <v>23</v>
      </c>
      <c r="D34" s="24" t="s">
        <v>25</v>
      </c>
      <c r="E34" s="26">
        <v>6235</v>
      </c>
      <c r="F34" s="26">
        <v>6255</v>
      </c>
      <c r="G34" s="25">
        <v>100</v>
      </c>
      <c r="H34" s="29">
        <v>-2000</v>
      </c>
      <c r="I34" s="20"/>
    </row>
    <row r="35" spans="1:9" x14ac:dyDescent="0.3">
      <c r="A35" s="20"/>
      <c r="B35" s="71">
        <v>41744</v>
      </c>
      <c r="C35" s="24" t="s">
        <v>23</v>
      </c>
      <c r="D35" s="24" t="s">
        <v>25</v>
      </c>
      <c r="E35" s="26">
        <v>6235</v>
      </c>
      <c r="F35" s="26">
        <v>6216</v>
      </c>
      <c r="G35" s="25">
        <v>100</v>
      </c>
      <c r="H35" s="29">
        <v>1900</v>
      </c>
      <c r="I35" s="20"/>
    </row>
    <row r="36" spans="1:9" x14ac:dyDescent="0.3">
      <c r="A36" s="20"/>
      <c r="B36" s="71">
        <v>41745</v>
      </c>
      <c r="C36" s="24" t="s">
        <v>23</v>
      </c>
      <c r="D36" s="24" t="s">
        <v>25</v>
      </c>
      <c r="E36" s="26">
        <v>6325</v>
      </c>
      <c r="F36" s="26">
        <v>6280</v>
      </c>
      <c r="G36" s="25">
        <v>100</v>
      </c>
      <c r="H36" s="29">
        <v>4500</v>
      </c>
      <c r="I36" s="20"/>
    </row>
    <row r="37" spans="1:9" x14ac:dyDescent="0.3">
      <c r="A37" s="20"/>
      <c r="B37" s="71">
        <v>41746</v>
      </c>
      <c r="C37" s="24" t="s">
        <v>23</v>
      </c>
      <c r="D37" s="24" t="s">
        <v>26</v>
      </c>
      <c r="E37" s="26">
        <v>273.5</v>
      </c>
      <c r="F37" s="26">
        <v>271.5</v>
      </c>
      <c r="G37" s="25">
        <v>1250</v>
      </c>
      <c r="H37" s="29">
        <v>2500</v>
      </c>
      <c r="I37" s="20"/>
    </row>
    <row r="38" spans="1:9" x14ac:dyDescent="0.3">
      <c r="A38" s="20"/>
      <c r="B38" s="71">
        <v>41750</v>
      </c>
      <c r="C38" s="24" t="s">
        <v>16</v>
      </c>
      <c r="D38" s="24" t="s">
        <v>25</v>
      </c>
      <c r="E38" s="26">
        <v>6265</v>
      </c>
      <c r="F38" s="26">
        <v>6285</v>
      </c>
      <c r="G38" s="25">
        <v>100</v>
      </c>
      <c r="H38" s="29">
        <v>2000</v>
      </c>
      <c r="I38" s="20"/>
    </row>
    <row r="39" spans="1:9" x14ac:dyDescent="0.3">
      <c r="A39" s="20"/>
      <c r="B39" s="71">
        <v>41751</v>
      </c>
      <c r="C39" s="24" t="s">
        <v>23</v>
      </c>
      <c r="D39" s="26" t="s">
        <v>26</v>
      </c>
      <c r="E39" s="26">
        <v>287</v>
      </c>
      <c r="F39" s="26">
        <v>288</v>
      </c>
      <c r="G39" s="25">
        <v>100</v>
      </c>
      <c r="H39" s="29">
        <v>-1250</v>
      </c>
      <c r="I39" s="20"/>
    </row>
    <row r="40" spans="1:9" x14ac:dyDescent="0.3">
      <c r="A40" s="20"/>
      <c r="B40" s="71">
        <v>41754</v>
      </c>
      <c r="C40" s="24" t="s">
        <v>23</v>
      </c>
      <c r="D40" s="26" t="s">
        <v>25</v>
      </c>
      <c r="E40" s="26">
        <v>6180</v>
      </c>
      <c r="F40" s="26">
        <v>6140</v>
      </c>
      <c r="G40" s="25">
        <v>100</v>
      </c>
      <c r="H40" s="29">
        <v>4000</v>
      </c>
      <c r="I40" s="20"/>
    </row>
    <row r="41" spans="1:9" x14ac:dyDescent="0.3">
      <c r="A41" s="20"/>
      <c r="B41" s="71">
        <v>41757</v>
      </c>
      <c r="C41" s="24" t="s">
        <v>23</v>
      </c>
      <c r="D41" s="26" t="s">
        <v>25</v>
      </c>
      <c r="E41" s="26">
        <v>6150</v>
      </c>
      <c r="F41" s="26">
        <v>6120</v>
      </c>
      <c r="G41" s="25">
        <v>100</v>
      </c>
      <c r="H41" s="29">
        <v>3000</v>
      </c>
      <c r="I41" s="20"/>
    </row>
    <row r="42" spans="1:9" x14ac:dyDescent="0.3">
      <c r="A42" s="20"/>
      <c r="B42" s="71">
        <v>41758</v>
      </c>
      <c r="C42" s="24" t="s">
        <v>23</v>
      </c>
      <c r="D42" s="24" t="s">
        <v>25</v>
      </c>
      <c r="E42" s="26">
        <v>6170</v>
      </c>
      <c r="F42" s="26">
        <v>6125</v>
      </c>
      <c r="G42" s="25">
        <v>100</v>
      </c>
      <c r="H42" s="29">
        <v>4500</v>
      </c>
      <c r="I42" s="20"/>
    </row>
    <row r="43" spans="1:9" x14ac:dyDescent="0.3">
      <c r="A43" s="20"/>
      <c r="B43" s="71">
        <v>41759</v>
      </c>
      <c r="C43" s="24" t="s">
        <v>23</v>
      </c>
      <c r="D43" s="26" t="s">
        <v>25</v>
      </c>
      <c r="E43" s="26">
        <v>6060</v>
      </c>
      <c r="F43" s="26">
        <v>6027</v>
      </c>
      <c r="G43" s="25">
        <v>100</v>
      </c>
      <c r="H43" s="29">
        <v>3300</v>
      </c>
      <c r="I43" s="20"/>
    </row>
    <row r="44" spans="1:9" ht="15.6" x14ac:dyDescent="0.3">
      <c r="A44" s="20"/>
      <c r="B44" s="35"/>
      <c r="C44" s="18"/>
      <c r="D44" s="18"/>
      <c r="E44" s="18"/>
      <c r="F44" s="18"/>
      <c r="G44" s="18"/>
      <c r="H44" s="46">
        <v>22575</v>
      </c>
      <c r="I44" s="20"/>
    </row>
    <row r="45" spans="1:9" x14ac:dyDescent="0.3">
      <c r="A45" s="20"/>
      <c r="B45" s="35"/>
      <c r="C45" s="18"/>
      <c r="D45" s="18"/>
      <c r="E45" s="18"/>
      <c r="F45" s="18"/>
      <c r="G45" s="29"/>
      <c r="H45" s="29"/>
      <c r="I45" s="20"/>
    </row>
    <row r="46" spans="1:9" x14ac:dyDescent="0.3">
      <c r="A46" s="20"/>
      <c r="B46" s="35"/>
      <c r="C46" s="29"/>
      <c r="D46" s="36"/>
      <c r="E46" s="29"/>
      <c r="F46" s="29"/>
      <c r="G46" s="29"/>
      <c r="H46" s="29"/>
      <c r="I46" s="20"/>
    </row>
    <row r="47" spans="1:9" ht="15.6" x14ac:dyDescent="0.3">
      <c r="A47" s="20"/>
      <c r="B47" s="61" t="s">
        <v>228</v>
      </c>
      <c r="C47" s="62"/>
      <c r="D47" s="63"/>
      <c r="E47" s="62"/>
      <c r="F47" s="62"/>
      <c r="G47" s="62"/>
      <c r="H47" s="64"/>
      <c r="I47" s="20"/>
    </row>
    <row r="48" spans="1:9" x14ac:dyDescent="0.3">
      <c r="A48" s="20"/>
      <c r="B48" s="71">
        <v>41730</v>
      </c>
      <c r="C48" s="24" t="s">
        <v>23</v>
      </c>
      <c r="D48" s="24" t="s">
        <v>29</v>
      </c>
      <c r="E48" s="29">
        <v>404.5</v>
      </c>
      <c r="F48" s="29">
        <v>403</v>
      </c>
      <c r="G48" s="29">
        <v>1000</v>
      </c>
      <c r="H48" s="29">
        <v>1500</v>
      </c>
      <c r="I48" s="20"/>
    </row>
    <row r="49" spans="1:9" x14ac:dyDescent="0.3">
      <c r="A49" s="20"/>
      <c r="B49" s="71">
        <v>41731</v>
      </c>
      <c r="C49" s="24" t="s">
        <v>16</v>
      </c>
      <c r="D49" s="24" t="s">
        <v>28</v>
      </c>
      <c r="E49" s="29">
        <v>118.4</v>
      </c>
      <c r="F49" s="29">
        <v>119.2</v>
      </c>
      <c r="G49" s="29">
        <v>5000</v>
      </c>
      <c r="H49" s="29">
        <v>4000</v>
      </c>
      <c r="I49" s="20"/>
    </row>
    <row r="50" spans="1:9" x14ac:dyDescent="0.3">
      <c r="A50" s="20"/>
      <c r="B50" s="71">
        <v>41732</v>
      </c>
      <c r="C50" s="24" t="s">
        <v>23</v>
      </c>
      <c r="D50" s="24" t="s">
        <v>29</v>
      </c>
      <c r="E50" s="29">
        <v>405</v>
      </c>
      <c r="F50" s="29">
        <v>403.4</v>
      </c>
      <c r="G50" s="29">
        <v>1000</v>
      </c>
      <c r="H50" s="29">
        <v>1600</v>
      </c>
      <c r="I50" s="20"/>
    </row>
    <row r="51" spans="1:9" x14ac:dyDescent="0.3">
      <c r="A51" s="20"/>
      <c r="B51" s="71">
        <v>41732</v>
      </c>
      <c r="C51" s="24" t="s">
        <v>16</v>
      </c>
      <c r="D51" s="24" t="s">
        <v>28</v>
      </c>
      <c r="E51" s="29">
        <v>119.2</v>
      </c>
      <c r="F51" s="29">
        <v>119.7</v>
      </c>
      <c r="G51" s="29">
        <v>5000</v>
      </c>
      <c r="H51" s="29">
        <v>2500</v>
      </c>
      <c r="I51" s="20"/>
    </row>
    <row r="52" spans="1:9" x14ac:dyDescent="0.3">
      <c r="A52" s="20"/>
      <c r="B52" s="71">
        <v>41733</v>
      </c>
      <c r="C52" s="24" t="s">
        <v>16</v>
      </c>
      <c r="D52" s="24" t="s">
        <v>29</v>
      </c>
      <c r="E52" s="29">
        <v>408</v>
      </c>
      <c r="F52" s="29">
        <v>406</v>
      </c>
      <c r="G52" s="29">
        <v>1000</v>
      </c>
      <c r="H52" s="29">
        <v>-2000</v>
      </c>
      <c r="I52" s="20"/>
    </row>
    <row r="53" spans="1:9" x14ac:dyDescent="0.3">
      <c r="A53" s="20"/>
      <c r="B53" s="71">
        <v>41736</v>
      </c>
      <c r="C53" s="24" t="s">
        <v>23</v>
      </c>
      <c r="D53" s="24" t="s">
        <v>29</v>
      </c>
      <c r="E53" s="29">
        <v>403.5</v>
      </c>
      <c r="F53" s="29">
        <v>405.5</v>
      </c>
      <c r="G53" s="29">
        <v>1000</v>
      </c>
      <c r="H53" s="29">
        <v>-2000</v>
      </c>
      <c r="I53" s="20"/>
    </row>
    <row r="54" spans="1:9" x14ac:dyDescent="0.3">
      <c r="A54" s="20"/>
      <c r="B54" s="71">
        <v>41738</v>
      </c>
      <c r="C54" s="24" t="s">
        <v>16</v>
      </c>
      <c r="D54" s="24" t="s">
        <v>27</v>
      </c>
      <c r="E54" s="29">
        <v>125.2</v>
      </c>
      <c r="F54" s="29">
        <v>125.7</v>
      </c>
      <c r="G54" s="29">
        <v>5000</v>
      </c>
      <c r="H54" s="29">
        <v>2500</v>
      </c>
      <c r="I54" s="20"/>
    </row>
    <row r="55" spans="1:9" x14ac:dyDescent="0.3">
      <c r="A55" s="20"/>
      <c r="B55" s="71">
        <v>41739</v>
      </c>
      <c r="C55" s="24" t="s">
        <v>16</v>
      </c>
      <c r="D55" s="24" t="s">
        <v>27</v>
      </c>
      <c r="E55" s="29">
        <v>126.05</v>
      </c>
      <c r="F55" s="29">
        <v>126.55</v>
      </c>
      <c r="G55" s="29">
        <v>5000</v>
      </c>
      <c r="H55" s="29">
        <v>2500</v>
      </c>
      <c r="I55" s="20"/>
    </row>
    <row r="56" spans="1:9" x14ac:dyDescent="0.3">
      <c r="A56" s="20"/>
      <c r="B56" s="71">
        <v>41740</v>
      </c>
      <c r="C56" s="24" t="s">
        <v>16</v>
      </c>
      <c r="D56" s="24" t="s">
        <v>27</v>
      </c>
      <c r="E56" s="29">
        <v>128.35</v>
      </c>
      <c r="F56" s="29">
        <v>127.85</v>
      </c>
      <c r="G56" s="29">
        <v>2500</v>
      </c>
      <c r="H56" s="29">
        <v>-2500</v>
      </c>
      <c r="I56" s="20"/>
    </row>
    <row r="57" spans="1:9" x14ac:dyDescent="0.3">
      <c r="A57" s="20"/>
      <c r="B57" s="71">
        <v>41744</v>
      </c>
      <c r="C57" s="24" t="s">
        <v>16</v>
      </c>
      <c r="D57" s="24" t="s">
        <v>28</v>
      </c>
      <c r="E57" s="29">
        <v>123.6</v>
      </c>
      <c r="F57" s="29">
        <v>124</v>
      </c>
      <c r="G57" s="29">
        <v>5000</v>
      </c>
      <c r="H57" s="29">
        <v>2000</v>
      </c>
      <c r="I57" s="20"/>
    </row>
    <row r="58" spans="1:9" x14ac:dyDescent="0.3">
      <c r="A58" s="20"/>
      <c r="B58" s="71">
        <v>41745</v>
      </c>
      <c r="C58" s="24" t="s">
        <v>23</v>
      </c>
      <c r="D58" s="24" t="s">
        <v>27</v>
      </c>
      <c r="E58" s="29">
        <v>128.19999999999999</v>
      </c>
      <c r="F58" s="29">
        <v>127.6</v>
      </c>
      <c r="G58" s="29">
        <v>5000</v>
      </c>
      <c r="H58" s="29">
        <v>3000</v>
      </c>
      <c r="I58" s="20"/>
    </row>
    <row r="59" spans="1:9" x14ac:dyDescent="0.3">
      <c r="A59" s="20"/>
      <c r="B59" s="71">
        <v>41746</v>
      </c>
      <c r="C59" s="24" t="s">
        <v>16</v>
      </c>
      <c r="D59" s="24" t="s">
        <v>29</v>
      </c>
      <c r="E59" s="29">
        <v>405</v>
      </c>
      <c r="F59" s="29">
        <v>407</v>
      </c>
      <c r="G59" s="29">
        <v>1000</v>
      </c>
      <c r="H59" s="29">
        <v>2000</v>
      </c>
      <c r="I59" s="20"/>
    </row>
    <row r="60" spans="1:9" x14ac:dyDescent="0.3">
      <c r="A60" s="20"/>
      <c r="B60" s="71">
        <v>41750</v>
      </c>
      <c r="C60" s="24" t="s">
        <v>16</v>
      </c>
      <c r="D60" s="26" t="s">
        <v>29</v>
      </c>
      <c r="E60" s="29">
        <v>407</v>
      </c>
      <c r="F60" s="29">
        <v>409</v>
      </c>
      <c r="G60" s="29">
        <v>1000</v>
      </c>
      <c r="H60" s="29">
        <v>2000</v>
      </c>
      <c r="I60" s="20"/>
    </row>
    <row r="61" spans="1:9" x14ac:dyDescent="0.3">
      <c r="A61" s="20"/>
      <c r="B61" s="71">
        <v>41751</v>
      </c>
      <c r="C61" s="24" t="s">
        <v>16</v>
      </c>
      <c r="D61" s="24" t="s">
        <v>29</v>
      </c>
      <c r="E61" s="29">
        <v>407.5</v>
      </c>
      <c r="F61" s="29">
        <v>409.5</v>
      </c>
      <c r="G61" s="29">
        <v>1000</v>
      </c>
      <c r="H61" s="29">
        <v>2000</v>
      </c>
      <c r="I61" s="20"/>
    </row>
    <row r="62" spans="1:9" x14ac:dyDescent="0.3">
      <c r="A62" s="20"/>
      <c r="B62" s="71">
        <v>41752</v>
      </c>
      <c r="C62" s="24" t="s">
        <v>16</v>
      </c>
      <c r="D62" s="24" t="s">
        <v>28</v>
      </c>
      <c r="E62" s="29">
        <v>127.4</v>
      </c>
      <c r="F62" s="29">
        <v>126.9</v>
      </c>
      <c r="G62" s="29">
        <v>5000</v>
      </c>
      <c r="H62" s="29">
        <v>-2500</v>
      </c>
      <c r="I62" s="20"/>
    </row>
    <row r="63" spans="1:9" x14ac:dyDescent="0.3">
      <c r="A63" s="20"/>
      <c r="B63" s="71">
        <v>41752</v>
      </c>
      <c r="C63" s="24" t="s">
        <v>23</v>
      </c>
      <c r="D63" s="26" t="s">
        <v>35</v>
      </c>
      <c r="E63" s="29">
        <v>1115</v>
      </c>
      <c r="F63" s="29">
        <v>1100</v>
      </c>
      <c r="G63" s="29">
        <v>250</v>
      </c>
      <c r="H63" s="29">
        <v>3750</v>
      </c>
      <c r="I63" s="20"/>
    </row>
    <row r="64" spans="1:9" x14ac:dyDescent="0.3">
      <c r="A64" s="20"/>
      <c r="B64" s="71">
        <v>41754</v>
      </c>
      <c r="C64" s="24" t="s">
        <v>23</v>
      </c>
      <c r="D64" s="24" t="s">
        <v>29</v>
      </c>
      <c r="E64" s="29">
        <v>418.5</v>
      </c>
      <c r="F64" s="29">
        <v>417</v>
      </c>
      <c r="G64" s="29">
        <v>100</v>
      </c>
      <c r="H64" s="29">
        <v>1500</v>
      </c>
      <c r="I64" s="20"/>
    </row>
    <row r="65" spans="1:9" x14ac:dyDescent="0.3">
      <c r="A65" s="20"/>
      <c r="B65" s="71">
        <v>41757</v>
      </c>
      <c r="C65" s="24" t="s">
        <v>16</v>
      </c>
      <c r="D65" s="24" t="s">
        <v>28</v>
      </c>
      <c r="E65" s="29">
        <v>124.8</v>
      </c>
      <c r="F65" s="29">
        <v>125.3</v>
      </c>
      <c r="G65" s="29">
        <v>5000</v>
      </c>
      <c r="H65" s="29">
        <v>2500</v>
      </c>
      <c r="I65" s="20"/>
    </row>
    <row r="66" spans="1:9" x14ac:dyDescent="0.3">
      <c r="A66" s="20"/>
      <c r="B66" s="71">
        <v>41758</v>
      </c>
      <c r="C66" s="24" t="s">
        <v>23</v>
      </c>
      <c r="D66" s="24" t="s">
        <v>27</v>
      </c>
      <c r="E66" s="29">
        <v>126.6</v>
      </c>
      <c r="F66" s="29">
        <v>125.65</v>
      </c>
      <c r="G66" s="29">
        <v>5000</v>
      </c>
      <c r="H66" s="29">
        <v>4500</v>
      </c>
      <c r="I66" s="20"/>
    </row>
    <row r="67" spans="1:9" x14ac:dyDescent="0.3">
      <c r="A67" s="20"/>
      <c r="B67" s="71">
        <v>41759</v>
      </c>
      <c r="C67" s="24" t="s">
        <v>23</v>
      </c>
      <c r="D67" s="24" t="s">
        <v>29</v>
      </c>
      <c r="E67" s="29">
        <v>410</v>
      </c>
      <c r="F67" s="29">
        <v>404.5</v>
      </c>
      <c r="G67" s="29">
        <v>1000</v>
      </c>
      <c r="H67" s="29">
        <v>5500</v>
      </c>
      <c r="I67" s="20"/>
    </row>
    <row r="68" spans="1:9" x14ac:dyDescent="0.3">
      <c r="A68" s="20"/>
      <c r="B68" s="35"/>
      <c r="C68" s="24"/>
      <c r="D68" s="24"/>
      <c r="E68" s="29"/>
      <c r="F68" s="29"/>
      <c r="G68" s="29"/>
      <c r="H68" s="81">
        <v>34350</v>
      </c>
      <c r="I68" s="20"/>
    </row>
    <row r="69" spans="1:9" x14ac:dyDescent="0.3">
      <c r="A69" s="20"/>
      <c r="B69" s="35"/>
      <c r="C69" s="24"/>
      <c r="D69" s="24"/>
      <c r="E69" s="29"/>
      <c r="F69" s="29"/>
      <c r="G69" s="29"/>
      <c r="H69" s="29"/>
      <c r="I69" s="20"/>
    </row>
    <row r="70" spans="1:9" x14ac:dyDescent="0.3">
      <c r="A70" s="20"/>
      <c r="B70" s="35"/>
      <c r="C70" s="24"/>
      <c r="D70" s="24"/>
      <c r="E70" s="29"/>
      <c r="F70" s="29"/>
      <c r="G70" s="29"/>
      <c r="H70" s="29"/>
      <c r="I70" s="20"/>
    </row>
    <row r="71" spans="1:9" x14ac:dyDescent="0.3">
      <c r="A71" s="20"/>
      <c r="B71" s="35"/>
      <c r="C71" s="24"/>
      <c r="D71" s="24"/>
      <c r="E71" s="26"/>
      <c r="F71" s="26"/>
      <c r="G71" s="25"/>
      <c r="H71" s="37"/>
      <c r="I71" s="20"/>
    </row>
    <row r="72" spans="1:9" x14ac:dyDescent="0.3">
      <c r="A72" s="20"/>
      <c r="B72" s="35"/>
      <c r="C72" s="24"/>
      <c r="D72" s="24"/>
      <c r="E72" s="26"/>
      <c r="F72" s="26"/>
      <c r="G72" s="25"/>
      <c r="H72" s="29"/>
      <c r="I72" s="20"/>
    </row>
    <row r="73" spans="1:9" x14ac:dyDescent="0.3">
      <c r="A73" s="20"/>
      <c r="B73" s="35"/>
      <c r="C73" s="24"/>
      <c r="D73" s="24"/>
      <c r="E73" s="26"/>
      <c r="F73" s="26"/>
      <c r="G73" s="25"/>
      <c r="H73" s="29"/>
      <c r="I73" s="20"/>
    </row>
    <row r="74" spans="1:9" x14ac:dyDescent="0.3">
      <c r="A74" s="20"/>
      <c r="B74" s="35"/>
      <c r="C74" s="24"/>
      <c r="D74" s="24"/>
      <c r="E74" s="26"/>
      <c r="F74" s="26"/>
      <c r="G74" s="25"/>
      <c r="H74" s="29"/>
      <c r="I74" s="20"/>
    </row>
    <row r="75" spans="1:9" x14ac:dyDescent="0.3">
      <c r="A75" s="20"/>
      <c r="H75" s="32"/>
      <c r="I75" s="20"/>
    </row>
    <row r="76" spans="1:9" x14ac:dyDescent="0.3">
      <c r="A76" s="20"/>
      <c r="I76" s="20"/>
    </row>
    <row r="77" spans="1:9" x14ac:dyDescent="0.3">
      <c r="A77" s="20"/>
      <c r="I77" s="76"/>
    </row>
    <row r="78" spans="1:9" x14ac:dyDescent="0.3">
      <c r="A78" s="57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000-000000000000}"/>
  </hyperlinks>
  <pageMargins left="0.7" right="0.7" top="0.75" bottom="0.75" header="0.3" footer="0.3"/>
  <pageSetup orientation="portrait" horizontalDpi="30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229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41761</v>
      </c>
      <c r="C5" s="24" t="s">
        <v>23</v>
      </c>
      <c r="D5" s="26" t="s">
        <v>22</v>
      </c>
      <c r="E5" s="29">
        <v>41870</v>
      </c>
      <c r="F5" s="29">
        <v>41670</v>
      </c>
      <c r="G5" s="29">
        <v>30</v>
      </c>
      <c r="H5" s="29">
        <v>6000</v>
      </c>
      <c r="I5" s="20"/>
      <c r="J5" s="34"/>
    </row>
    <row r="6" spans="1:10" x14ac:dyDescent="0.3">
      <c r="A6" s="20"/>
      <c r="B6" s="71">
        <v>41764</v>
      </c>
      <c r="C6" s="24" t="s">
        <v>23</v>
      </c>
      <c r="D6" s="26" t="s">
        <v>22</v>
      </c>
      <c r="E6" s="29">
        <v>42750</v>
      </c>
      <c r="F6" s="29">
        <v>42620</v>
      </c>
      <c r="G6" s="29">
        <v>30</v>
      </c>
      <c r="H6" s="29">
        <v>3900</v>
      </c>
      <c r="I6" s="20"/>
      <c r="J6" s="34"/>
    </row>
    <row r="7" spans="1:10" x14ac:dyDescent="0.3">
      <c r="A7" s="20"/>
      <c r="B7" s="71">
        <v>41765</v>
      </c>
      <c r="C7" s="24" t="s">
        <v>23</v>
      </c>
      <c r="D7" s="26" t="s">
        <v>24</v>
      </c>
      <c r="E7" s="29">
        <v>28930</v>
      </c>
      <c r="F7" s="29">
        <v>28850</v>
      </c>
      <c r="G7" s="29">
        <v>100</v>
      </c>
      <c r="H7" s="29">
        <v>8000</v>
      </c>
      <c r="I7" s="20"/>
      <c r="J7" s="34"/>
    </row>
    <row r="8" spans="1:10" x14ac:dyDescent="0.3">
      <c r="A8" s="20"/>
      <c r="B8" s="71">
        <v>41766</v>
      </c>
      <c r="C8" s="24" t="s">
        <v>55</v>
      </c>
      <c r="D8" s="26" t="s">
        <v>22</v>
      </c>
      <c r="E8" s="29">
        <v>42670</v>
      </c>
      <c r="F8" s="29">
        <v>42879</v>
      </c>
      <c r="G8" s="29">
        <v>30</v>
      </c>
      <c r="H8" s="29">
        <v>6000</v>
      </c>
      <c r="I8" s="20"/>
      <c r="J8" s="34"/>
    </row>
    <row r="9" spans="1:10" x14ac:dyDescent="0.3">
      <c r="A9" s="20"/>
      <c r="B9" s="71">
        <v>41771</v>
      </c>
      <c r="C9" s="24" t="s">
        <v>23</v>
      </c>
      <c r="D9" s="26" t="s">
        <v>22</v>
      </c>
      <c r="E9" s="29">
        <v>42000</v>
      </c>
      <c r="F9" s="29">
        <v>42200</v>
      </c>
      <c r="G9" s="29">
        <v>30</v>
      </c>
      <c r="H9" s="29">
        <v>-6000</v>
      </c>
      <c r="I9" s="20"/>
      <c r="J9" s="34"/>
    </row>
    <row r="10" spans="1:10" x14ac:dyDescent="0.3">
      <c r="A10" s="20"/>
      <c r="B10" s="71">
        <v>41772</v>
      </c>
      <c r="C10" s="24" t="s">
        <v>16</v>
      </c>
      <c r="D10" s="78" t="s">
        <v>22</v>
      </c>
      <c r="E10" s="26">
        <v>41910</v>
      </c>
      <c r="F10" s="29">
        <v>42110</v>
      </c>
      <c r="G10" s="29">
        <v>30</v>
      </c>
      <c r="H10" s="29">
        <v>6000</v>
      </c>
      <c r="I10" s="20"/>
      <c r="J10" s="34"/>
    </row>
    <row r="11" spans="1:10" x14ac:dyDescent="0.3">
      <c r="A11" s="20"/>
      <c r="B11" s="71">
        <v>41774</v>
      </c>
      <c r="C11" s="24" t="s">
        <v>23</v>
      </c>
      <c r="D11" s="26" t="s">
        <v>22</v>
      </c>
      <c r="E11" s="29">
        <v>42000</v>
      </c>
      <c r="F11" s="29">
        <v>41650</v>
      </c>
      <c r="G11" s="29">
        <v>30</v>
      </c>
      <c r="H11" s="29">
        <v>10500</v>
      </c>
      <c r="I11" s="20"/>
      <c r="J11" s="34"/>
    </row>
    <row r="12" spans="1:10" x14ac:dyDescent="0.3">
      <c r="A12" s="20"/>
      <c r="B12" s="71">
        <v>41775</v>
      </c>
      <c r="C12" s="24" t="s">
        <v>23</v>
      </c>
      <c r="D12" s="26" t="s">
        <v>22</v>
      </c>
      <c r="E12" s="29">
        <v>41230</v>
      </c>
      <c r="F12" s="29">
        <v>40930</v>
      </c>
      <c r="G12" s="29">
        <v>30</v>
      </c>
      <c r="H12" s="29">
        <v>9000</v>
      </c>
      <c r="I12" s="20"/>
      <c r="J12" s="34"/>
    </row>
    <row r="13" spans="1:10" x14ac:dyDescent="0.3">
      <c r="A13" s="20"/>
      <c r="B13" s="71">
        <v>41778</v>
      </c>
      <c r="C13" s="24" t="s">
        <v>23</v>
      </c>
      <c r="D13" s="26" t="s">
        <v>24</v>
      </c>
      <c r="E13" s="29">
        <v>28200</v>
      </c>
      <c r="F13" s="29">
        <v>28150</v>
      </c>
      <c r="G13" s="29">
        <v>100</v>
      </c>
      <c r="H13" s="29">
        <v>5000</v>
      </c>
      <c r="I13" s="20"/>
      <c r="J13" s="34"/>
    </row>
    <row r="14" spans="1:10" x14ac:dyDescent="0.3">
      <c r="A14" s="20"/>
      <c r="B14" s="71">
        <v>41779</v>
      </c>
      <c r="C14" s="24" t="s">
        <v>23</v>
      </c>
      <c r="D14" s="26" t="s">
        <v>24</v>
      </c>
      <c r="E14" s="29">
        <v>28160</v>
      </c>
      <c r="F14" s="29">
        <v>28070</v>
      </c>
      <c r="G14" s="29">
        <v>100</v>
      </c>
      <c r="H14" s="29">
        <v>9000</v>
      </c>
      <c r="I14" s="20"/>
      <c r="J14" s="34"/>
    </row>
    <row r="15" spans="1:10" x14ac:dyDescent="0.3">
      <c r="A15" s="20"/>
      <c r="B15" s="71">
        <v>41780</v>
      </c>
      <c r="C15" s="24" t="s">
        <v>23</v>
      </c>
      <c r="D15" s="24" t="s">
        <v>24</v>
      </c>
      <c r="E15" s="29">
        <v>28165</v>
      </c>
      <c r="F15" s="29">
        <v>28015</v>
      </c>
      <c r="G15" s="29">
        <v>100</v>
      </c>
      <c r="H15" s="29">
        <v>15000</v>
      </c>
      <c r="I15" s="20"/>
      <c r="J15" s="34"/>
    </row>
    <row r="16" spans="1:10" x14ac:dyDescent="0.3">
      <c r="A16" s="20"/>
      <c r="B16" s="71">
        <v>41781</v>
      </c>
      <c r="C16" s="24" t="s">
        <v>23</v>
      </c>
      <c r="D16" s="26" t="s">
        <v>24</v>
      </c>
      <c r="E16" s="26">
        <v>27250</v>
      </c>
      <c r="F16" s="26">
        <v>27170</v>
      </c>
      <c r="G16" s="25">
        <v>100</v>
      </c>
      <c r="H16" s="69">
        <v>8000</v>
      </c>
      <c r="I16" s="20"/>
      <c r="J16" s="34"/>
    </row>
    <row r="17" spans="1:10" x14ac:dyDescent="0.3">
      <c r="A17" s="20"/>
      <c r="B17" s="71">
        <v>41782</v>
      </c>
      <c r="C17" s="24" t="s">
        <v>23</v>
      </c>
      <c r="D17" s="26" t="s">
        <v>24</v>
      </c>
      <c r="E17" s="26">
        <v>27200</v>
      </c>
      <c r="F17" s="26">
        <v>27300</v>
      </c>
      <c r="G17" s="25">
        <v>100</v>
      </c>
      <c r="H17" s="69">
        <v>-10000</v>
      </c>
      <c r="I17" s="20"/>
      <c r="J17" s="34"/>
    </row>
    <row r="18" spans="1:10" x14ac:dyDescent="0.3">
      <c r="A18" s="20"/>
      <c r="B18" s="71">
        <v>41785</v>
      </c>
      <c r="C18" s="24" t="s">
        <v>16</v>
      </c>
      <c r="D18" s="26" t="s">
        <v>24</v>
      </c>
      <c r="E18" s="26">
        <v>27370</v>
      </c>
      <c r="F18" s="26">
        <v>27375</v>
      </c>
      <c r="G18" s="25">
        <v>100</v>
      </c>
      <c r="H18" s="69">
        <v>500</v>
      </c>
      <c r="I18" s="20"/>
      <c r="J18" s="34"/>
    </row>
    <row r="19" spans="1:10" x14ac:dyDescent="0.3">
      <c r="A19" s="20"/>
      <c r="B19" s="71">
        <v>41786</v>
      </c>
      <c r="C19" s="24" t="s">
        <v>23</v>
      </c>
      <c r="D19" s="26" t="s">
        <v>22</v>
      </c>
      <c r="E19" s="26">
        <v>40760</v>
      </c>
      <c r="F19" s="26">
        <v>40290</v>
      </c>
      <c r="G19" s="25">
        <v>30</v>
      </c>
      <c r="H19" s="69">
        <v>14100</v>
      </c>
      <c r="I19" s="20"/>
      <c r="J19" s="34"/>
    </row>
    <row r="20" spans="1:10" x14ac:dyDescent="0.3">
      <c r="A20" s="20"/>
      <c r="B20" s="71">
        <v>41787</v>
      </c>
      <c r="C20" s="24" t="s">
        <v>23</v>
      </c>
      <c r="D20" s="26" t="s">
        <v>24</v>
      </c>
      <c r="E20" s="26">
        <v>26870</v>
      </c>
      <c r="F20" s="26">
        <v>26775</v>
      </c>
      <c r="G20" s="25">
        <v>100</v>
      </c>
      <c r="H20" s="69">
        <v>9500</v>
      </c>
      <c r="I20" s="20"/>
      <c r="J20" s="34"/>
    </row>
    <row r="21" spans="1:10" x14ac:dyDescent="0.3">
      <c r="A21" s="20"/>
      <c r="B21" s="71">
        <v>41788</v>
      </c>
      <c r="C21" s="24" t="s">
        <v>23</v>
      </c>
      <c r="D21" s="26" t="s">
        <v>22</v>
      </c>
      <c r="E21" s="26">
        <v>39700</v>
      </c>
      <c r="F21" s="26">
        <v>39950</v>
      </c>
      <c r="G21" s="25">
        <v>30</v>
      </c>
      <c r="H21" s="69">
        <v>-7500</v>
      </c>
      <c r="I21" s="20"/>
      <c r="J21" s="34"/>
    </row>
    <row r="22" spans="1:10" x14ac:dyDescent="0.3">
      <c r="A22" s="20"/>
      <c r="B22" s="71">
        <v>41789</v>
      </c>
      <c r="C22" s="24" t="s">
        <v>23</v>
      </c>
      <c r="D22" s="26" t="s">
        <v>24</v>
      </c>
      <c r="E22" s="26">
        <v>26770</v>
      </c>
      <c r="F22" s="26">
        <v>26720</v>
      </c>
      <c r="G22" s="25">
        <v>100</v>
      </c>
      <c r="H22" s="69">
        <v>5000</v>
      </c>
      <c r="I22" s="20"/>
      <c r="J22" s="34"/>
    </row>
    <row r="23" spans="1:10" ht="15.6" x14ac:dyDescent="0.3">
      <c r="A23" s="20"/>
      <c r="B23" s="71"/>
      <c r="C23" s="24"/>
      <c r="D23" s="26"/>
      <c r="E23" s="26"/>
      <c r="F23" s="26"/>
      <c r="G23" s="25"/>
      <c r="H23" s="46">
        <v>92000</v>
      </c>
      <c r="I23" s="20"/>
      <c r="J23" s="34"/>
    </row>
    <row r="24" spans="1:10" ht="15.6" x14ac:dyDescent="0.3">
      <c r="A24" s="20"/>
      <c r="B24" s="71"/>
      <c r="C24" s="24"/>
      <c r="D24" s="26"/>
      <c r="E24" s="26"/>
      <c r="F24" s="26"/>
      <c r="G24" s="25"/>
      <c r="H24" s="46"/>
      <c r="I24" s="20"/>
      <c r="J24" s="34"/>
    </row>
    <row r="25" spans="1:10" ht="15.6" x14ac:dyDescent="0.3">
      <c r="A25" s="20"/>
      <c r="B25" s="71"/>
      <c r="C25" s="24"/>
      <c r="D25" s="26"/>
      <c r="E25" s="26"/>
      <c r="F25" s="26"/>
      <c r="G25" s="25"/>
      <c r="H25" s="46"/>
      <c r="I25" s="20"/>
      <c r="J25" s="34"/>
    </row>
    <row r="26" spans="1:10" x14ac:dyDescent="0.3">
      <c r="A26" s="20"/>
      <c r="B26" s="35"/>
      <c r="C26" s="45"/>
      <c r="D26" s="36"/>
      <c r="E26" s="45"/>
      <c r="F26" s="45"/>
      <c r="G26" s="29"/>
      <c r="H26" s="73"/>
      <c r="I26" s="20"/>
    </row>
    <row r="27" spans="1:10" x14ac:dyDescent="0.3">
      <c r="A27" s="20"/>
      <c r="B27" s="35"/>
      <c r="C27" s="45"/>
      <c r="D27" s="36"/>
      <c r="E27" s="45"/>
      <c r="F27" s="45"/>
      <c r="G27" s="29"/>
      <c r="H27" s="45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231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41761</v>
      </c>
      <c r="C30" s="24" t="s">
        <v>23</v>
      </c>
      <c r="D30" s="24" t="s">
        <v>25</v>
      </c>
      <c r="E30" s="26">
        <v>6025</v>
      </c>
      <c r="F30" s="26">
        <v>5990</v>
      </c>
      <c r="G30" s="25">
        <v>100</v>
      </c>
      <c r="H30" s="29">
        <v>3500</v>
      </c>
      <c r="I30" s="20"/>
    </row>
    <row r="31" spans="1:10" x14ac:dyDescent="0.3">
      <c r="A31" s="20"/>
      <c r="B31" s="71">
        <v>41764</v>
      </c>
      <c r="C31" s="24" t="s">
        <v>23</v>
      </c>
      <c r="D31" s="8" t="s">
        <v>25</v>
      </c>
      <c r="E31" s="24">
        <v>6050</v>
      </c>
      <c r="F31" s="26">
        <v>6010</v>
      </c>
      <c r="G31" s="25">
        <v>100</v>
      </c>
      <c r="H31" s="29">
        <v>4000</v>
      </c>
      <c r="I31" s="20"/>
    </row>
    <row r="32" spans="1:10" x14ac:dyDescent="0.3">
      <c r="A32" s="20"/>
      <c r="B32" s="71">
        <v>41765</v>
      </c>
      <c r="C32" s="24" t="s">
        <v>23</v>
      </c>
      <c r="D32" s="24" t="s">
        <v>25</v>
      </c>
      <c r="E32" s="26">
        <v>5995</v>
      </c>
      <c r="F32" s="26">
        <v>5980</v>
      </c>
      <c r="G32" s="25">
        <v>100</v>
      </c>
      <c r="H32" s="29">
        <v>1500</v>
      </c>
      <c r="I32" s="20"/>
    </row>
    <row r="33" spans="1:9" x14ac:dyDescent="0.3">
      <c r="A33" s="20"/>
      <c r="B33" s="71">
        <v>41766</v>
      </c>
      <c r="C33" s="24" t="s">
        <v>23</v>
      </c>
      <c r="D33" s="24" t="s">
        <v>25</v>
      </c>
      <c r="E33" s="26">
        <v>6020</v>
      </c>
      <c r="F33" s="26">
        <v>6000</v>
      </c>
      <c r="G33" s="25">
        <v>100</v>
      </c>
      <c r="H33" s="29">
        <v>2000</v>
      </c>
      <c r="I33" s="20"/>
    </row>
    <row r="34" spans="1:9" x14ac:dyDescent="0.3">
      <c r="A34" s="20"/>
      <c r="B34" s="71">
        <v>41767</v>
      </c>
      <c r="C34" s="24" t="s">
        <v>23</v>
      </c>
      <c r="D34" s="24" t="s">
        <v>25</v>
      </c>
      <c r="E34" s="26">
        <v>6040</v>
      </c>
      <c r="F34" s="26">
        <v>6020</v>
      </c>
      <c r="G34" s="25">
        <v>100</v>
      </c>
      <c r="H34" s="29">
        <v>2000</v>
      </c>
      <c r="I34" s="20"/>
    </row>
    <row r="35" spans="1:9" x14ac:dyDescent="0.3">
      <c r="A35" s="20"/>
      <c r="B35" s="71">
        <v>41771</v>
      </c>
      <c r="C35" s="24" t="s">
        <v>23</v>
      </c>
      <c r="D35" s="24" t="s">
        <v>25</v>
      </c>
      <c r="E35" s="26">
        <v>6005</v>
      </c>
      <c r="F35" s="26">
        <v>5990</v>
      </c>
      <c r="G35" s="25">
        <v>100</v>
      </c>
      <c r="H35" s="29">
        <v>1500</v>
      </c>
      <c r="I35" s="20"/>
    </row>
    <row r="36" spans="1:9" x14ac:dyDescent="0.3">
      <c r="A36" s="20"/>
      <c r="B36" s="71">
        <v>41772</v>
      </c>
      <c r="C36" s="24" t="s">
        <v>23</v>
      </c>
      <c r="D36" s="24" t="s">
        <v>25</v>
      </c>
      <c r="E36" s="26">
        <v>6042</v>
      </c>
      <c r="F36" s="26">
        <v>6008</v>
      </c>
      <c r="G36" s="25">
        <v>100</v>
      </c>
      <c r="H36" s="29">
        <v>3200</v>
      </c>
      <c r="I36" s="20"/>
    </row>
    <row r="37" spans="1:9" x14ac:dyDescent="0.3">
      <c r="A37" s="20"/>
      <c r="B37" s="71">
        <v>41774</v>
      </c>
      <c r="C37" s="24" t="s">
        <v>23</v>
      </c>
      <c r="D37" s="24" t="s">
        <v>25</v>
      </c>
      <c r="E37" s="26">
        <v>6045</v>
      </c>
      <c r="F37" s="26">
        <v>6010</v>
      </c>
      <c r="G37" s="25">
        <v>100</v>
      </c>
      <c r="H37" s="29">
        <v>3500</v>
      </c>
      <c r="I37" s="20"/>
    </row>
    <row r="38" spans="1:9" x14ac:dyDescent="0.3">
      <c r="A38" s="20"/>
      <c r="B38" s="71">
        <v>41775</v>
      </c>
      <c r="C38" s="24" t="s">
        <v>23</v>
      </c>
      <c r="D38" s="24" t="s">
        <v>25</v>
      </c>
      <c r="E38" s="26">
        <v>5995</v>
      </c>
      <c r="F38" s="26">
        <v>5970</v>
      </c>
      <c r="G38" s="25">
        <v>100</v>
      </c>
      <c r="H38" s="29">
        <v>-2000</v>
      </c>
      <c r="I38" s="20"/>
    </row>
    <row r="39" spans="1:9" x14ac:dyDescent="0.3">
      <c r="A39" s="20"/>
      <c r="B39" s="71">
        <v>41778</v>
      </c>
      <c r="C39" s="24" t="s">
        <v>23</v>
      </c>
      <c r="D39" s="24" t="s">
        <v>25</v>
      </c>
      <c r="E39" s="26">
        <v>6012</v>
      </c>
      <c r="F39" s="26">
        <v>5992</v>
      </c>
      <c r="G39" s="25">
        <v>100</v>
      </c>
      <c r="H39" s="29">
        <v>2000</v>
      </c>
      <c r="I39" s="20"/>
    </row>
    <row r="40" spans="1:9" x14ac:dyDescent="0.3">
      <c r="A40" s="20"/>
      <c r="B40" s="71">
        <v>41779</v>
      </c>
      <c r="C40" s="24" t="s">
        <v>23</v>
      </c>
      <c r="D40" s="24" t="s">
        <v>25</v>
      </c>
      <c r="E40" s="26">
        <v>6032</v>
      </c>
      <c r="F40" s="26">
        <v>6003</v>
      </c>
      <c r="G40" s="25">
        <v>100</v>
      </c>
      <c r="H40" s="29">
        <v>2900</v>
      </c>
      <c r="I40" s="20"/>
    </row>
    <row r="41" spans="1:9" x14ac:dyDescent="0.3">
      <c r="A41" s="20"/>
      <c r="B41" s="71">
        <v>41780</v>
      </c>
      <c r="C41" s="24" t="s">
        <v>23</v>
      </c>
      <c r="D41" s="24" t="s">
        <v>25</v>
      </c>
      <c r="E41" s="26">
        <v>6085</v>
      </c>
      <c r="F41" s="26">
        <v>6105</v>
      </c>
      <c r="G41" s="25">
        <v>100</v>
      </c>
      <c r="H41" s="29">
        <v>-2000</v>
      </c>
      <c r="I41" s="20"/>
    </row>
    <row r="42" spans="1:9" x14ac:dyDescent="0.3">
      <c r="A42" s="20"/>
      <c r="B42" s="71">
        <v>41781</v>
      </c>
      <c r="C42" s="24" t="s">
        <v>23</v>
      </c>
      <c r="D42" s="24" t="s">
        <v>25</v>
      </c>
      <c r="E42" s="26">
        <v>6095</v>
      </c>
      <c r="F42" s="26">
        <v>6075</v>
      </c>
      <c r="G42" s="25">
        <v>100</v>
      </c>
      <c r="H42" s="29">
        <v>2000</v>
      </c>
      <c r="I42" s="20"/>
    </row>
    <row r="43" spans="1:9" x14ac:dyDescent="0.3">
      <c r="A43" s="20"/>
      <c r="B43" s="71">
        <v>41782</v>
      </c>
      <c r="C43" s="24" t="s">
        <v>23</v>
      </c>
      <c r="D43" s="24" t="s">
        <v>25</v>
      </c>
      <c r="E43" s="26">
        <v>6085</v>
      </c>
      <c r="F43" s="26">
        <v>6110</v>
      </c>
      <c r="G43" s="25">
        <v>100</v>
      </c>
      <c r="H43" s="29">
        <v>-2500</v>
      </c>
      <c r="I43" s="20"/>
    </row>
    <row r="44" spans="1:9" x14ac:dyDescent="0.3">
      <c r="A44" s="20"/>
      <c r="B44" s="71">
        <v>41785</v>
      </c>
      <c r="C44" s="24" t="s">
        <v>23</v>
      </c>
      <c r="D44" s="24" t="s">
        <v>25</v>
      </c>
      <c r="E44" s="26">
        <v>6130</v>
      </c>
      <c r="F44" s="26">
        <v>6125</v>
      </c>
      <c r="G44" s="25">
        <v>100</v>
      </c>
      <c r="H44" s="29">
        <v>500</v>
      </c>
      <c r="I44" s="20"/>
    </row>
    <row r="45" spans="1:9" x14ac:dyDescent="0.3">
      <c r="A45" s="20"/>
      <c r="B45" s="71">
        <v>41786</v>
      </c>
      <c r="C45" s="24" t="s">
        <v>23</v>
      </c>
      <c r="D45" s="24" t="s">
        <v>25</v>
      </c>
      <c r="E45" s="26">
        <v>6142</v>
      </c>
      <c r="F45" s="26">
        <v>6122</v>
      </c>
      <c r="G45" s="25">
        <v>100</v>
      </c>
      <c r="H45" s="29">
        <v>2000</v>
      </c>
      <c r="I45" s="20"/>
    </row>
    <row r="46" spans="1:9" x14ac:dyDescent="0.3">
      <c r="A46" s="20"/>
      <c r="B46" s="71">
        <v>41787</v>
      </c>
      <c r="C46" s="24" t="s">
        <v>23</v>
      </c>
      <c r="D46" s="24" t="s">
        <v>25</v>
      </c>
      <c r="E46" s="26">
        <v>6160</v>
      </c>
      <c r="F46" s="26">
        <v>6110</v>
      </c>
      <c r="G46" s="25">
        <v>100</v>
      </c>
      <c r="H46" s="29">
        <v>5000</v>
      </c>
      <c r="I46" s="20"/>
    </row>
    <row r="47" spans="1:9" x14ac:dyDescent="0.3">
      <c r="A47" s="20"/>
      <c r="B47" s="71">
        <v>41788</v>
      </c>
      <c r="C47" s="24" t="s">
        <v>23</v>
      </c>
      <c r="D47" s="24" t="s">
        <v>25</v>
      </c>
      <c r="E47" s="26">
        <v>6060</v>
      </c>
      <c r="F47" s="26">
        <v>6088</v>
      </c>
      <c r="G47" s="25">
        <v>100</v>
      </c>
      <c r="H47" s="29">
        <v>-2800</v>
      </c>
      <c r="I47" s="20"/>
    </row>
    <row r="48" spans="1:9" x14ac:dyDescent="0.3">
      <c r="A48" s="20"/>
      <c r="B48" s="71">
        <v>41789</v>
      </c>
      <c r="C48" s="24" t="s">
        <v>23</v>
      </c>
      <c r="D48" s="26" t="s">
        <v>25</v>
      </c>
      <c r="E48" s="26">
        <v>6100</v>
      </c>
      <c r="F48" s="26">
        <v>6087</v>
      </c>
      <c r="G48" s="25">
        <v>100</v>
      </c>
      <c r="H48" s="29">
        <v>1300</v>
      </c>
      <c r="I48" s="20"/>
    </row>
    <row r="49" spans="1:9" ht="15.6" x14ac:dyDescent="0.3">
      <c r="A49" s="20"/>
      <c r="B49" s="71"/>
      <c r="C49" s="24"/>
      <c r="D49" s="26"/>
      <c r="E49" s="26"/>
      <c r="F49" s="26"/>
      <c r="G49" s="25"/>
      <c r="H49" s="70">
        <v>27600</v>
      </c>
      <c r="I49" s="20"/>
    </row>
    <row r="50" spans="1:9" x14ac:dyDescent="0.3">
      <c r="A50" s="20"/>
      <c r="B50" s="71"/>
      <c r="C50" s="24"/>
      <c r="D50" s="26"/>
      <c r="E50" s="26"/>
      <c r="F50" s="26"/>
      <c r="G50" s="25"/>
      <c r="H50" s="29"/>
      <c r="I50" s="20"/>
    </row>
    <row r="51" spans="1:9" x14ac:dyDescent="0.3">
      <c r="A51" s="20"/>
      <c r="B51" s="71"/>
      <c r="C51" s="24"/>
      <c r="D51" s="24"/>
      <c r="E51" s="26"/>
      <c r="F51" s="26"/>
      <c r="G51" s="25"/>
      <c r="H51" s="29"/>
      <c r="I51" s="20"/>
    </row>
    <row r="52" spans="1:9" x14ac:dyDescent="0.3">
      <c r="A52" s="20"/>
      <c r="B52" s="71"/>
      <c r="C52" s="24"/>
      <c r="D52" s="26"/>
      <c r="E52" s="26"/>
      <c r="F52" s="26"/>
      <c r="G52" s="25"/>
      <c r="H52" s="29"/>
      <c r="I52" s="20"/>
    </row>
    <row r="53" spans="1:9" ht="15.6" x14ac:dyDescent="0.3">
      <c r="A53" s="20"/>
      <c r="B53" s="35"/>
      <c r="C53" s="18"/>
      <c r="D53" s="18"/>
      <c r="E53" s="18"/>
      <c r="F53" s="18"/>
      <c r="G53" s="18"/>
      <c r="H53" s="46"/>
      <c r="I53" s="20"/>
    </row>
    <row r="54" spans="1:9" x14ac:dyDescent="0.3">
      <c r="A54" s="20"/>
      <c r="B54" s="35"/>
      <c r="C54" s="18"/>
      <c r="D54" s="18"/>
      <c r="E54" s="18"/>
      <c r="F54" s="18"/>
      <c r="G54" s="29"/>
      <c r="H54" s="29"/>
      <c r="I54" s="20"/>
    </row>
    <row r="55" spans="1:9" x14ac:dyDescent="0.3">
      <c r="A55" s="20"/>
      <c r="B55" s="35"/>
      <c r="C55" s="29"/>
      <c r="D55" s="36"/>
      <c r="E55" s="29"/>
      <c r="F55" s="29"/>
      <c r="G55" s="29"/>
      <c r="H55" s="29"/>
      <c r="I55" s="20"/>
    </row>
    <row r="56" spans="1:9" ht="15.6" x14ac:dyDescent="0.3">
      <c r="A56" s="20"/>
      <c r="B56" s="61" t="s">
        <v>230</v>
      </c>
      <c r="C56" s="62"/>
      <c r="D56" s="63"/>
      <c r="E56" s="62"/>
      <c r="F56" s="62"/>
      <c r="G56" s="62"/>
      <c r="H56" s="64"/>
      <c r="I56" s="20"/>
    </row>
    <row r="57" spans="1:9" x14ac:dyDescent="0.3">
      <c r="A57" s="20"/>
      <c r="B57" s="71">
        <v>41761</v>
      </c>
      <c r="C57" s="24" t="s">
        <v>23</v>
      </c>
      <c r="D57" s="24" t="s">
        <v>35</v>
      </c>
      <c r="E57" s="29">
        <v>1100</v>
      </c>
      <c r="F57" s="29">
        <v>1097</v>
      </c>
      <c r="G57" s="29">
        <v>250</v>
      </c>
      <c r="H57" s="29">
        <v>750</v>
      </c>
      <c r="I57" s="20"/>
    </row>
    <row r="58" spans="1:9" x14ac:dyDescent="0.3">
      <c r="A58" s="20"/>
      <c r="B58" s="71">
        <v>41764</v>
      </c>
      <c r="C58" s="24" t="s">
        <v>16</v>
      </c>
      <c r="D58" s="24" t="s">
        <v>29</v>
      </c>
      <c r="E58" s="29">
        <v>412</v>
      </c>
      <c r="F58" s="29">
        <v>411</v>
      </c>
      <c r="G58" s="29">
        <v>1000</v>
      </c>
      <c r="H58" s="29">
        <v>-1000</v>
      </c>
      <c r="I58" s="20"/>
    </row>
    <row r="59" spans="1:9" x14ac:dyDescent="0.3">
      <c r="A59" s="20"/>
      <c r="B59" s="71">
        <v>41764</v>
      </c>
      <c r="C59" s="24" t="s">
        <v>23</v>
      </c>
      <c r="D59" s="24" t="s">
        <v>35</v>
      </c>
      <c r="E59" s="29">
        <v>1098</v>
      </c>
      <c r="F59" s="29">
        <v>1096</v>
      </c>
      <c r="G59" s="29">
        <v>250</v>
      </c>
      <c r="H59" s="29">
        <v>500</v>
      </c>
      <c r="I59" s="20"/>
    </row>
    <row r="60" spans="1:9" x14ac:dyDescent="0.3">
      <c r="A60" s="20"/>
      <c r="B60" s="71">
        <v>41765</v>
      </c>
      <c r="C60" s="24" t="s">
        <v>23</v>
      </c>
      <c r="D60" s="24" t="s">
        <v>27</v>
      </c>
      <c r="E60" s="29">
        <v>126.8</v>
      </c>
      <c r="F60" s="29">
        <v>126.3</v>
      </c>
      <c r="G60" s="29">
        <v>5000</v>
      </c>
      <c r="H60" s="29">
        <v>2500</v>
      </c>
      <c r="I60" s="20"/>
    </row>
    <row r="61" spans="1:9" x14ac:dyDescent="0.3">
      <c r="A61" s="20"/>
      <c r="B61" s="71">
        <v>41766</v>
      </c>
      <c r="C61" s="24" t="s">
        <v>23</v>
      </c>
      <c r="D61" s="24" t="s">
        <v>29</v>
      </c>
      <c r="E61" s="29">
        <v>408</v>
      </c>
      <c r="F61" s="29" t="s">
        <v>232</v>
      </c>
      <c r="G61" s="29">
        <v>1000</v>
      </c>
      <c r="H61" s="29">
        <v>2800</v>
      </c>
      <c r="I61" s="20"/>
    </row>
    <row r="62" spans="1:9" x14ac:dyDescent="0.3">
      <c r="A62" s="20"/>
      <c r="B62" s="71">
        <v>41771</v>
      </c>
      <c r="C62" s="24" t="s">
        <v>23</v>
      </c>
      <c r="D62" s="24" t="s">
        <v>27</v>
      </c>
      <c r="E62" s="29">
        <v>126.2</v>
      </c>
      <c r="F62" s="29">
        <v>125.2</v>
      </c>
      <c r="G62" s="29">
        <v>5000</v>
      </c>
      <c r="H62" s="29">
        <v>5000</v>
      </c>
      <c r="I62" s="20"/>
    </row>
    <row r="63" spans="1:9" x14ac:dyDescent="0.3">
      <c r="A63" s="20"/>
      <c r="B63" s="71">
        <v>41772</v>
      </c>
      <c r="C63" s="24" t="s">
        <v>23</v>
      </c>
      <c r="D63" s="24" t="s">
        <v>28</v>
      </c>
      <c r="E63" s="29">
        <v>123.6</v>
      </c>
      <c r="F63" s="29">
        <v>123.1</v>
      </c>
      <c r="G63" s="29">
        <v>5000</v>
      </c>
      <c r="H63" s="29">
        <v>2500</v>
      </c>
      <c r="I63" s="20"/>
    </row>
    <row r="64" spans="1:9" x14ac:dyDescent="0.3">
      <c r="A64" s="20"/>
      <c r="B64" s="71">
        <v>41774</v>
      </c>
      <c r="C64" s="24" t="s">
        <v>23</v>
      </c>
      <c r="D64" s="24" t="s">
        <v>27</v>
      </c>
      <c r="E64" s="29">
        <v>126.6</v>
      </c>
      <c r="F64" s="29">
        <v>125.6</v>
      </c>
      <c r="G64" s="29">
        <v>5000</v>
      </c>
      <c r="H64" s="29">
        <v>5000</v>
      </c>
      <c r="I64" s="20"/>
    </row>
    <row r="65" spans="1:9" x14ac:dyDescent="0.3">
      <c r="A65" s="20"/>
      <c r="B65" s="71">
        <v>41778</v>
      </c>
      <c r="C65" s="24" t="s">
        <v>23</v>
      </c>
      <c r="D65" s="24" t="s">
        <v>29</v>
      </c>
      <c r="E65" s="29">
        <v>413</v>
      </c>
      <c r="F65" s="29">
        <v>411.5</v>
      </c>
      <c r="G65" s="29">
        <v>1000</v>
      </c>
      <c r="H65" s="29">
        <v>1500</v>
      </c>
      <c r="I65" s="20"/>
    </row>
    <row r="66" spans="1:9" x14ac:dyDescent="0.3">
      <c r="A66" s="20"/>
      <c r="B66" s="71">
        <v>41779</v>
      </c>
      <c r="C66" s="24" t="s">
        <v>23</v>
      </c>
      <c r="D66" s="26" t="s">
        <v>27</v>
      </c>
      <c r="E66" s="29">
        <v>125.6</v>
      </c>
      <c r="F66" s="29">
        <v>124.5</v>
      </c>
      <c r="G66" s="29">
        <v>5000</v>
      </c>
      <c r="H66" s="29">
        <v>5250</v>
      </c>
      <c r="I66" s="20"/>
    </row>
    <row r="67" spans="1:9" x14ac:dyDescent="0.3">
      <c r="A67" s="20"/>
      <c r="B67" s="71">
        <v>41780</v>
      </c>
      <c r="C67" s="24" t="s">
        <v>23</v>
      </c>
      <c r="D67" s="24" t="s">
        <v>28</v>
      </c>
      <c r="E67" s="29">
        <v>120.9</v>
      </c>
      <c r="F67" s="29">
        <v>120.4</v>
      </c>
      <c r="G67" s="29">
        <v>5000</v>
      </c>
      <c r="H67" s="29">
        <v>2500</v>
      </c>
      <c r="I67" s="20"/>
    </row>
    <row r="68" spans="1:9" x14ac:dyDescent="0.3">
      <c r="A68" s="20"/>
      <c r="B68" s="71">
        <v>41781</v>
      </c>
      <c r="C68" s="24" t="s">
        <v>23</v>
      </c>
      <c r="D68" s="24" t="s">
        <v>28</v>
      </c>
      <c r="E68" s="29">
        <v>121.5</v>
      </c>
      <c r="F68" s="29">
        <v>121</v>
      </c>
      <c r="G68" s="29">
        <v>5000</v>
      </c>
      <c r="H68" s="29">
        <v>2500</v>
      </c>
      <c r="I68" s="20"/>
    </row>
    <row r="69" spans="1:9" x14ac:dyDescent="0.3">
      <c r="A69" s="20"/>
      <c r="B69" s="71">
        <v>41782</v>
      </c>
      <c r="C69" s="24" t="s">
        <v>23</v>
      </c>
      <c r="D69" s="26" t="s">
        <v>27</v>
      </c>
      <c r="E69" s="29">
        <v>124.5</v>
      </c>
      <c r="F69" s="29">
        <v>124</v>
      </c>
      <c r="G69" s="29">
        <v>5000</v>
      </c>
      <c r="H69" s="29">
        <v>2500</v>
      </c>
      <c r="I69" s="20"/>
    </row>
    <row r="70" spans="1:9" x14ac:dyDescent="0.3">
      <c r="A70" s="20"/>
      <c r="B70" s="71">
        <v>41785</v>
      </c>
      <c r="C70" s="24" t="s">
        <v>23</v>
      </c>
      <c r="D70" s="24" t="s">
        <v>28</v>
      </c>
      <c r="E70" s="29">
        <v>122.3</v>
      </c>
      <c r="F70" s="29">
        <v>121.8</v>
      </c>
      <c r="G70" s="29">
        <v>5000</v>
      </c>
      <c r="H70" s="29">
        <v>2500</v>
      </c>
      <c r="I70" s="20"/>
    </row>
    <row r="71" spans="1:9" x14ac:dyDescent="0.3">
      <c r="A71" s="20"/>
      <c r="B71" s="71">
        <v>41786</v>
      </c>
      <c r="C71" s="24" t="s">
        <v>23</v>
      </c>
      <c r="D71" s="24" t="s">
        <v>28</v>
      </c>
      <c r="E71" s="29">
        <v>122.85</v>
      </c>
      <c r="F71" s="29">
        <v>122.65</v>
      </c>
      <c r="G71" s="29">
        <v>5000</v>
      </c>
      <c r="H71" s="29">
        <v>1000</v>
      </c>
      <c r="I71" s="20"/>
    </row>
    <row r="72" spans="1:9" x14ac:dyDescent="0.3">
      <c r="A72" s="20"/>
      <c r="B72" s="71">
        <v>41787</v>
      </c>
      <c r="C72" s="24" t="s">
        <v>23</v>
      </c>
      <c r="D72" s="24" t="s">
        <v>27</v>
      </c>
      <c r="E72" s="29">
        <v>125.25</v>
      </c>
      <c r="F72" s="29">
        <v>124.25</v>
      </c>
      <c r="G72" s="29">
        <v>5000</v>
      </c>
      <c r="H72" s="29">
        <v>5000</v>
      </c>
      <c r="I72" s="20"/>
    </row>
    <row r="73" spans="1:9" x14ac:dyDescent="0.3">
      <c r="A73" s="20"/>
      <c r="B73" s="71">
        <v>41788</v>
      </c>
      <c r="C73" s="24" t="s">
        <v>23</v>
      </c>
      <c r="D73" s="24" t="s">
        <v>28</v>
      </c>
      <c r="E73" s="29">
        <v>121</v>
      </c>
      <c r="F73" s="29">
        <v>120.65</v>
      </c>
      <c r="G73" s="29">
        <v>5000</v>
      </c>
      <c r="H73" s="29">
        <v>1750</v>
      </c>
      <c r="I73" s="20"/>
    </row>
    <row r="74" spans="1:9" x14ac:dyDescent="0.3">
      <c r="A74" s="20"/>
      <c r="B74" s="71">
        <v>41789</v>
      </c>
      <c r="C74" s="24" t="s">
        <v>23</v>
      </c>
      <c r="D74" s="24" t="s">
        <v>28</v>
      </c>
      <c r="E74" s="29">
        <v>121.6</v>
      </c>
      <c r="F74" s="29">
        <v>122.1</v>
      </c>
      <c r="G74" s="29">
        <v>5000</v>
      </c>
      <c r="H74" s="29">
        <v>-2500</v>
      </c>
      <c r="I74" s="20"/>
    </row>
    <row r="75" spans="1:9" x14ac:dyDescent="0.3">
      <c r="A75" s="20"/>
      <c r="B75" s="71"/>
      <c r="C75" s="24"/>
      <c r="D75" s="24"/>
      <c r="E75" s="29"/>
      <c r="F75" s="29"/>
      <c r="G75" s="29"/>
      <c r="H75" s="81">
        <v>40050</v>
      </c>
      <c r="I75" s="20"/>
    </row>
    <row r="76" spans="1:9" x14ac:dyDescent="0.3">
      <c r="A76" s="20"/>
      <c r="B76" s="35"/>
      <c r="C76" s="24"/>
      <c r="D76" s="24"/>
      <c r="E76" s="29"/>
      <c r="F76" s="29"/>
      <c r="G76" s="29"/>
      <c r="H76" s="29"/>
      <c r="I76" s="20"/>
    </row>
    <row r="77" spans="1:9" x14ac:dyDescent="0.3">
      <c r="A77" s="20"/>
      <c r="B77" s="35"/>
      <c r="C77" s="24"/>
      <c r="D77" s="24"/>
      <c r="E77" s="26"/>
      <c r="F77" s="26"/>
      <c r="G77" s="25"/>
      <c r="H77" s="29"/>
      <c r="I77" s="76"/>
    </row>
    <row r="78" spans="1:9" x14ac:dyDescent="0.3">
      <c r="A78" s="57"/>
      <c r="B78" s="35"/>
      <c r="C78" s="24"/>
      <c r="D78" s="24"/>
      <c r="E78" s="26"/>
      <c r="F78" s="26"/>
      <c r="G78" s="25"/>
      <c r="H78" s="37"/>
      <c r="I78" s="57"/>
    </row>
    <row r="79" spans="1:9" x14ac:dyDescent="0.3">
      <c r="A79" s="57"/>
      <c r="B79" s="35"/>
      <c r="C79" s="24"/>
      <c r="D79" s="24"/>
      <c r="E79" s="26"/>
      <c r="F79" s="26"/>
      <c r="G79" s="25"/>
      <c r="H79" s="29"/>
      <c r="I79" s="57"/>
    </row>
    <row r="80" spans="1:9" x14ac:dyDescent="0.3">
      <c r="A80" s="57"/>
      <c r="B80" s="35"/>
      <c r="C80" s="24"/>
      <c r="D80" s="24"/>
      <c r="E80" s="26"/>
      <c r="F80" s="26"/>
      <c r="G80" s="25"/>
      <c r="H80" s="29"/>
      <c r="I80" s="57"/>
    </row>
    <row r="81" spans="1:9" x14ac:dyDescent="0.3">
      <c r="A81" s="57"/>
      <c r="H81" s="29"/>
      <c r="I81" s="57"/>
    </row>
    <row r="82" spans="1:9" x14ac:dyDescent="0.3">
      <c r="A82" s="57"/>
      <c r="H82" s="32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100-000000000000}"/>
  </hyperlinks>
  <pageMargins left="0.7" right="0.7" top="0.75" bottom="0.75" header="0.3" footer="0.3"/>
  <pageSetup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235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41793</v>
      </c>
      <c r="C5" s="24" t="s">
        <v>23</v>
      </c>
      <c r="D5" s="26" t="s">
        <v>24</v>
      </c>
      <c r="E5" s="29">
        <v>25790</v>
      </c>
      <c r="F5" s="29">
        <v>25740</v>
      </c>
      <c r="G5" s="29">
        <v>100</v>
      </c>
      <c r="H5" s="29">
        <v>5000</v>
      </c>
      <c r="I5" s="20"/>
      <c r="J5" s="34"/>
    </row>
    <row r="6" spans="1:10" x14ac:dyDescent="0.3">
      <c r="A6" s="20"/>
      <c r="B6" s="71">
        <v>41794</v>
      </c>
      <c r="C6" s="24" t="s">
        <v>16</v>
      </c>
      <c r="D6" s="26" t="s">
        <v>24</v>
      </c>
      <c r="E6" s="29">
        <v>25840</v>
      </c>
      <c r="F6" s="29">
        <v>25940</v>
      </c>
      <c r="G6" s="29">
        <v>100</v>
      </c>
      <c r="H6" s="29">
        <v>10000</v>
      </c>
      <c r="I6" s="20"/>
      <c r="J6" s="34"/>
    </row>
    <row r="7" spans="1:10" x14ac:dyDescent="0.3">
      <c r="A7" s="20"/>
      <c r="B7" s="71">
        <v>41795</v>
      </c>
      <c r="C7" s="24" t="s">
        <v>16</v>
      </c>
      <c r="D7" s="26" t="s">
        <v>22</v>
      </c>
      <c r="E7" s="29">
        <v>39900</v>
      </c>
      <c r="F7" s="29">
        <v>40200</v>
      </c>
      <c r="G7" s="29">
        <v>30</v>
      </c>
      <c r="H7" s="29">
        <v>9000</v>
      </c>
      <c r="I7" s="20"/>
      <c r="J7" s="34"/>
    </row>
    <row r="8" spans="1:10" x14ac:dyDescent="0.3">
      <c r="A8" s="20"/>
      <c r="B8" s="71">
        <v>41796</v>
      </c>
      <c r="C8" s="24" t="s">
        <v>23</v>
      </c>
      <c r="D8" s="26" t="s">
        <v>24</v>
      </c>
      <c r="E8" s="29">
        <v>25940</v>
      </c>
      <c r="F8" s="29">
        <v>25870</v>
      </c>
      <c r="G8" s="29">
        <v>100</v>
      </c>
      <c r="H8" s="29">
        <v>7000</v>
      </c>
      <c r="I8" s="20"/>
      <c r="J8" s="34"/>
    </row>
    <row r="9" spans="1:10" x14ac:dyDescent="0.3">
      <c r="A9" s="20"/>
      <c r="B9" s="71">
        <v>41799</v>
      </c>
      <c r="C9" s="24" t="s">
        <v>23</v>
      </c>
      <c r="D9" s="26" t="s">
        <v>24</v>
      </c>
      <c r="E9" s="29">
        <v>25920</v>
      </c>
      <c r="F9" s="29">
        <v>25915</v>
      </c>
      <c r="G9" s="29">
        <v>100</v>
      </c>
      <c r="H9" s="29">
        <v>500</v>
      </c>
      <c r="I9" s="20"/>
      <c r="J9" s="34"/>
    </row>
    <row r="10" spans="1:10" x14ac:dyDescent="0.3">
      <c r="A10" s="20"/>
      <c r="B10" s="71">
        <v>41800</v>
      </c>
      <c r="C10" s="24" t="s">
        <v>23</v>
      </c>
      <c r="D10" s="78" t="s">
        <v>22</v>
      </c>
      <c r="E10" s="26">
        <v>40250</v>
      </c>
      <c r="F10" s="29">
        <v>40500</v>
      </c>
      <c r="G10" s="29">
        <v>30</v>
      </c>
      <c r="H10" s="29">
        <v>-7500</v>
      </c>
      <c r="I10" s="20"/>
      <c r="J10" s="34"/>
    </row>
    <row r="11" spans="1:10" x14ac:dyDescent="0.3">
      <c r="A11" s="20"/>
      <c r="B11" s="71">
        <v>41801</v>
      </c>
      <c r="C11" s="24" t="s">
        <v>55</v>
      </c>
      <c r="D11" s="26" t="s">
        <v>22</v>
      </c>
      <c r="E11" s="29">
        <v>40700</v>
      </c>
      <c r="F11" s="29">
        <v>40550</v>
      </c>
      <c r="G11" s="29">
        <v>30</v>
      </c>
      <c r="H11" s="29">
        <v>-4500</v>
      </c>
      <c r="I11" s="20"/>
      <c r="J11" s="34"/>
    </row>
    <row r="12" spans="1:10" x14ac:dyDescent="0.3">
      <c r="A12" s="20"/>
      <c r="B12" s="71">
        <v>41802</v>
      </c>
      <c r="C12" s="24" t="s">
        <v>16</v>
      </c>
      <c r="D12" s="26" t="s">
        <v>24</v>
      </c>
      <c r="E12" s="29">
        <v>26115</v>
      </c>
      <c r="F12" s="29">
        <v>26245</v>
      </c>
      <c r="G12" s="29">
        <v>100</v>
      </c>
      <c r="H12" s="29">
        <v>13000</v>
      </c>
      <c r="I12" s="20"/>
      <c r="J12" s="34"/>
    </row>
    <row r="13" spans="1:10" x14ac:dyDescent="0.3">
      <c r="A13" s="20"/>
      <c r="B13" s="71">
        <v>41803</v>
      </c>
      <c r="C13" s="24" t="s">
        <v>16</v>
      </c>
      <c r="D13" s="26" t="s">
        <v>22</v>
      </c>
      <c r="E13" s="29">
        <v>41550</v>
      </c>
      <c r="F13" s="29">
        <v>41900</v>
      </c>
      <c r="G13" s="29">
        <v>100</v>
      </c>
      <c r="H13" s="29">
        <v>10500</v>
      </c>
      <c r="I13" s="20"/>
      <c r="J13" s="34"/>
    </row>
    <row r="14" spans="1:10" x14ac:dyDescent="0.3">
      <c r="A14" s="20"/>
      <c r="B14" s="71">
        <v>41806</v>
      </c>
      <c r="C14" s="24" t="s">
        <v>23</v>
      </c>
      <c r="D14" s="26" t="s">
        <v>22</v>
      </c>
      <c r="E14" s="29">
        <v>42300</v>
      </c>
      <c r="F14" s="29">
        <v>42050</v>
      </c>
      <c r="G14" s="29">
        <v>30</v>
      </c>
      <c r="H14" s="29">
        <v>-7500</v>
      </c>
      <c r="I14" s="20"/>
      <c r="J14" s="34"/>
    </row>
    <row r="15" spans="1:10" x14ac:dyDescent="0.3">
      <c r="A15" s="20"/>
      <c r="B15" s="71">
        <v>41807</v>
      </c>
      <c r="C15" s="24" t="s">
        <v>23</v>
      </c>
      <c r="D15" s="24" t="s">
        <v>22</v>
      </c>
      <c r="E15" s="29">
        <v>42000</v>
      </c>
      <c r="F15" s="29">
        <v>41700</v>
      </c>
      <c r="G15" s="29">
        <v>30</v>
      </c>
      <c r="H15" s="29">
        <v>9000</v>
      </c>
      <c r="I15" s="20"/>
      <c r="J15" s="34"/>
    </row>
    <row r="16" spans="1:10" x14ac:dyDescent="0.3">
      <c r="A16" s="20"/>
      <c r="B16" s="71">
        <v>41808</v>
      </c>
      <c r="C16" s="24" t="s">
        <v>16</v>
      </c>
      <c r="D16" s="26" t="s">
        <v>22</v>
      </c>
      <c r="E16" s="26">
        <v>42400</v>
      </c>
      <c r="F16" s="26">
        <v>42600</v>
      </c>
      <c r="G16" s="25">
        <v>30</v>
      </c>
      <c r="H16" s="69">
        <v>6000</v>
      </c>
      <c r="I16" s="20"/>
      <c r="J16" s="34"/>
    </row>
    <row r="17" spans="1:10" x14ac:dyDescent="0.3">
      <c r="A17" s="20"/>
      <c r="B17" s="71">
        <v>41809</v>
      </c>
      <c r="C17" s="24" t="s">
        <v>23</v>
      </c>
      <c r="D17" s="26" t="s">
        <v>22</v>
      </c>
      <c r="E17" s="26">
        <v>42640</v>
      </c>
      <c r="F17" s="26">
        <v>42540</v>
      </c>
      <c r="G17" s="25">
        <v>30</v>
      </c>
      <c r="H17" s="69">
        <v>3000</v>
      </c>
      <c r="I17" s="20"/>
      <c r="J17" s="34"/>
    </row>
    <row r="18" spans="1:10" x14ac:dyDescent="0.3">
      <c r="A18" s="20"/>
      <c r="B18" s="71">
        <v>41810</v>
      </c>
      <c r="C18" s="24" t="s">
        <v>23</v>
      </c>
      <c r="D18" s="26" t="s">
        <v>22</v>
      </c>
      <c r="E18" s="26">
        <v>44320</v>
      </c>
      <c r="F18" s="26">
        <v>44020</v>
      </c>
      <c r="G18" s="25">
        <v>30</v>
      </c>
      <c r="H18" s="69">
        <v>9000</v>
      </c>
      <c r="I18" s="20"/>
      <c r="J18" s="34"/>
    </row>
    <row r="19" spans="1:10" x14ac:dyDescent="0.3">
      <c r="A19" s="20"/>
      <c r="B19" s="71">
        <v>41813</v>
      </c>
      <c r="C19" s="24" t="s">
        <v>23</v>
      </c>
      <c r="D19" s="26" t="s">
        <v>22</v>
      </c>
      <c r="E19" s="26">
        <v>44400</v>
      </c>
      <c r="F19" s="26">
        <v>44100</v>
      </c>
      <c r="G19" s="25">
        <v>30</v>
      </c>
      <c r="H19" s="69">
        <v>9000</v>
      </c>
      <c r="I19" s="20"/>
      <c r="J19" s="34"/>
    </row>
    <row r="20" spans="1:10" x14ac:dyDescent="0.3">
      <c r="A20" s="20"/>
      <c r="B20" s="71">
        <v>41814</v>
      </c>
      <c r="C20" s="24" t="s">
        <v>16</v>
      </c>
      <c r="D20" s="26" t="s">
        <v>22</v>
      </c>
      <c r="E20" s="26">
        <v>44300</v>
      </c>
      <c r="F20" s="26">
        <v>44600</v>
      </c>
      <c r="G20" s="25">
        <v>30</v>
      </c>
      <c r="H20" s="69">
        <v>9000</v>
      </c>
      <c r="I20" s="20"/>
      <c r="J20" s="34"/>
    </row>
    <row r="21" spans="1:10" x14ac:dyDescent="0.3">
      <c r="A21" s="20"/>
      <c r="B21" s="71">
        <v>41815</v>
      </c>
      <c r="C21" s="24" t="s">
        <v>23</v>
      </c>
      <c r="D21" s="26" t="s">
        <v>24</v>
      </c>
      <c r="E21" s="26">
        <v>27650</v>
      </c>
      <c r="F21" s="26">
        <v>27590</v>
      </c>
      <c r="G21" s="25">
        <v>100</v>
      </c>
      <c r="H21" s="69">
        <v>6000</v>
      </c>
      <c r="I21" s="20"/>
      <c r="J21" s="34"/>
    </row>
    <row r="22" spans="1:10" x14ac:dyDescent="0.3">
      <c r="A22" s="20"/>
      <c r="B22" s="71">
        <v>41816</v>
      </c>
      <c r="C22" s="24" t="s">
        <v>23</v>
      </c>
      <c r="D22" s="26" t="s">
        <v>24</v>
      </c>
      <c r="E22" s="26">
        <v>27630</v>
      </c>
      <c r="F22" s="26">
        <v>27560</v>
      </c>
      <c r="G22" s="25">
        <v>100</v>
      </c>
      <c r="H22" s="69">
        <v>7000</v>
      </c>
      <c r="I22" s="20"/>
      <c r="J22" s="34"/>
    </row>
    <row r="23" spans="1:10" ht="15.6" x14ac:dyDescent="0.3">
      <c r="A23" s="20"/>
      <c r="B23" s="71">
        <v>41817</v>
      </c>
      <c r="C23" s="24" t="s">
        <v>23</v>
      </c>
      <c r="D23" s="26" t="s">
        <v>24</v>
      </c>
      <c r="E23" s="26">
        <v>27670</v>
      </c>
      <c r="F23" s="26">
        <v>27610</v>
      </c>
      <c r="G23" s="25">
        <v>100</v>
      </c>
      <c r="H23" s="79">
        <v>6000</v>
      </c>
      <c r="I23" s="20"/>
      <c r="J23" s="34"/>
    </row>
    <row r="24" spans="1:10" ht="15.6" x14ac:dyDescent="0.3">
      <c r="A24" s="20"/>
      <c r="B24" s="71">
        <v>41820</v>
      </c>
      <c r="C24" s="24" t="s">
        <v>23</v>
      </c>
      <c r="D24" s="26" t="s">
        <v>24</v>
      </c>
      <c r="E24" s="26">
        <v>27610</v>
      </c>
      <c r="F24" s="26">
        <v>27570</v>
      </c>
      <c r="G24" s="25">
        <v>100</v>
      </c>
      <c r="H24" s="79">
        <v>4000</v>
      </c>
      <c r="I24" s="20"/>
      <c r="J24" s="34"/>
    </row>
    <row r="25" spans="1:10" ht="15.6" x14ac:dyDescent="0.3">
      <c r="A25" s="20"/>
      <c r="B25" s="71"/>
      <c r="C25" s="24"/>
      <c r="D25" s="26"/>
      <c r="E25" s="26"/>
      <c r="F25" s="26"/>
      <c r="G25" s="25"/>
      <c r="H25" s="46">
        <v>103500</v>
      </c>
      <c r="I25" s="20"/>
      <c r="J25" s="34"/>
    </row>
    <row r="26" spans="1:10" x14ac:dyDescent="0.3">
      <c r="A26" s="20"/>
      <c r="B26" s="35"/>
      <c r="C26" s="45"/>
      <c r="D26" s="36"/>
      <c r="E26" s="45"/>
      <c r="F26" s="45"/>
      <c r="G26" s="29"/>
      <c r="H26" s="73"/>
      <c r="I26" s="20"/>
    </row>
    <row r="27" spans="1:10" x14ac:dyDescent="0.3">
      <c r="A27" s="20"/>
      <c r="B27" s="35"/>
      <c r="C27" s="45"/>
      <c r="D27" s="36"/>
      <c r="E27" s="45"/>
      <c r="F27" s="45"/>
      <c r="G27" s="29"/>
      <c r="H27" s="45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234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41793</v>
      </c>
      <c r="C30" s="24" t="s">
        <v>23</v>
      </c>
      <c r="D30" s="24" t="s">
        <v>25</v>
      </c>
      <c r="E30" s="26">
        <v>6083</v>
      </c>
      <c r="F30" s="26">
        <v>6110</v>
      </c>
      <c r="G30" s="25">
        <v>100</v>
      </c>
      <c r="H30" s="29">
        <v>-2700</v>
      </c>
      <c r="I30" s="20"/>
    </row>
    <row r="31" spans="1:10" x14ac:dyDescent="0.3">
      <c r="A31" s="20"/>
      <c r="B31" s="71">
        <v>41794</v>
      </c>
      <c r="C31" s="24" t="s">
        <v>23</v>
      </c>
      <c r="D31" s="8" t="s">
        <v>25</v>
      </c>
      <c r="E31" s="24">
        <v>6145</v>
      </c>
      <c r="F31" s="26">
        <v>6097</v>
      </c>
      <c r="G31" s="25">
        <v>100</v>
      </c>
      <c r="H31" s="29">
        <v>4800</v>
      </c>
      <c r="I31" s="20"/>
    </row>
    <row r="32" spans="1:10" x14ac:dyDescent="0.3">
      <c r="A32" s="20"/>
      <c r="B32" s="71">
        <v>41795</v>
      </c>
      <c r="C32" s="24" t="s">
        <v>23</v>
      </c>
      <c r="D32" s="24" t="s">
        <v>25</v>
      </c>
      <c r="E32" s="26">
        <v>6062</v>
      </c>
      <c r="F32" s="26">
        <v>6022</v>
      </c>
      <c r="G32" s="25">
        <v>100</v>
      </c>
      <c r="H32" s="29">
        <v>4000</v>
      </c>
      <c r="I32" s="20"/>
    </row>
    <row r="33" spans="1:9" x14ac:dyDescent="0.3">
      <c r="A33" s="20"/>
      <c r="B33" s="71">
        <v>41796</v>
      </c>
      <c r="C33" s="24" t="s">
        <v>23</v>
      </c>
      <c r="D33" s="24" t="s">
        <v>25</v>
      </c>
      <c r="E33" s="26">
        <v>6062</v>
      </c>
      <c r="F33" s="26">
        <v>6022</v>
      </c>
      <c r="G33" s="25">
        <v>100</v>
      </c>
      <c r="H33" s="29">
        <v>4000</v>
      </c>
      <c r="I33" s="20"/>
    </row>
    <row r="34" spans="1:9" x14ac:dyDescent="0.3">
      <c r="A34" s="20"/>
      <c r="B34" s="71">
        <v>41799</v>
      </c>
      <c r="C34" s="24" t="s">
        <v>16</v>
      </c>
      <c r="D34" s="24" t="s">
        <v>25</v>
      </c>
      <c r="E34" s="26">
        <v>6100</v>
      </c>
      <c r="F34" s="26">
        <v>6140</v>
      </c>
      <c r="G34" s="25">
        <v>100</v>
      </c>
      <c r="H34" s="29">
        <v>4000</v>
      </c>
      <c r="I34" s="20"/>
    </row>
    <row r="35" spans="1:9" x14ac:dyDescent="0.3">
      <c r="A35" s="20"/>
      <c r="B35" s="71">
        <v>41800</v>
      </c>
      <c r="C35" s="24" t="s">
        <v>23</v>
      </c>
      <c r="D35" s="24" t="s">
        <v>25</v>
      </c>
      <c r="E35" s="24">
        <v>6200</v>
      </c>
      <c r="F35" s="26">
        <v>6170</v>
      </c>
      <c r="G35" s="25">
        <v>100</v>
      </c>
      <c r="H35" s="29">
        <v>3000</v>
      </c>
      <c r="I35" s="20"/>
    </row>
    <row r="36" spans="1:9" x14ac:dyDescent="0.3">
      <c r="A36" s="20"/>
      <c r="B36" s="71">
        <v>41801</v>
      </c>
      <c r="C36" s="24" t="s">
        <v>23</v>
      </c>
      <c r="D36" s="24" t="s">
        <v>25</v>
      </c>
      <c r="E36" s="26">
        <v>6200</v>
      </c>
      <c r="F36" s="26">
        <v>6190</v>
      </c>
      <c r="G36" s="25">
        <v>100</v>
      </c>
      <c r="H36" s="29">
        <v>1000</v>
      </c>
      <c r="I36" s="20"/>
    </row>
    <row r="37" spans="1:9" x14ac:dyDescent="0.3">
      <c r="A37" s="20"/>
      <c r="B37" s="71">
        <v>41802</v>
      </c>
      <c r="C37" s="24" t="s">
        <v>23</v>
      </c>
      <c r="D37" s="24" t="s">
        <v>25</v>
      </c>
      <c r="E37" s="26">
        <v>6275</v>
      </c>
      <c r="F37" s="26">
        <v>6255</v>
      </c>
      <c r="G37" s="25">
        <v>100</v>
      </c>
      <c r="H37" s="29">
        <v>2000</v>
      </c>
      <c r="I37" s="20"/>
    </row>
    <row r="38" spans="1:9" x14ac:dyDescent="0.3">
      <c r="A38" s="20"/>
      <c r="B38" s="71">
        <v>41803</v>
      </c>
      <c r="C38" s="24" t="s">
        <v>23</v>
      </c>
      <c r="D38" s="24" t="s">
        <v>25</v>
      </c>
      <c r="E38" s="26">
        <v>6387</v>
      </c>
      <c r="F38" s="26">
        <v>6357</v>
      </c>
      <c r="G38" s="25">
        <v>100</v>
      </c>
      <c r="H38" s="29">
        <v>3000</v>
      </c>
      <c r="I38" s="20"/>
    </row>
    <row r="39" spans="1:9" x14ac:dyDescent="0.3">
      <c r="A39" s="20"/>
      <c r="B39" s="71">
        <v>41806</v>
      </c>
      <c r="C39" s="24" t="s">
        <v>23</v>
      </c>
      <c r="D39" s="24" t="s">
        <v>25</v>
      </c>
      <c r="E39" s="26">
        <v>6437</v>
      </c>
      <c r="F39" s="26">
        <v>6417</v>
      </c>
      <c r="G39" s="25">
        <v>100</v>
      </c>
      <c r="H39" s="29">
        <v>2000</v>
      </c>
      <c r="I39" s="20"/>
    </row>
    <row r="40" spans="1:9" x14ac:dyDescent="0.3">
      <c r="A40" s="20"/>
      <c r="B40" s="71">
        <v>41807</v>
      </c>
      <c r="C40" s="24" t="s">
        <v>23</v>
      </c>
      <c r="D40" s="24" t="s">
        <v>25</v>
      </c>
      <c r="E40" s="26">
        <v>6390</v>
      </c>
      <c r="F40" s="26">
        <v>6410</v>
      </c>
      <c r="G40" s="25">
        <v>100</v>
      </c>
      <c r="H40" s="29">
        <v>-2000</v>
      </c>
      <c r="I40" s="20"/>
    </row>
    <row r="41" spans="1:9" x14ac:dyDescent="0.3">
      <c r="A41" s="20"/>
      <c r="B41" s="71">
        <v>41808</v>
      </c>
      <c r="C41" s="24" t="s">
        <v>16</v>
      </c>
      <c r="D41" s="24" t="s">
        <v>25</v>
      </c>
      <c r="E41" s="26">
        <v>6440</v>
      </c>
      <c r="F41" s="26">
        <v>6460</v>
      </c>
      <c r="G41" s="25">
        <v>100</v>
      </c>
      <c r="H41" s="29">
        <v>2000</v>
      </c>
      <c r="I41" s="20"/>
    </row>
    <row r="42" spans="1:9" x14ac:dyDescent="0.3">
      <c r="A42" s="20"/>
      <c r="B42" s="71">
        <v>41809</v>
      </c>
      <c r="C42" s="24" t="s">
        <v>23</v>
      </c>
      <c r="D42" s="24" t="s">
        <v>25</v>
      </c>
      <c r="E42" s="26">
        <v>6382</v>
      </c>
      <c r="F42" s="26">
        <v>6369</v>
      </c>
      <c r="G42" s="25">
        <v>100</v>
      </c>
      <c r="H42" s="29">
        <v>1300</v>
      </c>
      <c r="I42" s="20"/>
    </row>
    <row r="43" spans="1:9" x14ac:dyDescent="0.3">
      <c r="A43" s="20"/>
      <c r="B43" s="71">
        <v>41810</v>
      </c>
      <c r="C43" s="24" t="s">
        <v>23</v>
      </c>
      <c r="D43" s="24" t="s">
        <v>25</v>
      </c>
      <c r="E43" s="26">
        <v>6415</v>
      </c>
      <c r="F43" s="26">
        <v>6400</v>
      </c>
      <c r="G43" s="25">
        <v>100</v>
      </c>
      <c r="H43" s="29">
        <v>1500</v>
      </c>
      <c r="I43" s="20"/>
    </row>
    <row r="44" spans="1:9" x14ac:dyDescent="0.3">
      <c r="A44" s="20"/>
      <c r="B44" s="71">
        <v>41813</v>
      </c>
      <c r="C44" s="24" t="s">
        <v>23</v>
      </c>
      <c r="D44" s="24" t="s">
        <v>25</v>
      </c>
      <c r="E44" s="26">
        <v>6485</v>
      </c>
      <c r="F44" s="26">
        <v>6430</v>
      </c>
      <c r="G44" s="25">
        <v>100</v>
      </c>
      <c r="H44" s="29">
        <v>5500</v>
      </c>
      <c r="I44" s="20"/>
    </row>
    <row r="45" spans="1:9" x14ac:dyDescent="0.3">
      <c r="A45" s="20"/>
      <c r="B45" s="71">
        <v>41815</v>
      </c>
      <c r="C45" s="24" t="s">
        <v>23</v>
      </c>
      <c r="D45" s="24" t="s">
        <v>25</v>
      </c>
      <c r="E45" s="26">
        <v>6432</v>
      </c>
      <c r="F45" s="26">
        <v>6370</v>
      </c>
      <c r="G45" s="25">
        <v>100</v>
      </c>
      <c r="H45" s="29">
        <v>6200</v>
      </c>
      <c r="I45" s="20"/>
    </row>
    <row r="46" spans="1:9" x14ac:dyDescent="0.3">
      <c r="A46" s="20"/>
      <c r="B46" s="71">
        <v>41816</v>
      </c>
      <c r="C46" s="24" t="s">
        <v>23</v>
      </c>
      <c r="D46" s="24" t="s">
        <v>25</v>
      </c>
      <c r="E46" s="26">
        <v>6430</v>
      </c>
      <c r="F46" s="26">
        <v>6370</v>
      </c>
      <c r="G46" s="25">
        <v>100</v>
      </c>
      <c r="H46" s="29">
        <v>6000</v>
      </c>
      <c r="I46" s="20"/>
    </row>
    <row r="47" spans="1:9" x14ac:dyDescent="0.3">
      <c r="A47" s="20"/>
      <c r="B47" s="71">
        <v>41817</v>
      </c>
      <c r="C47" s="24" t="s">
        <v>23</v>
      </c>
      <c r="D47" s="26" t="s">
        <v>25</v>
      </c>
      <c r="E47" s="26">
        <v>6390</v>
      </c>
      <c r="F47" s="26">
        <v>6360</v>
      </c>
      <c r="G47" s="25">
        <v>100</v>
      </c>
      <c r="H47" s="29">
        <v>4000</v>
      </c>
      <c r="I47" s="20"/>
    </row>
    <row r="48" spans="1:9" x14ac:dyDescent="0.3">
      <c r="A48" s="20"/>
      <c r="B48" s="71">
        <v>41820</v>
      </c>
      <c r="C48" s="24" t="s">
        <v>23</v>
      </c>
      <c r="D48" s="26" t="s">
        <v>25</v>
      </c>
      <c r="E48" s="26">
        <v>6353</v>
      </c>
      <c r="F48" s="26">
        <v>6340</v>
      </c>
      <c r="G48" s="25">
        <v>100</v>
      </c>
      <c r="H48" s="29">
        <v>1300</v>
      </c>
      <c r="I48" s="20"/>
    </row>
    <row r="49" spans="1:9" x14ac:dyDescent="0.3">
      <c r="A49" s="20"/>
      <c r="B49" s="71"/>
      <c r="C49" s="24"/>
      <c r="D49" s="26"/>
      <c r="E49" s="26"/>
      <c r="F49" s="26"/>
      <c r="G49" s="25"/>
      <c r="H49" s="81">
        <v>50900</v>
      </c>
      <c r="I49" s="20"/>
    </row>
    <row r="50" spans="1:9" x14ac:dyDescent="0.3">
      <c r="A50" s="20"/>
      <c r="B50" s="71"/>
      <c r="C50" s="24"/>
      <c r="D50" s="24"/>
      <c r="E50" s="26"/>
      <c r="F50" s="26"/>
      <c r="G50" s="25"/>
      <c r="H50" s="29"/>
      <c r="I50" s="20"/>
    </row>
    <row r="51" spans="1:9" x14ac:dyDescent="0.3">
      <c r="A51" s="20"/>
      <c r="B51" s="71"/>
      <c r="C51" s="24"/>
      <c r="D51" s="26"/>
      <c r="E51" s="26"/>
      <c r="F51" s="26"/>
      <c r="G51" s="25"/>
      <c r="H51" s="29"/>
      <c r="I51" s="20"/>
    </row>
    <row r="52" spans="1:9" ht="15.6" x14ac:dyDescent="0.3">
      <c r="A52" s="20"/>
      <c r="B52" s="35"/>
      <c r="C52" s="18"/>
      <c r="D52" s="18"/>
      <c r="E52" s="18"/>
      <c r="F52" s="18"/>
      <c r="G52" s="18"/>
      <c r="H52" s="46"/>
      <c r="I52" s="20"/>
    </row>
    <row r="53" spans="1:9" x14ac:dyDescent="0.3">
      <c r="A53" s="20"/>
      <c r="B53" s="35"/>
      <c r="C53" s="18"/>
      <c r="D53" s="18"/>
      <c r="E53" s="18"/>
      <c r="F53" s="18"/>
      <c r="G53" s="29"/>
      <c r="H53" s="29"/>
      <c r="I53" s="20"/>
    </row>
    <row r="54" spans="1:9" x14ac:dyDescent="0.3">
      <c r="A54" s="20"/>
      <c r="B54" s="35"/>
      <c r="C54" s="29"/>
      <c r="D54" s="36"/>
      <c r="E54" s="29"/>
      <c r="F54" s="29"/>
      <c r="G54" s="29"/>
      <c r="H54" s="29"/>
      <c r="I54" s="20"/>
    </row>
    <row r="55" spans="1:9" ht="15.6" x14ac:dyDescent="0.3">
      <c r="A55" s="20"/>
      <c r="B55" s="61" t="s">
        <v>233</v>
      </c>
      <c r="C55" s="62"/>
      <c r="D55" s="63"/>
      <c r="E55" s="62"/>
      <c r="F55" s="62"/>
      <c r="G55" s="62"/>
      <c r="H55" s="64"/>
      <c r="I55" s="20"/>
    </row>
    <row r="56" spans="1:9" x14ac:dyDescent="0.3">
      <c r="A56" s="20"/>
      <c r="B56" s="71">
        <v>41793</v>
      </c>
      <c r="C56" s="24" t="s">
        <v>23</v>
      </c>
      <c r="D56" s="24" t="s">
        <v>27</v>
      </c>
      <c r="E56" s="29">
        <v>125.45</v>
      </c>
      <c r="F56" s="29">
        <v>125.95</v>
      </c>
      <c r="G56" s="29">
        <v>5000</v>
      </c>
      <c r="H56" s="29">
        <v>-2500</v>
      </c>
      <c r="I56" s="20"/>
    </row>
    <row r="57" spans="1:9" x14ac:dyDescent="0.3">
      <c r="A57" s="20"/>
      <c r="B57" s="71">
        <v>41794</v>
      </c>
      <c r="C57" s="24" t="s">
        <v>23</v>
      </c>
      <c r="D57" s="24" t="s">
        <v>27</v>
      </c>
      <c r="E57" s="29">
        <v>125.7</v>
      </c>
      <c r="F57" s="29">
        <v>124.6</v>
      </c>
      <c r="G57" s="29">
        <v>5000</v>
      </c>
      <c r="H57" s="29">
        <v>5500</v>
      </c>
      <c r="I57" s="20"/>
    </row>
    <row r="58" spans="1:9" x14ac:dyDescent="0.3">
      <c r="A58" s="20"/>
      <c r="B58" s="71">
        <v>41795</v>
      </c>
      <c r="C58" s="24" t="s">
        <v>23</v>
      </c>
      <c r="D58" s="24" t="s">
        <v>27</v>
      </c>
      <c r="E58" s="29">
        <v>124.5</v>
      </c>
      <c r="F58" s="29">
        <v>123.75</v>
      </c>
      <c r="G58" s="29">
        <v>5000</v>
      </c>
      <c r="H58" s="29">
        <v>3750</v>
      </c>
      <c r="I58" s="20"/>
    </row>
    <row r="59" spans="1:9" x14ac:dyDescent="0.3">
      <c r="A59" s="20"/>
      <c r="B59" s="71">
        <v>41796</v>
      </c>
      <c r="C59" s="24" t="s">
        <v>23</v>
      </c>
      <c r="D59" s="24" t="s">
        <v>27</v>
      </c>
      <c r="E59" s="29">
        <v>123.1</v>
      </c>
      <c r="F59" s="29">
        <v>122.6</v>
      </c>
      <c r="G59" s="29">
        <v>5000</v>
      </c>
      <c r="H59" s="29">
        <v>2500</v>
      </c>
      <c r="I59" s="20"/>
    </row>
    <row r="60" spans="1:9" x14ac:dyDescent="0.3">
      <c r="A60" s="20"/>
      <c r="B60" s="71">
        <v>41799</v>
      </c>
      <c r="C60" s="82" t="s">
        <v>23</v>
      </c>
      <c r="D60" s="82" t="s">
        <v>28</v>
      </c>
      <c r="E60" s="39">
        <v>125.9</v>
      </c>
      <c r="F60" s="39">
        <v>126.5</v>
      </c>
      <c r="G60" s="39">
        <v>5000</v>
      </c>
      <c r="H60" s="39">
        <v>-2500</v>
      </c>
      <c r="I60" s="20"/>
    </row>
    <row r="61" spans="1:9" x14ac:dyDescent="0.3">
      <c r="A61" s="20"/>
      <c r="B61" s="71">
        <v>41800</v>
      </c>
      <c r="C61" s="24" t="s">
        <v>23</v>
      </c>
      <c r="D61" s="24" t="s">
        <v>27</v>
      </c>
      <c r="E61" s="29">
        <v>125.7</v>
      </c>
      <c r="F61" s="29">
        <v>125</v>
      </c>
      <c r="G61" s="29">
        <v>5000</v>
      </c>
      <c r="H61" s="29">
        <v>3500</v>
      </c>
      <c r="I61" s="20"/>
    </row>
    <row r="62" spans="1:9" x14ac:dyDescent="0.3">
      <c r="A62" s="20"/>
      <c r="B62" s="71">
        <v>41801</v>
      </c>
      <c r="C62" s="24" t="s">
        <v>23</v>
      </c>
      <c r="D62" s="24" t="s">
        <v>27</v>
      </c>
      <c r="E62" s="29">
        <v>125.7</v>
      </c>
      <c r="F62" s="29">
        <v>125.1</v>
      </c>
      <c r="G62" s="29">
        <v>5000</v>
      </c>
      <c r="H62" s="29">
        <v>3000</v>
      </c>
      <c r="I62" s="20"/>
    </row>
    <row r="63" spans="1:9" x14ac:dyDescent="0.3">
      <c r="A63" s="20"/>
      <c r="B63" s="71">
        <v>41802</v>
      </c>
      <c r="C63" s="24" t="s">
        <v>23</v>
      </c>
      <c r="D63" s="24" t="s">
        <v>27</v>
      </c>
      <c r="E63" s="29">
        <v>124.3</v>
      </c>
      <c r="F63" s="29">
        <v>123.3</v>
      </c>
      <c r="G63" s="29">
        <v>5000</v>
      </c>
      <c r="H63" s="29">
        <v>5000</v>
      </c>
      <c r="I63" s="20"/>
    </row>
    <row r="64" spans="1:9" x14ac:dyDescent="0.3">
      <c r="A64" s="20"/>
      <c r="B64" s="71">
        <v>41803</v>
      </c>
      <c r="C64" s="24" t="s">
        <v>23</v>
      </c>
      <c r="D64" s="24" t="s">
        <v>27</v>
      </c>
      <c r="E64" s="29">
        <v>123.3</v>
      </c>
      <c r="F64" s="29">
        <v>123.6</v>
      </c>
      <c r="G64" s="29">
        <v>5000</v>
      </c>
      <c r="H64" s="29">
        <v>-1500</v>
      </c>
      <c r="I64" s="20"/>
    </row>
    <row r="65" spans="1:9" x14ac:dyDescent="0.3">
      <c r="A65" s="20"/>
      <c r="B65" s="71">
        <v>41806</v>
      </c>
      <c r="C65" s="24" t="s">
        <v>16</v>
      </c>
      <c r="D65" s="26" t="s">
        <v>27</v>
      </c>
      <c r="E65" s="29">
        <v>124.9</v>
      </c>
      <c r="F65" s="29">
        <v>125.9</v>
      </c>
      <c r="G65" s="29">
        <v>5000</v>
      </c>
      <c r="H65" s="29">
        <v>5000</v>
      </c>
      <c r="I65" s="20"/>
    </row>
    <row r="66" spans="1:9" x14ac:dyDescent="0.3">
      <c r="A66" s="20"/>
      <c r="B66" s="71">
        <v>41807</v>
      </c>
      <c r="C66" s="24" t="s">
        <v>23</v>
      </c>
      <c r="D66" s="24" t="s">
        <v>28</v>
      </c>
      <c r="E66" s="29">
        <v>126.5</v>
      </c>
      <c r="F66" s="29">
        <v>127</v>
      </c>
      <c r="G66" s="29">
        <v>5000</v>
      </c>
      <c r="H66" s="29">
        <v>-2500</v>
      </c>
      <c r="I66" s="20"/>
    </row>
    <row r="67" spans="1:9" x14ac:dyDescent="0.3">
      <c r="A67" s="20"/>
      <c r="B67" s="71">
        <v>41808</v>
      </c>
      <c r="C67" s="24" t="s">
        <v>23</v>
      </c>
      <c r="D67" s="24" t="s">
        <v>27</v>
      </c>
      <c r="E67" s="29">
        <v>128.4</v>
      </c>
      <c r="F67" s="29">
        <v>127.7</v>
      </c>
      <c r="G67" s="29">
        <v>5000</v>
      </c>
      <c r="H67" s="29">
        <v>3500</v>
      </c>
      <c r="I67" s="20"/>
    </row>
    <row r="68" spans="1:9" x14ac:dyDescent="0.3">
      <c r="A68" s="20"/>
      <c r="B68" s="71">
        <v>41809</v>
      </c>
      <c r="C68" s="24" t="s">
        <v>23</v>
      </c>
      <c r="D68" s="26" t="s">
        <v>27</v>
      </c>
      <c r="E68" s="29">
        <v>126.65</v>
      </c>
      <c r="F68" s="29">
        <v>127.15</v>
      </c>
      <c r="G68" s="29">
        <v>5000</v>
      </c>
      <c r="H68" s="29">
        <v>-2500</v>
      </c>
      <c r="I68" s="20"/>
    </row>
    <row r="69" spans="1:9" x14ac:dyDescent="0.3">
      <c r="A69" s="20"/>
      <c r="B69" s="71">
        <v>41810</v>
      </c>
      <c r="C69" s="24" t="s">
        <v>23</v>
      </c>
      <c r="D69" s="24" t="s">
        <v>27</v>
      </c>
      <c r="E69" s="29">
        <v>128.1</v>
      </c>
      <c r="F69" s="29">
        <v>127.6</v>
      </c>
      <c r="G69" s="29">
        <v>5000</v>
      </c>
      <c r="H69" s="29">
        <v>2500</v>
      </c>
      <c r="I69" s="20"/>
    </row>
    <row r="70" spans="1:9" x14ac:dyDescent="0.3">
      <c r="A70" s="20"/>
      <c r="B70" s="71">
        <v>41813</v>
      </c>
      <c r="C70" s="24" t="s">
        <v>16</v>
      </c>
      <c r="D70" s="24" t="s">
        <v>28</v>
      </c>
      <c r="E70" s="29">
        <v>131.5</v>
      </c>
      <c r="F70" s="29">
        <v>132</v>
      </c>
      <c r="G70" s="29">
        <v>5000</v>
      </c>
      <c r="H70" s="29">
        <v>2500</v>
      </c>
      <c r="I70" s="20"/>
    </row>
    <row r="71" spans="1:9" x14ac:dyDescent="0.3">
      <c r="A71" s="20"/>
      <c r="B71" s="71">
        <v>41815</v>
      </c>
      <c r="C71" s="24" t="s">
        <v>23</v>
      </c>
      <c r="D71" s="24" t="s">
        <v>27</v>
      </c>
      <c r="E71" s="29">
        <v>129.85</v>
      </c>
      <c r="F71" s="29">
        <v>128.5</v>
      </c>
      <c r="G71" s="29">
        <v>5000</v>
      </c>
      <c r="H71" s="29">
        <v>6500</v>
      </c>
      <c r="I71" s="20"/>
    </row>
    <row r="72" spans="1:9" x14ac:dyDescent="0.3">
      <c r="A72" s="20"/>
      <c r="B72" s="71">
        <v>41816</v>
      </c>
      <c r="C72" s="24" t="s">
        <v>23</v>
      </c>
      <c r="D72" s="24" t="s">
        <v>27</v>
      </c>
      <c r="E72" s="29">
        <v>129.44999999999999</v>
      </c>
      <c r="F72" s="29">
        <v>128.94999999999999</v>
      </c>
      <c r="G72" s="29">
        <v>5000</v>
      </c>
      <c r="H72" s="29">
        <v>2500</v>
      </c>
      <c r="I72" s="20"/>
    </row>
    <row r="73" spans="1:9" x14ac:dyDescent="0.3">
      <c r="A73" s="20"/>
      <c r="B73" s="71">
        <v>41817</v>
      </c>
      <c r="C73" s="24" t="s">
        <v>23</v>
      </c>
      <c r="D73" s="24" t="s">
        <v>27</v>
      </c>
      <c r="E73" s="29">
        <v>128.5</v>
      </c>
      <c r="F73" s="29">
        <v>129</v>
      </c>
      <c r="G73" s="29">
        <v>5000</v>
      </c>
      <c r="H73" s="29">
        <v>-2500</v>
      </c>
      <c r="I73" s="20"/>
    </row>
    <row r="74" spans="1:9" x14ac:dyDescent="0.3">
      <c r="A74" s="20"/>
      <c r="B74" s="71">
        <v>41820</v>
      </c>
      <c r="C74" s="24" t="s">
        <v>16</v>
      </c>
      <c r="D74" s="24" t="s">
        <v>28</v>
      </c>
      <c r="E74" s="29">
        <v>132.1</v>
      </c>
      <c r="F74" s="29">
        <v>133.6</v>
      </c>
      <c r="G74" s="29">
        <v>5000</v>
      </c>
      <c r="H74" s="29">
        <v>7500</v>
      </c>
      <c r="I74" s="20"/>
    </row>
    <row r="75" spans="1:9" x14ac:dyDescent="0.3">
      <c r="A75" s="20"/>
      <c r="B75" s="35"/>
      <c r="C75" s="24"/>
      <c r="D75" s="24"/>
      <c r="E75" s="26"/>
      <c r="F75" s="26"/>
      <c r="G75" s="25"/>
      <c r="H75" s="81">
        <v>39250</v>
      </c>
      <c r="I75" s="20"/>
    </row>
    <row r="76" spans="1:9" x14ac:dyDescent="0.3">
      <c r="A76" s="20"/>
      <c r="B76" s="35"/>
      <c r="C76" s="24"/>
      <c r="D76" s="24"/>
      <c r="E76" s="26"/>
      <c r="F76" s="26"/>
      <c r="G76" s="25"/>
      <c r="H76" s="37"/>
      <c r="I76" s="20"/>
    </row>
    <row r="77" spans="1:9" x14ac:dyDescent="0.3">
      <c r="A77" s="20"/>
      <c r="B77" s="35"/>
      <c r="C77" s="24"/>
      <c r="D77" s="24"/>
      <c r="E77" s="26"/>
      <c r="F77" s="26"/>
      <c r="G77" s="25"/>
      <c r="H77" s="29"/>
      <c r="I77" s="76"/>
    </row>
    <row r="78" spans="1:9" x14ac:dyDescent="0.3">
      <c r="A78" s="57"/>
      <c r="B78" s="35"/>
      <c r="C78" s="24"/>
      <c r="D78" s="24"/>
      <c r="E78" s="26"/>
      <c r="F78" s="26"/>
      <c r="G78" s="25"/>
      <c r="H78" s="29"/>
      <c r="I78" s="57"/>
    </row>
    <row r="79" spans="1:9" x14ac:dyDescent="0.3">
      <c r="A79" s="57"/>
      <c r="H79" s="29"/>
      <c r="I79" s="57"/>
    </row>
    <row r="80" spans="1:9" x14ac:dyDescent="0.3">
      <c r="A80" s="57"/>
      <c r="H80" s="32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200-000000000000}"/>
  </hyperlinks>
  <pageMargins left="0.7" right="0.7" top="0.75" bottom="0.75" header="0.3" footer="0.3"/>
  <pageSetup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3"/>
  <sheetViews>
    <sheetView workbookViewId="0"/>
  </sheetViews>
  <sheetFormatPr defaultColWidth="9.109375" defaultRowHeight="14.4" x14ac:dyDescent="0.3"/>
  <cols>
    <col min="1" max="1" width="8.88671875" style="4" customWidth="1"/>
    <col min="2" max="2" width="16.88671875" customWidth="1"/>
    <col min="3" max="3" width="16.109375" customWidth="1"/>
    <col min="4" max="4" width="22.88671875" customWidth="1"/>
    <col min="5" max="5" width="18.6640625" customWidth="1"/>
    <col min="6" max="6" width="13.109375" customWidth="1"/>
    <col min="7" max="7" width="13.6640625" customWidth="1"/>
    <col min="8" max="8" width="15.44140625" customWidth="1"/>
    <col min="9" max="9" width="9.109375" style="4"/>
    <col min="10" max="10" width="13" customWidth="1"/>
  </cols>
  <sheetData>
    <row r="1" spans="1:10" ht="15" thickBot="1" x14ac:dyDescent="0.35">
      <c r="A1" s="1"/>
      <c r="B1" s="291"/>
      <c r="C1" s="291"/>
      <c r="D1" s="291"/>
      <c r="E1" s="291"/>
      <c r="F1" s="291"/>
      <c r="G1" s="291"/>
      <c r="H1" s="291"/>
      <c r="I1" s="1"/>
    </row>
    <row r="2" spans="1:10" ht="29.4" thickBot="1" x14ac:dyDescent="0.35">
      <c r="A2" s="1" t="s">
        <v>0</v>
      </c>
      <c r="B2" s="292" t="s">
        <v>128</v>
      </c>
      <c r="C2" s="292"/>
      <c r="D2" s="292"/>
      <c r="E2" s="292"/>
      <c r="F2" s="292"/>
      <c r="G2" s="292"/>
      <c r="H2" s="292"/>
      <c r="I2" s="1"/>
      <c r="J2" s="257" t="s">
        <v>872</v>
      </c>
    </row>
    <row r="3" spans="1:10" ht="15.6" x14ac:dyDescent="0.3">
      <c r="A3" s="2"/>
      <c r="B3" s="293" t="s">
        <v>39</v>
      </c>
      <c r="C3" s="293"/>
      <c r="D3" s="293"/>
      <c r="E3" s="293"/>
      <c r="F3" s="293"/>
      <c r="G3" s="293"/>
      <c r="H3" s="293"/>
      <c r="I3" s="2"/>
    </row>
    <row r="4" spans="1:10" x14ac:dyDescent="0.3"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</row>
    <row r="5" spans="1:10" x14ac:dyDescent="0.3">
      <c r="B5" s="5">
        <v>41276</v>
      </c>
      <c r="C5" s="8" t="s">
        <v>8</v>
      </c>
      <c r="D5" s="8" t="s">
        <v>22</v>
      </c>
      <c r="E5" s="8">
        <v>58350</v>
      </c>
      <c r="F5" s="8">
        <v>58650</v>
      </c>
      <c r="G5" s="8">
        <v>30</v>
      </c>
      <c r="H5" s="8">
        <v>9000</v>
      </c>
    </row>
    <row r="6" spans="1:10" x14ac:dyDescent="0.3">
      <c r="B6" s="5">
        <v>41277</v>
      </c>
      <c r="C6" s="8" t="s">
        <v>23</v>
      </c>
      <c r="D6" s="8" t="s">
        <v>24</v>
      </c>
      <c r="E6" s="8">
        <v>31130</v>
      </c>
      <c r="F6" s="8">
        <v>31065</v>
      </c>
      <c r="G6" s="8">
        <v>100</v>
      </c>
      <c r="H6" s="8">
        <v>6500</v>
      </c>
    </row>
    <row r="7" spans="1:10" x14ac:dyDescent="0.3">
      <c r="B7" s="5">
        <v>41278</v>
      </c>
      <c r="C7" s="8" t="s">
        <v>16</v>
      </c>
      <c r="D7" s="8" t="s">
        <v>22</v>
      </c>
      <c r="E7" s="8">
        <v>57500</v>
      </c>
      <c r="F7" s="8">
        <v>57250</v>
      </c>
      <c r="G7" s="8">
        <v>30</v>
      </c>
      <c r="H7" s="9">
        <v>-7500</v>
      </c>
    </row>
    <row r="8" spans="1:10" x14ac:dyDescent="0.3">
      <c r="B8" s="5">
        <v>41281</v>
      </c>
      <c r="C8" s="8" t="s">
        <v>16</v>
      </c>
      <c r="D8" s="8" t="s">
        <v>24</v>
      </c>
      <c r="E8" s="8">
        <v>31010</v>
      </c>
      <c r="F8" s="8">
        <v>31060</v>
      </c>
      <c r="G8" s="8">
        <v>100</v>
      </c>
      <c r="H8" s="8">
        <v>6000</v>
      </c>
    </row>
    <row r="9" spans="1:10" x14ac:dyDescent="0.3">
      <c r="B9" s="5">
        <v>41282</v>
      </c>
      <c r="C9" s="8" t="s">
        <v>16</v>
      </c>
      <c r="D9" s="8" t="s">
        <v>22</v>
      </c>
      <c r="E9" s="8">
        <v>58300</v>
      </c>
      <c r="F9" s="8">
        <v>58650</v>
      </c>
      <c r="G9" s="8">
        <v>30</v>
      </c>
      <c r="H9" s="8">
        <v>10500</v>
      </c>
    </row>
    <row r="10" spans="1:10" x14ac:dyDescent="0.3">
      <c r="B10" s="5">
        <v>41283</v>
      </c>
      <c r="C10" s="8" t="s">
        <v>23</v>
      </c>
      <c r="D10" s="8" t="s">
        <v>22</v>
      </c>
      <c r="E10" s="8">
        <v>58350</v>
      </c>
      <c r="F10" s="8">
        <v>57900</v>
      </c>
      <c r="G10" s="8">
        <v>30</v>
      </c>
      <c r="H10" s="8">
        <v>13500</v>
      </c>
    </row>
    <row r="11" spans="1:10" x14ac:dyDescent="0.3">
      <c r="B11" s="5">
        <v>41284</v>
      </c>
      <c r="C11" s="8" t="s">
        <v>16</v>
      </c>
      <c r="D11" s="8" t="s">
        <v>22</v>
      </c>
      <c r="E11" s="8">
        <v>58050</v>
      </c>
      <c r="F11" s="8">
        <v>58300</v>
      </c>
      <c r="G11" s="8">
        <v>30</v>
      </c>
      <c r="H11" s="8">
        <v>7500</v>
      </c>
    </row>
    <row r="12" spans="1:10" x14ac:dyDescent="0.3">
      <c r="B12" s="5">
        <v>41285</v>
      </c>
      <c r="C12" s="8" t="s">
        <v>16</v>
      </c>
      <c r="D12" s="8" t="s">
        <v>24</v>
      </c>
      <c r="E12" s="8">
        <v>30870</v>
      </c>
      <c r="F12" s="8">
        <v>30930</v>
      </c>
      <c r="G12" s="8">
        <v>100</v>
      </c>
      <c r="H12" s="8">
        <v>6000</v>
      </c>
    </row>
    <row r="13" spans="1:10" x14ac:dyDescent="0.3">
      <c r="B13" s="5">
        <v>41288</v>
      </c>
      <c r="C13" s="8" t="s">
        <v>16</v>
      </c>
      <c r="D13" s="8" t="s">
        <v>22</v>
      </c>
      <c r="E13" s="8">
        <v>58400</v>
      </c>
      <c r="F13" s="8">
        <v>58800</v>
      </c>
      <c r="G13" s="8">
        <v>30</v>
      </c>
      <c r="H13" s="8">
        <v>12000</v>
      </c>
    </row>
    <row r="14" spans="1:10" x14ac:dyDescent="0.3">
      <c r="B14" s="5">
        <v>41289</v>
      </c>
      <c r="C14" s="8" t="s">
        <v>16</v>
      </c>
      <c r="D14" s="8" t="s">
        <v>22</v>
      </c>
      <c r="E14" s="8">
        <v>58900</v>
      </c>
      <c r="F14" s="8">
        <v>59250</v>
      </c>
      <c r="G14" s="8">
        <v>30</v>
      </c>
      <c r="H14" s="8">
        <v>10500</v>
      </c>
    </row>
    <row r="15" spans="1:10" x14ac:dyDescent="0.3">
      <c r="B15" s="5">
        <v>41290</v>
      </c>
      <c r="C15" s="8" t="s">
        <v>16</v>
      </c>
      <c r="D15" s="8" t="s">
        <v>22</v>
      </c>
      <c r="E15" s="8">
        <v>59370</v>
      </c>
      <c r="F15" s="8">
        <v>59230</v>
      </c>
      <c r="G15" s="8">
        <v>30</v>
      </c>
      <c r="H15" s="9">
        <v>-4200</v>
      </c>
    </row>
    <row r="16" spans="1:10" x14ac:dyDescent="0.3">
      <c r="B16" s="5">
        <v>41291</v>
      </c>
      <c r="C16" s="8" t="s">
        <v>23</v>
      </c>
      <c r="D16" s="8" t="s">
        <v>22</v>
      </c>
      <c r="E16" s="8">
        <v>59400</v>
      </c>
      <c r="F16" s="8">
        <v>58000</v>
      </c>
      <c r="G16" s="8">
        <v>30</v>
      </c>
      <c r="H16" s="8">
        <v>12000</v>
      </c>
    </row>
    <row r="17" spans="2:8" x14ac:dyDescent="0.3">
      <c r="B17" s="5">
        <v>41292</v>
      </c>
      <c r="C17" s="8" t="s">
        <v>16</v>
      </c>
      <c r="D17" s="8" t="s">
        <v>24</v>
      </c>
      <c r="E17" s="8">
        <v>30620</v>
      </c>
      <c r="F17" s="8">
        <v>30670</v>
      </c>
      <c r="G17" s="8">
        <v>100</v>
      </c>
      <c r="H17" s="8">
        <v>5000</v>
      </c>
    </row>
    <row r="18" spans="2:8" x14ac:dyDescent="0.3">
      <c r="B18" s="5">
        <v>41295</v>
      </c>
      <c r="C18" s="8" t="s">
        <v>16</v>
      </c>
      <c r="D18" s="8" t="s">
        <v>24</v>
      </c>
      <c r="E18" s="8">
        <v>30600</v>
      </c>
      <c r="F18" s="8">
        <v>30730</v>
      </c>
      <c r="G18" s="8">
        <v>100</v>
      </c>
      <c r="H18" s="8">
        <v>13000</v>
      </c>
    </row>
    <row r="19" spans="2:8" x14ac:dyDescent="0.3">
      <c r="B19" s="5">
        <v>41296</v>
      </c>
      <c r="C19" s="8" t="s">
        <v>16</v>
      </c>
      <c r="D19" s="8" t="s">
        <v>22</v>
      </c>
      <c r="E19" s="8">
        <v>59450</v>
      </c>
      <c r="F19" s="8">
        <v>59700</v>
      </c>
      <c r="G19" s="8">
        <v>30</v>
      </c>
      <c r="H19" s="8">
        <v>7500</v>
      </c>
    </row>
    <row r="20" spans="2:8" x14ac:dyDescent="0.3">
      <c r="B20" s="5">
        <v>41297</v>
      </c>
      <c r="C20" s="8" t="s">
        <v>16</v>
      </c>
      <c r="D20" s="8" t="s">
        <v>24</v>
      </c>
      <c r="E20" s="8">
        <v>30810</v>
      </c>
      <c r="F20" s="8">
        <v>30750</v>
      </c>
      <c r="G20" s="8">
        <v>100</v>
      </c>
      <c r="H20" s="9">
        <v>-6000</v>
      </c>
    </row>
    <row r="21" spans="2:8" x14ac:dyDescent="0.3">
      <c r="B21" s="5">
        <v>41298</v>
      </c>
      <c r="C21" s="8" t="s">
        <v>23</v>
      </c>
      <c r="D21" s="8" t="s">
        <v>22</v>
      </c>
      <c r="E21" s="8">
        <v>59000</v>
      </c>
      <c r="F21" s="8">
        <v>58700</v>
      </c>
      <c r="G21" s="8">
        <v>30</v>
      </c>
      <c r="H21" s="8">
        <v>9000</v>
      </c>
    </row>
    <row r="22" spans="2:8" x14ac:dyDescent="0.3">
      <c r="B22" s="5">
        <v>41299</v>
      </c>
      <c r="C22" s="8" t="s">
        <v>16</v>
      </c>
      <c r="D22" s="8" t="s">
        <v>24</v>
      </c>
      <c r="E22" s="8">
        <v>30300</v>
      </c>
      <c r="F22" s="8">
        <v>30370</v>
      </c>
      <c r="G22" s="8">
        <v>100</v>
      </c>
      <c r="H22" s="8">
        <v>7000</v>
      </c>
    </row>
    <row r="23" spans="2:8" x14ac:dyDescent="0.3">
      <c r="B23" s="5">
        <v>41302</v>
      </c>
      <c r="C23" s="8" t="s">
        <v>23</v>
      </c>
      <c r="D23" s="8" t="s">
        <v>22</v>
      </c>
      <c r="E23" s="8">
        <v>58300</v>
      </c>
      <c r="F23" s="8">
        <v>57900</v>
      </c>
      <c r="G23" s="8">
        <v>30</v>
      </c>
      <c r="H23" s="8">
        <v>12000</v>
      </c>
    </row>
    <row r="24" spans="2:8" x14ac:dyDescent="0.3">
      <c r="B24" s="5"/>
      <c r="C24" s="3"/>
      <c r="D24" s="3"/>
      <c r="E24" s="3"/>
      <c r="F24" s="3"/>
      <c r="G24" s="3"/>
      <c r="H24" s="7">
        <v>129300</v>
      </c>
    </row>
    <row r="25" spans="2:8" x14ac:dyDescent="0.3">
      <c r="H25" s="7"/>
    </row>
    <row r="28" spans="2:8" ht="15.6" x14ac:dyDescent="0.3">
      <c r="B28" s="293" t="s">
        <v>38</v>
      </c>
      <c r="C28" s="293"/>
      <c r="D28" s="293"/>
      <c r="E28" s="293"/>
      <c r="F28" s="293"/>
      <c r="G28" s="293"/>
      <c r="H28" s="293"/>
    </row>
    <row r="29" spans="2:8" x14ac:dyDescent="0.3">
      <c r="B29" s="5">
        <v>41276</v>
      </c>
      <c r="C29" s="8" t="s">
        <v>16</v>
      </c>
      <c r="D29" s="8" t="s">
        <v>25</v>
      </c>
      <c r="E29" s="8">
        <v>5025</v>
      </c>
      <c r="F29" s="8">
        <v>5070</v>
      </c>
      <c r="G29" s="8">
        <v>100</v>
      </c>
      <c r="H29" s="8">
        <v>4500</v>
      </c>
    </row>
    <row r="30" spans="2:8" x14ac:dyDescent="0.3">
      <c r="B30" s="5">
        <v>41277</v>
      </c>
      <c r="C30" s="8" t="s">
        <v>16</v>
      </c>
      <c r="D30" s="8" t="s">
        <v>25</v>
      </c>
      <c r="E30" s="8">
        <v>5065</v>
      </c>
      <c r="F30" s="8">
        <v>5080</v>
      </c>
      <c r="G30" s="8">
        <v>100</v>
      </c>
      <c r="H30" s="8">
        <v>1500</v>
      </c>
    </row>
    <row r="31" spans="2:8" x14ac:dyDescent="0.3">
      <c r="B31" s="5">
        <v>41278</v>
      </c>
      <c r="C31" s="8" t="s">
        <v>16</v>
      </c>
      <c r="D31" s="8" t="s">
        <v>26</v>
      </c>
      <c r="E31" s="8">
        <v>177.5</v>
      </c>
      <c r="F31" s="8">
        <v>180</v>
      </c>
      <c r="G31" s="8">
        <v>1250</v>
      </c>
      <c r="H31" s="8">
        <v>3125</v>
      </c>
    </row>
    <row r="32" spans="2:8" x14ac:dyDescent="0.3">
      <c r="B32" s="5">
        <v>41281</v>
      </c>
      <c r="C32" s="8" t="s">
        <v>23</v>
      </c>
      <c r="D32" s="8" t="s">
        <v>25</v>
      </c>
      <c r="E32" s="8">
        <v>5130</v>
      </c>
      <c r="F32" s="8">
        <v>5115</v>
      </c>
      <c r="G32" s="8">
        <v>100</v>
      </c>
      <c r="H32" s="8">
        <v>1500</v>
      </c>
    </row>
    <row r="33" spans="2:8" x14ac:dyDescent="0.3">
      <c r="B33" s="5">
        <v>41282</v>
      </c>
      <c r="C33" s="8" t="s">
        <v>23</v>
      </c>
      <c r="D33" s="8" t="s">
        <v>25</v>
      </c>
      <c r="E33" s="8">
        <v>5158</v>
      </c>
      <c r="F33" s="8">
        <v>5142</v>
      </c>
      <c r="G33" s="8">
        <v>100</v>
      </c>
      <c r="H33" s="8">
        <v>1600</v>
      </c>
    </row>
    <row r="34" spans="2:8" x14ac:dyDescent="0.3">
      <c r="B34" s="5">
        <v>41283</v>
      </c>
      <c r="C34" s="8" t="s">
        <v>16</v>
      </c>
      <c r="D34" s="8" t="s">
        <v>25</v>
      </c>
      <c r="E34" s="8">
        <v>5120</v>
      </c>
      <c r="F34" s="8">
        <v>5135</v>
      </c>
      <c r="G34" s="8">
        <v>100</v>
      </c>
      <c r="H34" s="8">
        <v>1500</v>
      </c>
    </row>
    <row r="35" spans="2:8" x14ac:dyDescent="0.3">
      <c r="B35" s="5">
        <v>41284</v>
      </c>
      <c r="C35" s="8" t="s">
        <v>16</v>
      </c>
      <c r="D35" s="8" t="s">
        <v>25</v>
      </c>
      <c r="E35" s="8">
        <v>5125</v>
      </c>
      <c r="F35" s="8">
        <v>5170</v>
      </c>
      <c r="G35" s="8">
        <v>100</v>
      </c>
      <c r="H35" s="8">
        <v>4500</v>
      </c>
    </row>
    <row r="36" spans="2:8" x14ac:dyDescent="0.3">
      <c r="B36" s="5">
        <v>41285</v>
      </c>
      <c r="C36" s="8" t="s">
        <v>16</v>
      </c>
      <c r="D36" s="8" t="s">
        <v>25</v>
      </c>
      <c r="E36" s="8">
        <v>5128</v>
      </c>
      <c r="F36" s="8">
        <v>5105</v>
      </c>
      <c r="G36" s="8">
        <v>100</v>
      </c>
      <c r="H36" s="9">
        <v>-2300</v>
      </c>
    </row>
    <row r="37" spans="2:8" x14ac:dyDescent="0.3">
      <c r="B37" s="5">
        <v>41288</v>
      </c>
      <c r="C37" s="8" t="s">
        <v>23</v>
      </c>
      <c r="D37" s="8" t="s">
        <v>25</v>
      </c>
      <c r="E37" s="8">
        <v>5080</v>
      </c>
      <c r="F37" s="8">
        <v>5105</v>
      </c>
      <c r="G37" s="8">
        <v>100</v>
      </c>
      <c r="H37" s="9">
        <v>-2500</v>
      </c>
    </row>
    <row r="38" spans="2:8" x14ac:dyDescent="0.3">
      <c r="B38" s="5">
        <v>41289</v>
      </c>
      <c r="C38" s="8" t="s">
        <v>16</v>
      </c>
      <c r="D38" s="8" t="s">
        <v>26</v>
      </c>
      <c r="E38" s="8">
        <v>186.5</v>
      </c>
      <c r="F38" s="8">
        <v>187.9</v>
      </c>
      <c r="G38" s="8">
        <v>1250</v>
      </c>
      <c r="H38" s="8">
        <v>1750</v>
      </c>
    </row>
    <row r="39" spans="2:8" x14ac:dyDescent="0.3">
      <c r="B39" s="5">
        <v>41290</v>
      </c>
      <c r="C39" s="8" t="s">
        <v>16</v>
      </c>
      <c r="D39" s="8" t="s">
        <v>25</v>
      </c>
      <c r="E39" s="8">
        <v>5115</v>
      </c>
      <c r="F39" s="8">
        <v>5145</v>
      </c>
      <c r="G39" s="8">
        <v>100</v>
      </c>
      <c r="H39" s="8">
        <v>3000</v>
      </c>
    </row>
    <row r="40" spans="2:8" x14ac:dyDescent="0.3">
      <c r="B40" s="5">
        <v>41291</v>
      </c>
      <c r="C40" s="8" t="s">
        <v>16</v>
      </c>
      <c r="D40" s="8" t="s">
        <v>25</v>
      </c>
      <c r="E40" s="8">
        <v>5135</v>
      </c>
      <c r="F40" s="8">
        <v>5170</v>
      </c>
      <c r="G40" s="8">
        <v>100</v>
      </c>
      <c r="H40" s="8">
        <v>3500</v>
      </c>
    </row>
    <row r="41" spans="2:8" x14ac:dyDescent="0.3">
      <c r="B41" s="5">
        <v>41292</v>
      </c>
      <c r="C41" s="8" t="s">
        <v>16</v>
      </c>
      <c r="D41" s="8" t="s">
        <v>25</v>
      </c>
      <c r="E41" s="8">
        <v>5145</v>
      </c>
      <c r="F41" s="8">
        <v>5160</v>
      </c>
      <c r="G41" s="8">
        <v>100</v>
      </c>
      <c r="H41" s="8">
        <v>1500</v>
      </c>
    </row>
    <row r="42" spans="2:8" x14ac:dyDescent="0.3">
      <c r="B42" s="5">
        <v>41295</v>
      </c>
      <c r="C42" s="8" t="s">
        <v>23</v>
      </c>
      <c r="D42" s="8" t="s">
        <v>25</v>
      </c>
      <c r="E42" s="8">
        <v>5170</v>
      </c>
      <c r="F42" s="8">
        <v>5150</v>
      </c>
      <c r="G42" s="8">
        <v>100</v>
      </c>
      <c r="H42" s="8">
        <v>2000</v>
      </c>
    </row>
    <row r="43" spans="2:8" x14ac:dyDescent="0.3">
      <c r="B43" s="5">
        <v>41296</v>
      </c>
      <c r="C43" s="8" t="s">
        <v>16</v>
      </c>
      <c r="D43" s="8" t="s">
        <v>25</v>
      </c>
      <c r="E43" s="8">
        <v>5162</v>
      </c>
      <c r="F43" s="8">
        <v>5200</v>
      </c>
      <c r="G43" s="8">
        <v>100</v>
      </c>
      <c r="H43" s="8">
        <v>3800</v>
      </c>
    </row>
    <row r="44" spans="2:8" x14ac:dyDescent="0.3">
      <c r="B44" s="5">
        <v>41297</v>
      </c>
      <c r="C44" s="8" t="s">
        <v>23</v>
      </c>
      <c r="D44" s="8" t="s">
        <v>25</v>
      </c>
      <c r="E44" s="8">
        <v>5205</v>
      </c>
      <c r="F44" s="8">
        <v>5175</v>
      </c>
      <c r="G44" s="8">
        <v>100</v>
      </c>
      <c r="H44" s="8">
        <v>3000</v>
      </c>
    </row>
    <row r="45" spans="2:8" x14ac:dyDescent="0.3">
      <c r="B45" s="5">
        <v>41298</v>
      </c>
      <c r="C45" s="8" t="s">
        <v>16</v>
      </c>
      <c r="D45" s="8" t="s">
        <v>25</v>
      </c>
      <c r="E45" s="8">
        <v>5156</v>
      </c>
      <c r="F45" s="8">
        <v>5175</v>
      </c>
      <c r="G45" s="8">
        <v>100</v>
      </c>
      <c r="H45" s="8">
        <v>1900</v>
      </c>
    </row>
    <row r="46" spans="2:8" x14ac:dyDescent="0.3">
      <c r="B46" s="5">
        <v>41299</v>
      </c>
      <c r="C46" s="65" t="s">
        <v>23</v>
      </c>
      <c r="D46" s="8" t="s">
        <v>25</v>
      </c>
      <c r="E46" s="8">
        <v>5200</v>
      </c>
      <c r="F46" s="8">
        <v>5175</v>
      </c>
      <c r="G46" s="8">
        <v>100</v>
      </c>
      <c r="H46" s="8">
        <v>2500</v>
      </c>
    </row>
    <row r="47" spans="2:8" x14ac:dyDescent="0.3">
      <c r="B47" s="5">
        <v>41302</v>
      </c>
      <c r="C47" s="8" t="s">
        <v>16</v>
      </c>
      <c r="D47" s="8" t="s">
        <v>25</v>
      </c>
      <c r="E47" s="8">
        <v>5180</v>
      </c>
      <c r="F47" s="8">
        <v>5210</v>
      </c>
      <c r="G47" s="8">
        <v>100</v>
      </c>
      <c r="H47" s="8">
        <v>3000</v>
      </c>
    </row>
    <row r="48" spans="2:8" x14ac:dyDescent="0.3">
      <c r="B48" s="8"/>
      <c r="C48" s="8"/>
      <c r="D48" s="8"/>
      <c r="E48" s="8"/>
      <c r="F48" s="8"/>
      <c r="H48" s="10">
        <v>39375</v>
      </c>
    </row>
    <row r="52" spans="2:8" ht="15.6" x14ac:dyDescent="0.3">
      <c r="B52" s="293" t="s">
        <v>37</v>
      </c>
      <c r="C52" s="293"/>
      <c r="D52" s="293"/>
      <c r="E52" s="293"/>
      <c r="F52" s="293"/>
      <c r="G52" s="293"/>
      <c r="H52" s="293"/>
    </row>
    <row r="53" spans="2:8" x14ac:dyDescent="0.3">
      <c r="B53" s="5">
        <v>41276</v>
      </c>
      <c r="C53" s="8" t="s">
        <v>16</v>
      </c>
      <c r="D53" s="8" t="s">
        <v>27</v>
      </c>
      <c r="E53" s="8">
        <v>127.8</v>
      </c>
      <c r="F53" s="8">
        <v>128.80000000000001</v>
      </c>
      <c r="G53" s="8">
        <v>5000</v>
      </c>
      <c r="H53" s="8">
        <v>5000</v>
      </c>
    </row>
    <row r="54" spans="2:8" x14ac:dyDescent="0.3">
      <c r="B54" s="5">
        <v>41277</v>
      </c>
      <c r="C54" s="8" t="s">
        <v>16</v>
      </c>
      <c r="D54" s="8" t="s">
        <v>27</v>
      </c>
      <c r="E54" s="8">
        <v>131.5</v>
      </c>
      <c r="F54" s="8">
        <v>132.15</v>
      </c>
      <c r="G54" s="8">
        <v>5000</v>
      </c>
      <c r="H54" s="8">
        <v>3250</v>
      </c>
    </row>
    <row r="55" spans="2:8" x14ac:dyDescent="0.3">
      <c r="B55" s="5">
        <v>41278</v>
      </c>
      <c r="C55" s="8" t="s">
        <v>16</v>
      </c>
      <c r="D55" s="8" t="s">
        <v>27</v>
      </c>
      <c r="E55" s="8">
        <v>129</v>
      </c>
      <c r="F55" s="8">
        <v>129.5</v>
      </c>
      <c r="G55" s="8">
        <v>5000</v>
      </c>
      <c r="H55" s="8">
        <v>2500</v>
      </c>
    </row>
    <row r="56" spans="2:8" x14ac:dyDescent="0.3">
      <c r="B56" s="5">
        <v>41281</v>
      </c>
      <c r="C56" s="8" t="s">
        <v>16</v>
      </c>
      <c r="D56" s="8" t="s">
        <v>27</v>
      </c>
      <c r="E56" s="8">
        <v>128.35</v>
      </c>
      <c r="F56" s="8">
        <v>127.5</v>
      </c>
      <c r="G56" s="8">
        <v>5000</v>
      </c>
      <c r="H56" s="9">
        <v>-4250</v>
      </c>
    </row>
    <row r="57" spans="2:8" x14ac:dyDescent="0.3">
      <c r="B57" s="5">
        <v>41282</v>
      </c>
      <c r="C57" s="8" t="s">
        <v>16</v>
      </c>
      <c r="D57" s="8" t="s">
        <v>28</v>
      </c>
      <c r="E57" s="8">
        <v>110.1</v>
      </c>
      <c r="F57" s="8">
        <v>110</v>
      </c>
      <c r="G57" s="8">
        <v>5000</v>
      </c>
      <c r="H57" s="9">
        <v>-500</v>
      </c>
    </row>
    <row r="58" spans="2:8" x14ac:dyDescent="0.3">
      <c r="B58" s="5">
        <v>41283</v>
      </c>
      <c r="C58" s="8" t="s">
        <v>16</v>
      </c>
      <c r="D58" s="8" t="s">
        <v>28</v>
      </c>
      <c r="E58" s="8">
        <v>110.25</v>
      </c>
      <c r="F58" s="8">
        <v>111.25</v>
      </c>
      <c r="G58" s="8">
        <v>5000</v>
      </c>
      <c r="H58" s="8">
        <v>5000</v>
      </c>
    </row>
    <row r="59" spans="2:8" x14ac:dyDescent="0.3">
      <c r="B59" s="5">
        <v>41284</v>
      </c>
      <c r="C59" s="8" t="s">
        <v>16</v>
      </c>
      <c r="D59" s="8" t="s">
        <v>29</v>
      </c>
      <c r="E59" s="8">
        <v>449.5</v>
      </c>
      <c r="F59" s="8">
        <v>451.2</v>
      </c>
      <c r="G59" s="8">
        <v>1000</v>
      </c>
      <c r="H59" s="8">
        <v>1700</v>
      </c>
    </row>
    <row r="60" spans="2:8" x14ac:dyDescent="0.3">
      <c r="B60" s="5">
        <v>41285</v>
      </c>
      <c r="C60" s="8" t="s">
        <v>16</v>
      </c>
      <c r="D60" s="8" t="s">
        <v>27</v>
      </c>
      <c r="E60" s="8">
        <v>127.1</v>
      </c>
      <c r="F60" s="8">
        <v>127.4</v>
      </c>
      <c r="G60" s="8">
        <v>5000</v>
      </c>
      <c r="H60" s="8">
        <v>1500</v>
      </c>
    </row>
    <row r="61" spans="2:8" x14ac:dyDescent="0.3">
      <c r="B61" s="5">
        <v>41288</v>
      </c>
      <c r="C61" s="8" t="s">
        <v>23</v>
      </c>
      <c r="D61" s="8" t="s">
        <v>28</v>
      </c>
      <c r="E61" s="8">
        <v>109.5</v>
      </c>
      <c r="F61" s="8">
        <v>109.1</v>
      </c>
      <c r="G61" s="8">
        <v>5000</v>
      </c>
      <c r="H61" s="8">
        <v>2000</v>
      </c>
    </row>
    <row r="62" spans="2:8" x14ac:dyDescent="0.3">
      <c r="B62" s="5">
        <v>41289</v>
      </c>
      <c r="C62" s="8" t="s">
        <v>23</v>
      </c>
      <c r="D62" s="8" t="s">
        <v>27</v>
      </c>
      <c r="E62" s="8">
        <v>124</v>
      </c>
      <c r="F62" s="8">
        <v>123.6</v>
      </c>
      <c r="G62" s="8">
        <v>5000</v>
      </c>
      <c r="H62" s="8">
        <v>2000</v>
      </c>
    </row>
    <row r="63" spans="2:8" x14ac:dyDescent="0.3">
      <c r="B63" s="5">
        <v>41290</v>
      </c>
      <c r="C63" s="8" t="s">
        <v>23</v>
      </c>
      <c r="D63" s="8" t="s">
        <v>29</v>
      </c>
      <c r="E63" s="8">
        <v>442</v>
      </c>
      <c r="F63" s="8">
        <v>440</v>
      </c>
      <c r="G63" s="8">
        <v>1000</v>
      </c>
      <c r="H63" s="8">
        <v>2000</v>
      </c>
    </row>
    <row r="64" spans="2:8" x14ac:dyDescent="0.3">
      <c r="B64" s="5">
        <v>41291</v>
      </c>
      <c r="C64" s="8" t="s">
        <v>23</v>
      </c>
      <c r="D64" s="8" t="s">
        <v>27</v>
      </c>
      <c r="E64" s="8">
        <v>123</v>
      </c>
      <c r="F64" s="8">
        <v>122.3</v>
      </c>
      <c r="G64" s="8">
        <v>5000</v>
      </c>
      <c r="H64" s="8">
        <v>3500</v>
      </c>
    </row>
    <row r="65" spans="2:8" x14ac:dyDescent="0.3">
      <c r="B65" s="5">
        <v>41292</v>
      </c>
      <c r="C65" s="8" t="s">
        <v>16</v>
      </c>
      <c r="D65" s="8" t="s">
        <v>28</v>
      </c>
      <c r="E65" s="8">
        <v>108.1</v>
      </c>
      <c r="F65" s="8">
        <v>109.1</v>
      </c>
      <c r="G65" s="8">
        <v>5000</v>
      </c>
      <c r="H65" s="8">
        <v>5000</v>
      </c>
    </row>
    <row r="66" spans="2:8" x14ac:dyDescent="0.3">
      <c r="B66" s="5">
        <v>41295</v>
      </c>
      <c r="C66" s="8" t="s">
        <v>23</v>
      </c>
      <c r="D66" s="8" t="s">
        <v>28</v>
      </c>
      <c r="E66" s="8">
        <v>108.9</v>
      </c>
      <c r="F66" s="8">
        <v>109.3</v>
      </c>
      <c r="G66" s="8">
        <v>5000</v>
      </c>
      <c r="H66" s="9">
        <v>-2000</v>
      </c>
    </row>
    <row r="67" spans="2:8" x14ac:dyDescent="0.3">
      <c r="B67" s="5">
        <v>41296</v>
      </c>
      <c r="C67" s="8" t="s">
        <v>16</v>
      </c>
      <c r="D67" s="8" t="s">
        <v>27</v>
      </c>
      <c r="E67" s="8">
        <v>123.55</v>
      </c>
      <c r="F67" s="8">
        <v>124.5</v>
      </c>
      <c r="G67" s="8">
        <v>5000</v>
      </c>
      <c r="H67" s="8">
        <v>4750</v>
      </c>
    </row>
    <row r="68" spans="2:8" x14ac:dyDescent="0.3">
      <c r="B68" s="5">
        <v>41297</v>
      </c>
      <c r="C68" s="8" t="s">
        <v>16</v>
      </c>
      <c r="D68" s="8" t="s">
        <v>27</v>
      </c>
      <c r="E68" s="8">
        <v>125.7</v>
      </c>
      <c r="F68" s="8">
        <v>126.15</v>
      </c>
      <c r="G68" s="8">
        <v>5000</v>
      </c>
      <c r="H68" s="8">
        <v>2250</v>
      </c>
    </row>
    <row r="69" spans="2:8" x14ac:dyDescent="0.3">
      <c r="B69" s="5">
        <v>41298</v>
      </c>
      <c r="C69" s="8" t="s">
        <v>23</v>
      </c>
      <c r="D69" s="8" t="s">
        <v>27</v>
      </c>
      <c r="E69" s="8">
        <v>126.45</v>
      </c>
      <c r="F69" s="8">
        <v>125.7</v>
      </c>
      <c r="G69" s="8">
        <v>5000</v>
      </c>
      <c r="H69" s="8">
        <v>3750</v>
      </c>
    </row>
    <row r="70" spans="2:8" x14ac:dyDescent="0.3">
      <c r="B70" s="5">
        <v>41299</v>
      </c>
      <c r="C70" s="8" t="s">
        <v>23</v>
      </c>
      <c r="D70" s="8" t="s">
        <v>27</v>
      </c>
      <c r="E70" s="8">
        <v>127.9</v>
      </c>
      <c r="F70" s="8">
        <v>127.55</v>
      </c>
      <c r="G70" s="8">
        <v>5000</v>
      </c>
      <c r="H70" s="8">
        <v>1750</v>
      </c>
    </row>
    <row r="71" spans="2:8" x14ac:dyDescent="0.3">
      <c r="B71" s="5">
        <v>41302</v>
      </c>
      <c r="C71" s="8" t="s">
        <v>16</v>
      </c>
      <c r="D71" s="8" t="s">
        <v>29</v>
      </c>
      <c r="E71" s="8">
        <v>437.25</v>
      </c>
      <c r="F71" s="8">
        <v>439.5</v>
      </c>
      <c r="G71" s="8">
        <v>1000</v>
      </c>
      <c r="H71" s="8">
        <v>2250</v>
      </c>
    </row>
    <row r="72" spans="2:8" x14ac:dyDescent="0.3">
      <c r="B72" s="5"/>
      <c r="C72" s="3"/>
      <c r="D72" s="3"/>
      <c r="E72" s="3"/>
      <c r="F72" s="3"/>
      <c r="G72" s="3"/>
      <c r="H72" s="7">
        <v>41450</v>
      </c>
    </row>
    <row r="73" spans="2:8" x14ac:dyDescent="0.3">
      <c r="H73" s="7"/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100-000000000000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236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41821</v>
      </c>
      <c r="C5" s="24" t="s">
        <v>23</v>
      </c>
      <c r="D5" s="26" t="s">
        <v>24</v>
      </c>
      <c r="E5" s="29">
        <v>27860</v>
      </c>
      <c r="F5" s="29">
        <v>27750</v>
      </c>
      <c r="G5" s="29">
        <v>100</v>
      </c>
      <c r="H5" s="29">
        <v>11000</v>
      </c>
      <c r="I5" s="20"/>
      <c r="J5" s="34"/>
    </row>
    <row r="6" spans="1:14" x14ac:dyDescent="0.3">
      <c r="A6" s="20"/>
      <c r="B6" s="71">
        <v>41822</v>
      </c>
      <c r="C6" s="24" t="s">
        <v>23</v>
      </c>
      <c r="D6" s="26" t="s">
        <v>24</v>
      </c>
      <c r="E6" s="29">
        <v>27700</v>
      </c>
      <c r="F6" s="29">
        <v>27560</v>
      </c>
      <c r="G6" s="29">
        <v>100</v>
      </c>
      <c r="H6" s="29">
        <v>14000</v>
      </c>
      <c r="I6" s="20"/>
      <c r="J6" s="34"/>
    </row>
    <row r="7" spans="1:14" x14ac:dyDescent="0.3">
      <c r="A7" s="20"/>
      <c r="B7" s="71">
        <v>41823</v>
      </c>
      <c r="C7" s="24" t="s">
        <v>23</v>
      </c>
      <c r="D7" s="26" t="s">
        <v>24</v>
      </c>
      <c r="E7" s="29">
        <v>27570</v>
      </c>
      <c r="F7" s="29">
        <v>27405</v>
      </c>
      <c r="G7" s="29">
        <v>100</v>
      </c>
      <c r="H7" s="29">
        <v>16500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41824</v>
      </c>
      <c r="C8" s="24" t="s">
        <v>23</v>
      </c>
      <c r="D8" s="26" t="s">
        <v>24</v>
      </c>
      <c r="E8" s="29">
        <v>27550</v>
      </c>
      <c r="F8" s="29">
        <v>27480</v>
      </c>
      <c r="G8" s="29">
        <v>100</v>
      </c>
      <c r="H8" s="29">
        <v>7000</v>
      </c>
      <c r="I8" s="20"/>
      <c r="J8" s="34" t="s">
        <v>257</v>
      </c>
      <c r="K8" s="84">
        <v>21</v>
      </c>
      <c r="L8" s="85" t="s">
        <v>263</v>
      </c>
      <c r="M8" s="85" t="s">
        <v>261</v>
      </c>
      <c r="N8" s="85" t="s">
        <v>262</v>
      </c>
    </row>
    <row r="9" spans="1:14" x14ac:dyDescent="0.3">
      <c r="A9" s="20"/>
      <c r="B9" s="71">
        <v>41827</v>
      </c>
      <c r="C9" s="24" t="s">
        <v>23</v>
      </c>
      <c r="D9" s="26" t="s">
        <v>24</v>
      </c>
      <c r="E9" s="29">
        <v>27430</v>
      </c>
      <c r="F9" s="29">
        <v>27400</v>
      </c>
      <c r="G9" s="29">
        <v>100</v>
      </c>
      <c r="H9" s="29">
        <v>3000</v>
      </c>
      <c r="I9" s="20"/>
      <c r="J9" s="34" t="s">
        <v>258</v>
      </c>
      <c r="K9" s="85" t="s">
        <v>260</v>
      </c>
      <c r="L9" s="85" t="s">
        <v>265</v>
      </c>
      <c r="M9" s="85" t="s">
        <v>264</v>
      </c>
      <c r="N9" s="85" t="s">
        <v>262</v>
      </c>
    </row>
    <row r="10" spans="1:14" x14ac:dyDescent="0.3">
      <c r="A10" s="20"/>
      <c r="B10" s="71">
        <v>41828</v>
      </c>
      <c r="C10" s="24" t="s">
        <v>23</v>
      </c>
      <c r="D10" s="78" t="s">
        <v>24</v>
      </c>
      <c r="E10" s="26">
        <v>27590</v>
      </c>
      <c r="F10" s="29">
        <v>27420</v>
      </c>
      <c r="G10" s="29">
        <v>100</v>
      </c>
      <c r="H10" s="29">
        <v>17000</v>
      </c>
      <c r="I10" s="20"/>
      <c r="J10" s="34" t="s">
        <v>259</v>
      </c>
      <c r="K10" s="85" t="s">
        <v>260</v>
      </c>
      <c r="L10" s="85" t="s">
        <v>267</v>
      </c>
      <c r="M10" s="85" t="s">
        <v>266</v>
      </c>
      <c r="N10" s="85" t="s">
        <v>262</v>
      </c>
    </row>
    <row r="11" spans="1:14" ht="23.4" x14ac:dyDescent="0.45">
      <c r="A11" s="20"/>
      <c r="B11" s="90">
        <v>41829</v>
      </c>
      <c r="C11" s="91" t="s">
        <v>23</v>
      </c>
      <c r="D11" s="92" t="s">
        <v>24</v>
      </c>
      <c r="E11" s="93">
        <v>27635</v>
      </c>
      <c r="F11" s="93">
        <v>27570</v>
      </c>
      <c r="G11" s="93">
        <v>100</v>
      </c>
      <c r="H11" s="93">
        <v>6500</v>
      </c>
      <c r="I11" s="20"/>
      <c r="J11" s="34"/>
      <c r="K11" s="86" t="s">
        <v>268</v>
      </c>
      <c r="L11" s="86" t="s">
        <v>269</v>
      </c>
      <c r="M11" s="86" t="s">
        <v>270</v>
      </c>
      <c r="N11" s="86" t="s">
        <v>262</v>
      </c>
    </row>
    <row r="12" spans="1:14" x14ac:dyDescent="0.3">
      <c r="A12" s="20"/>
      <c r="B12" s="71">
        <v>41831</v>
      </c>
      <c r="C12" s="24" t="s">
        <v>23</v>
      </c>
      <c r="D12" s="26" t="s">
        <v>24</v>
      </c>
      <c r="E12" s="29">
        <v>28340</v>
      </c>
      <c r="F12" s="29">
        <v>28270</v>
      </c>
      <c r="G12" s="29">
        <v>100</v>
      </c>
      <c r="H12" s="29">
        <v>7000</v>
      </c>
      <c r="I12" s="20"/>
      <c r="J12" s="34"/>
    </row>
    <row r="13" spans="1:14" x14ac:dyDescent="0.3">
      <c r="A13" s="20"/>
      <c r="B13" s="71">
        <v>41834</v>
      </c>
      <c r="C13" s="24" t="s">
        <v>23</v>
      </c>
      <c r="D13" s="26" t="s">
        <v>24</v>
      </c>
      <c r="E13" s="29">
        <v>28075</v>
      </c>
      <c r="F13" s="29">
        <v>27905</v>
      </c>
      <c r="G13" s="29">
        <v>100</v>
      </c>
      <c r="H13" s="29">
        <v>17000</v>
      </c>
      <c r="I13" s="20"/>
      <c r="J13" s="34"/>
      <c r="K13" s="87" t="s">
        <v>271</v>
      </c>
      <c r="L13" s="88"/>
      <c r="M13" s="89"/>
    </row>
    <row r="14" spans="1:14" x14ac:dyDescent="0.3">
      <c r="A14" s="20"/>
      <c r="B14" s="71">
        <v>41835</v>
      </c>
      <c r="C14" s="24" t="s">
        <v>23</v>
      </c>
      <c r="D14" s="24" t="s">
        <v>24</v>
      </c>
      <c r="E14" s="29">
        <v>27850</v>
      </c>
      <c r="F14" s="29">
        <v>27680</v>
      </c>
      <c r="G14" s="29">
        <v>100</v>
      </c>
      <c r="H14" s="29">
        <v>17000</v>
      </c>
      <c r="I14" s="20"/>
      <c r="J14" s="34"/>
    </row>
    <row r="15" spans="1:14" x14ac:dyDescent="0.3">
      <c r="A15" s="20"/>
      <c r="B15" s="71">
        <v>41836</v>
      </c>
      <c r="C15" s="24" t="s">
        <v>23</v>
      </c>
      <c r="D15" s="26" t="s">
        <v>24</v>
      </c>
      <c r="E15" s="26">
        <v>27640</v>
      </c>
      <c r="F15" s="26">
        <v>27570</v>
      </c>
      <c r="G15" s="29">
        <v>100</v>
      </c>
      <c r="H15" s="69">
        <v>7000</v>
      </c>
      <c r="I15" s="20"/>
      <c r="J15" s="34"/>
    </row>
    <row r="16" spans="1:14" x14ac:dyDescent="0.3">
      <c r="A16" s="20"/>
      <c r="B16" s="71">
        <v>41837</v>
      </c>
      <c r="C16" s="24" t="s">
        <v>55</v>
      </c>
      <c r="D16" s="26" t="s">
        <v>24</v>
      </c>
      <c r="E16" s="26">
        <v>27850</v>
      </c>
      <c r="F16" s="26">
        <v>27750</v>
      </c>
      <c r="G16" s="29">
        <v>100</v>
      </c>
      <c r="H16" s="69">
        <v>-10000</v>
      </c>
      <c r="I16" s="20"/>
      <c r="J16" s="34"/>
    </row>
    <row r="17" spans="1:10" x14ac:dyDescent="0.3">
      <c r="A17" s="20"/>
      <c r="B17" s="71">
        <v>41838</v>
      </c>
      <c r="C17" s="24" t="s">
        <v>23</v>
      </c>
      <c r="D17" s="26" t="s">
        <v>24</v>
      </c>
      <c r="E17" s="26">
        <v>28110</v>
      </c>
      <c r="F17" s="26">
        <v>27980</v>
      </c>
      <c r="G17" s="29">
        <v>100</v>
      </c>
      <c r="H17" s="69">
        <v>13000</v>
      </c>
      <c r="I17" s="20"/>
      <c r="J17" s="34"/>
    </row>
    <row r="18" spans="1:10" x14ac:dyDescent="0.3">
      <c r="A18" s="20"/>
      <c r="B18" s="71">
        <v>41841</v>
      </c>
      <c r="C18" s="24" t="s">
        <v>16</v>
      </c>
      <c r="D18" s="26" t="s">
        <v>24</v>
      </c>
      <c r="E18" s="26">
        <v>28050</v>
      </c>
      <c r="F18" s="26">
        <v>28150</v>
      </c>
      <c r="G18" s="29">
        <v>100</v>
      </c>
      <c r="H18" s="69">
        <v>10000</v>
      </c>
      <c r="I18" s="20"/>
      <c r="J18" s="34"/>
    </row>
    <row r="19" spans="1:10" x14ac:dyDescent="0.3">
      <c r="A19" s="20"/>
      <c r="B19" s="71">
        <v>41842</v>
      </c>
      <c r="C19" s="24" t="s">
        <v>23</v>
      </c>
      <c r="D19" s="26" t="s">
        <v>24</v>
      </c>
      <c r="E19" s="26">
        <v>27920</v>
      </c>
      <c r="F19" s="26">
        <v>27850</v>
      </c>
      <c r="G19" s="29">
        <v>100</v>
      </c>
      <c r="H19" s="69">
        <v>7000</v>
      </c>
      <c r="I19" s="20"/>
      <c r="J19" s="34"/>
    </row>
    <row r="20" spans="1:10" x14ac:dyDescent="0.3">
      <c r="A20" s="20"/>
      <c r="B20" s="71">
        <v>41843</v>
      </c>
      <c r="C20" s="24" t="s">
        <v>23</v>
      </c>
      <c r="D20" s="26" t="s">
        <v>24</v>
      </c>
      <c r="E20" s="26">
        <v>27950</v>
      </c>
      <c r="F20" s="26">
        <v>27880</v>
      </c>
      <c r="G20" s="29">
        <v>100</v>
      </c>
      <c r="H20" s="69">
        <v>7000</v>
      </c>
      <c r="I20" s="20"/>
      <c r="J20" s="34"/>
    </row>
    <row r="21" spans="1:10" x14ac:dyDescent="0.3">
      <c r="A21" s="20"/>
      <c r="B21" s="71">
        <v>41844</v>
      </c>
      <c r="C21" s="24" t="s">
        <v>23</v>
      </c>
      <c r="D21" s="26" t="s">
        <v>24</v>
      </c>
      <c r="E21" s="26">
        <v>27780</v>
      </c>
      <c r="F21" s="26">
        <v>27700</v>
      </c>
      <c r="G21" s="29">
        <v>100</v>
      </c>
      <c r="H21" s="69">
        <v>7000</v>
      </c>
      <c r="I21" s="20"/>
      <c r="J21" s="34"/>
    </row>
    <row r="22" spans="1:10" x14ac:dyDescent="0.3">
      <c r="A22" s="20"/>
      <c r="B22" s="71">
        <v>41845</v>
      </c>
      <c r="C22" s="24" t="s">
        <v>23</v>
      </c>
      <c r="D22" s="26" t="s">
        <v>24</v>
      </c>
      <c r="E22" s="26">
        <v>27730</v>
      </c>
      <c r="F22" s="26">
        <v>27770</v>
      </c>
      <c r="G22" s="29">
        <v>100</v>
      </c>
      <c r="H22" s="69">
        <v>-4000</v>
      </c>
      <c r="I22" s="20"/>
      <c r="J22" s="34"/>
    </row>
    <row r="23" spans="1:10" x14ac:dyDescent="0.3">
      <c r="A23" s="20"/>
      <c r="B23" s="71">
        <v>41848</v>
      </c>
      <c r="C23" s="24" t="s">
        <v>23</v>
      </c>
      <c r="D23" s="26" t="s">
        <v>24</v>
      </c>
      <c r="E23" s="26">
        <v>27935</v>
      </c>
      <c r="F23" s="26">
        <v>27900</v>
      </c>
      <c r="G23" s="29">
        <v>100</v>
      </c>
      <c r="H23" s="69">
        <v>3500</v>
      </c>
      <c r="I23" s="20"/>
      <c r="J23" s="34"/>
    </row>
    <row r="24" spans="1:10" x14ac:dyDescent="0.3">
      <c r="A24" s="20"/>
      <c r="B24" s="71">
        <v>41850</v>
      </c>
      <c r="C24" s="24" t="s">
        <v>23</v>
      </c>
      <c r="D24" s="26" t="s">
        <v>24</v>
      </c>
      <c r="E24" s="26">
        <v>27840</v>
      </c>
      <c r="F24" s="26">
        <v>27730</v>
      </c>
      <c r="G24" s="29">
        <v>100</v>
      </c>
      <c r="H24" s="69">
        <v>11000</v>
      </c>
      <c r="I24" s="20"/>
      <c r="J24" s="34"/>
    </row>
    <row r="25" spans="1:10" x14ac:dyDescent="0.3">
      <c r="A25" s="20"/>
      <c r="B25" s="71">
        <v>41851</v>
      </c>
      <c r="C25" s="24" t="s">
        <v>23</v>
      </c>
      <c r="D25" s="26" t="s">
        <v>24</v>
      </c>
      <c r="E25" s="26">
        <v>28040</v>
      </c>
      <c r="F25" s="26">
        <v>27880</v>
      </c>
      <c r="G25" s="29">
        <v>100</v>
      </c>
      <c r="H25" s="45">
        <v>16000</v>
      </c>
      <c r="I25" s="20"/>
      <c r="J25" s="34"/>
    </row>
    <row r="26" spans="1:10" ht="15.6" x14ac:dyDescent="0.3">
      <c r="A26" s="20"/>
      <c r="B26" s="71"/>
      <c r="C26" s="24"/>
      <c r="D26" s="26"/>
      <c r="E26" s="26"/>
      <c r="F26" s="26"/>
      <c r="G26" s="25"/>
      <c r="H26" s="46">
        <v>183500</v>
      </c>
      <c r="I26" s="20"/>
    </row>
    <row r="27" spans="1:10" ht="15.6" x14ac:dyDescent="0.3">
      <c r="A27" s="20"/>
      <c r="B27" s="71"/>
      <c r="C27" s="24"/>
      <c r="D27" s="26"/>
      <c r="E27" s="26"/>
      <c r="F27" s="26"/>
      <c r="G27" s="25"/>
      <c r="H27" s="46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237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41821</v>
      </c>
      <c r="C30" s="24" t="s">
        <v>16</v>
      </c>
      <c r="D30" s="24" t="s">
        <v>25</v>
      </c>
      <c r="E30" s="49">
        <v>6375</v>
      </c>
      <c r="F30" s="49">
        <v>6395</v>
      </c>
      <c r="G30" s="25">
        <v>100</v>
      </c>
      <c r="H30" s="29">
        <v>2000</v>
      </c>
      <c r="I30" s="20"/>
    </row>
    <row r="31" spans="1:10" x14ac:dyDescent="0.3">
      <c r="A31" s="20"/>
      <c r="B31" s="71">
        <v>41822</v>
      </c>
      <c r="C31" s="24" t="s">
        <v>23</v>
      </c>
      <c r="D31" s="24" t="s">
        <v>25</v>
      </c>
      <c r="E31" s="83">
        <v>6285</v>
      </c>
      <c r="F31" s="49">
        <v>6240</v>
      </c>
      <c r="G31" s="25">
        <v>100</v>
      </c>
      <c r="H31" s="29">
        <v>4500</v>
      </c>
      <c r="I31" s="20"/>
    </row>
    <row r="32" spans="1:10" x14ac:dyDescent="0.3">
      <c r="A32" s="20"/>
      <c r="B32" s="71">
        <v>41823</v>
      </c>
      <c r="C32" s="24" t="s">
        <v>23</v>
      </c>
      <c r="D32" s="24" t="s">
        <v>25</v>
      </c>
      <c r="E32" s="49">
        <v>6225</v>
      </c>
      <c r="F32" s="49">
        <v>6195</v>
      </c>
      <c r="G32" s="25">
        <v>100</v>
      </c>
      <c r="H32" s="29">
        <v>3000</v>
      </c>
      <c r="I32" s="20"/>
    </row>
    <row r="33" spans="1:9" x14ac:dyDescent="0.3">
      <c r="A33" s="20"/>
      <c r="B33" s="71">
        <v>41824</v>
      </c>
      <c r="C33" s="24" t="s">
        <v>16</v>
      </c>
      <c r="D33" s="24" t="s">
        <v>25</v>
      </c>
      <c r="E33" s="49">
        <v>6220</v>
      </c>
      <c r="F33" s="49">
        <v>6240</v>
      </c>
      <c r="G33" s="25">
        <v>100</v>
      </c>
      <c r="H33" s="29">
        <v>2000</v>
      </c>
      <c r="I33" s="20"/>
    </row>
    <row r="34" spans="1:9" x14ac:dyDescent="0.3">
      <c r="A34" s="20"/>
      <c r="B34" s="71">
        <v>41827</v>
      </c>
      <c r="C34" s="24" t="s">
        <v>23</v>
      </c>
      <c r="D34" s="24" t="s">
        <v>25</v>
      </c>
      <c r="E34" s="49" t="s">
        <v>239</v>
      </c>
      <c r="F34" s="49" t="s">
        <v>240</v>
      </c>
      <c r="G34" s="25">
        <v>100</v>
      </c>
      <c r="H34" s="29">
        <v>4000</v>
      </c>
      <c r="I34" s="20"/>
    </row>
    <row r="35" spans="1:9" x14ac:dyDescent="0.3">
      <c r="A35" s="20"/>
      <c r="B35" s="71">
        <v>41828</v>
      </c>
      <c r="C35" s="24" t="s">
        <v>23</v>
      </c>
      <c r="D35" s="24" t="s">
        <v>25</v>
      </c>
      <c r="E35" s="83" t="s">
        <v>240</v>
      </c>
      <c r="F35" s="49" t="s">
        <v>159</v>
      </c>
      <c r="G35" s="25">
        <v>100</v>
      </c>
      <c r="H35" s="29">
        <v>-3000</v>
      </c>
      <c r="I35" s="20"/>
    </row>
    <row r="36" spans="1:9" x14ac:dyDescent="0.3">
      <c r="A36" s="20"/>
      <c r="B36" s="71">
        <v>41829</v>
      </c>
      <c r="C36" s="24" t="s">
        <v>23</v>
      </c>
      <c r="D36" s="24" t="s">
        <v>25</v>
      </c>
      <c r="E36" s="49" t="s">
        <v>241</v>
      </c>
      <c r="F36" s="49" t="s">
        <v>242</v>
      </c>
      <c r="G36" s="25">
        <v>100</v>
      </c>
      <c r="H36" s="29">
        <v>5000</v>
      </c>
      <c r="I36" s="20"/>
    </row>
    <row r="37" spans="1:9" x14ac:dyDescent="0.3">
      <c r="A37" s="20"/>
      <c r="B37" s="71">
        <v>41830</v>
      </c>
      <c r="C37" s="24" t="s">
        <v>23</v>
      </c>
      <c r="D37" s="24" t="s">
        <v>25</v>
      </c>
      <c r="E37" s="49" t="s">
        <v>203</v>
      </c>
      <c r="F37" s="49" t="s">
        <v>243</v>
      </c>
      <c r="G37" s="25">
        <v>100</v>
      </c>
      <c r="H37" s="29">
        <v>-3000</v>
      </c>
      <c r="I37" s="20"/>
    </row>
    <row r="38" spans="1:9" x14ac:dyDescent="0.3">
      <c r="A38" s="20"/>
      <c r="B38" s="71">
        <v>41831</v>
      </c>
      <c r="C38" s="24" t="s">
        <v>23</v>
      </c>
      <c r="D38" s="24" t="s">
        <v>25</v>
      </c>
      <c r="E38" s="49" t="s">
        <v>244</v>
      </c>
      <c r="F38" s="49" t="s">
        <v>245</v>
      </c>
      <c r="G38" s="25">
        <v>100</v>
      </c>
      <c r="H38" s="29">
        <v>5500</v>
      </c>
      <c r="I38" s="20"/>
    </row>
    <row r="39" spans="1:9" x14ac:dyDescent="0.3">
      <c r="A39" s="20"/>
      <c r="B39" s="71">
        <v>41834</v>
      </c>
      <c r="C39" s="24" t="s">
        <v>23</v>
      </c>
      <c r="D39" s="24" t="s">
        <v>25</v>
      </c>
      <c r="E39" s="49" t="s">
        <v>196</v>
      </c>
      <c r="F39" s="49" t="s">
        <v>246</v>
      </c>
      <c r="G39" s="25">
        <v>100</v>
      </c>
      <c r="H39" s="29">
        <v>-2000</v>
      </c>
      <c r="I39" s="20"/>
    </row>
    <row r="40" spans="1:9" x14ac:dyDescent="0.3">
      <c r="A40" s="20"/>
      <c r="B40" s="71">
        <v>41835</v>
      </c>
      <c r="C40" s="24" t="s">
        <v>23</v>
      </c>
      <c r="D40" s="24" t="s">
        <v>25</v>
      </c>
      <c r="E40" s="49" t="s">
        <v>246</v>
      </c>
      <c r="F40" s="49" t="s">
        <v>191</v>
      </c>
      <c r="G40" s="25">
        <v>100</v>
      </c>
      <c r="H40" s="29">
        <v>4500</v>
      </c>
      <c r="I40" s="20"/>
    </row>
    <row r="41" spans="1:9" x14ac:dyDescent="0.3">
      <c r="A41" s="20"/>
      <c r="B41" s="71">
        <v>41836</v>
      </c>
      <c r="C41" s="24" t="s">
        <v>23</v>
      </c>
      <c r="D41" s="24" t="s">
        <v>25</v>
      </c>
      <c r="E41" s="49" t="s">
        <v>246</v>
      </c>
      <c r="F41" s="49" t="s">
        <v>196</v>
      </c>
      <c r="G41" s="25">
        <v>100</v>
      </c>
      <c r="H41" s="29">
        <v>2000</v>
      </c>
      <c r="I41" s="20"/>
    </row>
    <row r="42" spans="1:9" x14ac:dyDescent="0.3">
      <c r="A42" s="20"/>
      <c r="B42" s="71">
        <v>41837</v>
      </c>
      <c r="C42" s="24" t="s">
        <v>16</v>
      </c>
      <c r="D42" s="24" t="s">
        <v>25</v>
      </c>
      <c r="E42" s="49" t="s">
        <v>249</v>
      </c>
      <c r="F42" s="49" t="s">
        <v>155</v>
      </c>
      <c r="G42" s="25">
        <v>100</v>
      </c>
      <c r="H42" s="29">
        <v>3000</v>
      </c>
      <c r="I42" s="20"/>
    </row>
    <row r="43" spans="1:9" x14ac:dyDescent="0.3">
      <c r="A43" s="20"/>
      <c r="B43" s="71">
        <v>41838</v>
      </c>
      <c r="C43" s="24" t="s">
        <v>23</v>
      </c>
      <c r="D43" s="24" t="s">
        <v>25</v>
      </c>
      <c r="E43" s="49" t="s">
        <v>239</v>
      </c>
      <c r="F43" s="49" t="s">
        <v>240</v>
      </c>
      <c r="G43" s="25">
        <v>100</v>
      </c>
      <c r="H43" s="29">
        <v>4000</v>
      </c>
      <c r="I43" s="20"/>
    </row>
    <row r="44" spans="1:9" x14ac:dyDescent="0.3">
      <c r="A44" s="20"/>
      <c r="B44" s="71">
        <v>41841</v>
      </c>
      <c r="C44" s="24" t="s">
        <v>23</v>
      </c>
      <c r="D44" s="24" t="s">
        <v>25</v>
      </c>
      <c r="E44" s="49" t="s">
        <v>247</v>
      </c>
      <c r="F44" s="49" t="s">
        <v>186</v>
      </c>
      <c r="G44" s="25">
        <v>100</v>
      </c>
      <c r="H44" s="29">
        <v>2000</v>
      </c>
      <c r="I44" s="20"/>
    </row>
    <row r="45" spans="1:9" x14ac:dyDescent="0.3">
      <c r="A45" s="20"/>
      <c r="B45" s="71">
        <v>41842</v>
      </c>
      <c r="C45" s="24" t="s">
        <v>23</v>
      </c>
      <c r="D45" s="24" t="s">
        <v>25</v>
      </c>
      <c r="E45" s="49" t="s">
        <v>158</v>
      </c>
      <c r="F45" s="49" t="s">
        <v>248</v>
      </c>
      <c r="G45" s="25">
        <v>100</v>
      </c>
      <c r="H45" s="29">
        <v>5000</v>
      </c>
      <c r="I45" s="20"/>
    </row>
    <row r="46" spans="1:9" x14ac:dyDescent="0.3">
      <c r="A46" s="20"/>
      <c r="B46" s="71">
        <v>41843</v>
      </c>
      <c r="C46" s="24" t="s">
        <v>23</v>
      </c>
      <c r="D46" s="24" t="s">
        <v>25</v>
      </c>
      <c r="E46" s="49" t="s">
        <v>155</v>
      </c>
      <c r="F46" s="49" t="s">
        <v>248</v>
      </c>
      <c r="G46" s="25">
        <v>100</v>
      </c>
      <c r="H46" s="29">
        <v>-2500</v>
      </c>
      <c r="I46" s="20"/>
    </row>
    <row r="47" spans="1:9" x14ac:dyDescent="0.3">
      <c r="A47" s="20"/>
      <c r="B47" s="71">
        <v>41844</v>
      </c>
      <c r="C47" s="24" t="s">
        <v>16</v>
      </c>
      <c r="D47" s="24" t="s">
        <v>25</v>
      </c>
      <c r="E47" s="49" t="s">
        <v>240</v>
      </c>
      <c r="F47" s="49" t="s">
        <v>250</v>
      </c>
      <c r="G47" s="25">
        <v>100</v>
      </c>
      <c r="H47" s="29">
        <v>2000</v>
      </c>
      <c r="I47" s="20"/>
    </row>
    <row r="48" spans="1:9" x14ac:dyDescent="0.3">
      <c r="A48" s="20"/>
      <c r="B48" s="71">
        <v>41845</v>
      </c>
      <c r="C48" s="24" t="s">
        <v>23</v>
      </c>
      <c r="D48" s="24" t="s">
        <v>25</v>
      </c>
      <c r="E48" s="49" t="s">
        <v>242</v>
      </c>
      <c r="F48" s="49" t="s">
        <v>154</v>
      </c>
      <c r="G48" s="25">
        <v>100</v>
      </c>
      <c r="H48" s="29">
        <v>4500</v>
      </c>
      <c r="I48" s="20"/>
    </row>
    <row r="49" spans="1:9" x14ac:dyDescent="0.3">
      <c r="A49" s="20"/>
      <c r="B49" s="71">
        <v>41848</v>
      </c>
      <c r="C49" s="24" t="s">
        <v>23</v>
      </c>
      <c r="D49" s="24" t="s">
        <v>25</v>
      </c>
      <c r="E49" s="49" t="s">
        <v>245</v>
      </c>
      <c r="F49" s="49" t="s">
        <v>154</v>
      </c>
      <c r="G49" s="25">
        <v>100</v>
      </c>
      <c r="H49" s="29">
        <v>2000</v>
      </c>
      <c r="I49" s="20"/>
    </row>
    <row r="50" spans="1:9" x14ac:dyDescent="0.3">
      <c r="A50" s="20"/>
      <c r="B50" s="71">
        <v>41850</v>
      </c>
      <c r="C50" s="24" t="s">
        <v>23</v>
      </c>
      <c r="D50" s="24" t="s">
        <v>25</v>
      </c>
      <c r="E50" s="49" t="s">
        <v>251</v>
      </c>
      <c r="F50" s="49" t="s">
        <v>207</v>
      </c>
      <c r="G50" s="25">
        <v>100</v>
      </c>
      <c r="H50" s="29">
        <v>2000</v>
      </c>
      <c r="I50" s="20"/>
    </row>
    <row r="51" spans="1:9" x14ac:dyDescent="0.3">
      <c r="A51" s="20"/>
      <c r="B51" s="71">
        <v>41851</v>
      </c>
      <c r="C51" s="24" t="s">
        <v>23</v>
      </c>
      <c r="D51" s="24" t="s">
        <v>25</v>
      </c>
      <c r="E51" s="49" t="s">
        <v>191</v>
      </c>
      <c r="F51" s="49" t="s">
        <v>196</v>
      </c>
      <c r="G51" s="25">
        <v>100</v>
      </c>
      <c r="H51" s="29">
        <v>-2500</v>
      </c>
      <c r="I51" s="20"/>
    </row>
    <row r="52" spans="1:9" ht="15.6" x14ac:dyDescent="0.3">
      <c r="A52" s="20"/>
      <c r="B52" s="71"/>
      <c r="C52" s="18"/>
      <c r="D52" s="18"/>
      <c r="E52" s="18"/>
      <c r="F52" s="18"/>
      <c r="G52" s="18"/>
      <c r="H52" s="46">
        <v>44000</v>
      </c>
      <c r="I52" s="20"/>
    </row>
    <row r="53" spans="1:9" ht="15.6" x14ac:dyDescent="0.3">
      <c r="A53" s="20"/>
      <c r="B53" s="71"/>
      <c r="C53" s="18"/>
      <c r="D53" s="18"/>
      <c r="E53" s="18"/>
      <c r="F53" s="18"/>
      <c r="G53" s="18"/>
      <c r="H53" s="46"/>
      <c r="I53" s="20"/>
    </row>
    <row r="54" spans="1:9" x14ac:dyDescent="0.3">
      <c r="A54" s="20"/>
      <c r="B54" s="35"/>
      <c r="C54" s="18"/>
      <c r="D54" s="18"/>
      <c r="E54" s="18"/>
      <c r="F54" s="18"/>
      <c r="G54" s="29"/>
      <c r="H54" s="29"/>
      <c r="I54" s="20"/>
    </row>
    <row r="55" spans="1:9" x14ac:dyDescent="0.3">
      <c r="A55" s="20"/>
      <c r="B55" s="35"/>
      <c r="C55" s="29"/>
      <c r="D55" s="36"/>
      <c r="E55" s="29"/>
      <c r="F55" s="29"/>
      <c r="G55" s="29"/>
      <c r="H55" s="29"/>
      <c r="I55" s="20"/>
    </row>
    <row r="56" spans="1:9" ht="15.6" x14ac:dyDescent="0.3">
      <c r="A56" s="20"/>
      <c r="B56" s="61" t="s">
        <v>238</v>
      </c>
      <c r="C56" s="62"/>
      <c r="D56" s="63"/>
      <c r="E56" s="62"/>
      <c r="F56" s="62"/>
      <c r="G56" s="62"/>
      <c r="H56" s="64"/>
      <c r="I56" s="20"/>
    </row>
    <row r="57" spans="1:9" x14ac:dyDescent="0.3">
      <c r="A57" s="20"/>
      <c r="B57" s="71">
        <v>41821</v>
      </c>
      <c r="C57" s="24" t="s">
        <v>23</v>
      </c>
      <c r="D57" s="24" t="s">
        <v>28</v>
      </c>
      <c r="E57" s="29">
        <v>132.6</v>
      </c>
      <c r="F57" s="29">
        <v>131.75</v>
      </c>
      <c r="G57" s="29">
        <v>5000</v>
      </c>
      <c r="H57" s="29">
        <v>4250</v>
      </c>
      <c r="I57" s="20"/>
    </row>
    <row r="58" spans="1:9" x14ac:dyDescent="0.3">
      <c r="A58" s="20"/>
      <c r="B58" s="71">
        <v>41822</v>
      </c>
      <c r="C58" s="24" t="s">
        <v>16</v>
      </c>
      <c r="D58" s="24" t="s">
        <v>28</v>
      </c>
      <c r="E58" s="29">
        <v>130.65</v>
      </c>
      <c r="F58" s="29">
        <v>131.15</v>
      </c>
      <c r="G58" s="29">
        <v>5000</v>
      </c>
      <c r="H58" s="29">
        <v>2500</v>
      </c>
      <c r="I58" s="20"/>
    </row>
    <row r="59" spans="1:9" x14ac:dyDescent="0.3">
      <c r="A59" s="20"/>
      <c r="B59" s="71">
        <v>41823</v>
      </c>
      <c r="C59" s="24" t="s">
        <v>23</v>
      </c>
      <c r="D59" s="24" t="s">
        <v>28</v>
      </c>
      <c r="E59" s="29">
        <v>134.65</v>
      </c>
      <c r="F59" s="29">
        <v>133.5</v>
      </c>
      <c r="G59" s="29">
        <v>5000</v>
      </c>
      <c r="H59" s="29">
        <v>5750</v>
      </c>
      <c r="I59" s="20"/>
    </row>
    <row r="60" spans="1:9" x14ac:dyDescent="0.3">
      <c r="A60" s="20"/>
      <c r="B60" s="71">
        <v>41824</v>
      </c>
      <c r="C60" s="24" t="s">
        <v>23</v>
      </c>
      <c r="D60" s="24" t="s">
        <v>28</v>
      </c>
      <c r="E60" s="29">
        <v>133.6</v>
      </c>
      <c r="F60" s="29">
        <v>113.3</v>
      </c>
      <c r="G60" s="29">
        <v>5000</v>
      </c>
      <c r="H60" s="29">
        <v>1500</v>
      </c>
      <c r="I60" s="20"/>
    </row>
    <row r="61" spans="1:9" x14ac:dyDescent="0.3">
      <c r="A61" s="20"/>
      <c r="B61" s="71">
        <v>41827</v>
      </c>
      <c r="C61" s="82" t="s">
        <v>16</v>
      </c>
      <c r="D61" s="82" t="s">
        <v>28</v>
      </c>
      <c r="E61" s="39">
        <v>134.30000000000001</v>
      </c>
      <c r="F61" s="39">
        <v>135.1</v>
      </c>
      <c r="G61" s="39">
        <v>5000</v>
      </c>
      <c r="H61" s="39">
        <v>4000</v>
      </c>
      <c r="I61" s="20"/>
    </row>
    <row r="62" spans="1:9" x14ac:dyDescent="0.3">
      <c r="A62" s="20"/>
      <c r="B62" s="71">
        <v>41828</v>
      </c>
      <c r="C62" s="24" t="s">
        <v>23</v>
      </c>
      <c r="D62" s="24" t="s">
        <v>28</v>
      </c>
      <c r="E62" s="29">
        <v>136.69999999999999</v>
      </c>
      <c r="F62" s="29">
        <v>135.19999999999999</v>
      </c>
      <c r="G62" s="29">
        <v>5000</v>
      </c>
      <c r="H62" s="29">
        <v>7500</v>
      </c>
      <c r="I62" s="20"/>
    </row>
    <row r="63" spans="1:9" x14ac:dyDescent="0.3">
      <c r="A63" s="20"/>
      <c r="B63" s="71">
        <v>41829</v>
      </c>
      <c r="C63" s="24" t="s">
        <v>23</v>
      </c>
      <c r="D63" s="24" t="s">
        <v>28</v>
      </c>
      <c r="E63" s="29">
        <v>136.80000000000001</v>
      </c>
      <c r="F63" s="29">
        <v>135.5</v>
      </c>
      <c r="G63" s="29">
        <v>5000</v>
      </c>
      <c r="H63" s="29">
        <v>6000</v>
      </c>
      <c r="I63" s="20"/>
    </row>
    <row r="64" spans="1:9" x14ac:dyDescent="0.3">
      <c r="A64" s="20"/>
      <c r="B64" s="71">
        <v>41830</v>
      </c>
      <c r="C64" s="24" t="s">
        <v>23</v>
      </c>
      <c r="D64" s="24" t="s">
        <v>28</v>
      </c>
      <c r="E64" s="29">
        <v>135.4</v>
      </c>
      <c r="F64" s="29">
        <v>134.9</v>
      </c>
      <c r="G64" s="29">
        <v>5000</v>
      </c>
      <c r="H64" s="29">
        <v>2500</v>
      </c>
      <c r="I64" s="20"/>
    </row>
    <row r="65" spans="1:9" x14ac:dyDescent="0.3">
      <c r="A65" s="20"/>
      <c r="B65" s="71">
        <v>41831</v>
      </c>
      <c r="C65" s="24" t="s">
        <v>23</v>
      </c>
      <c r="D65" s="24" t="s">
        <v>27</v>
      </c>
      <c r="E65" s="29">
        <v>131.25</v>
      </c>
      <c r="F65" s="29">
        <v>130.75</v>
      </c>
      <c r="G65" s="29">
        <v>5000</v>
      </c>
      <c r="H65" s="29">
        <v>2500</v>
      </c>
      <c r="I65" s="20"/>
    </row>
    <row r="66" spans="1:9" x14ac:dyDescent="0.3">
      <c r="A66" s="20"/>
      <c r="B66" s="71">
        <v>41834</v>
      </c>
      <c r="C66" s="24" t="s">
        <v>16</v>
      </c>
      <c r="D66" s="26" t="s">
        <v>27</v>
      </c>
      <c r="E66" s="29">
        <v>132.5</v>
      </c>
      <c r="F66" s="29">
        <v>132</v>
      </c>
      <c r="G66" s="29">
        <v>5000</v>
      </c>
      <c r="H66" s="29">
        <v>-2500</v>
      </c>
      <c r="I66" s="20"/>
    </row>
    <row r="67" spans="1:9" x14ac:dyDescent="0.3">
      <c r="A67" s="20"/>
      <c r="B67" s="71">
        <v>41835</v>
      </c>
      <c r="C67" s="24" t="s">
        <v>23</v>
      </c>
      <c r="D67" s="24" t="s">
        <v>28</v>
      </c>
      <c r="E67" s="29">
        <v>138.25</v>
      </c>
      <c r="F67" s="29">
        <v>137.75</v>
      </c>
      <c r="G67" s="29">
        <v>5000</v>
      </c>
      <c r="H67" s="29">
        <v>2500</v>
      </c>
      <c r="I67" s="20"/>
    </row>
    <row r="68" spans="1:9" x14ac:dyDescent="0.3">
      <c r="A68" s="20"/>
      <c r="B68" s="71">
        <v>41836</v>
      </c>
      <c r="C68" s="24" t="s">
        <v>23</v>
      </c>
      <c r="D68" s="24" t="s">
        <v>28</v>
      </c>
      <c r="E68" s="29">
        <v>138.5</v>
      </c>
      <c r="F68" s="29">
        <v>137.5</v>
      </c>
      <c r="G68" s="29">
        <v>5000</v>
      </c>
      <c r="H68" s="29">
        <v>5000</v>
      </c>
      <c r="I68" s="20"/>
    </row>
    <row r="69" spans="1:9" x14ac:dyDescent="0.3">
      <c r="A69" s="20"/>
      <c r="B69" s="71">
        <v>41837</v>
      </c>
      <c r="C69" s="24" t="s">
        <v>23</v>
      </c>
      <c r="D69" s="26" t="s">
        <v>28</v>
      </c>
      <c r="E69" s="29">
        <v>137.5</v>
      </c>
      <c r="F69" s="29">
        <v>137</v>
      </c>
      <c r="G69" s="29">
        <v>5000</v>
      </c>
      <c r="H69" s="29">
        <v>2500</v>
      </c>
      <c r="I69" s="20"/>
    </row>
    <row r="70" spans="1:9" x14ac:dyDescent="0.3">
      <c r="A70" s="20"/>
      <c r="B70" s="71">
        <v>41838</v>
      </c>
      <c r="C70" s="24" t="s">
        <v>23</v>
      </c>
      <c r="D70" s="24" t="s">
        <v>28</v>
      </c>
      <c r="E70" s="29">
        <v>138.5</v>
      </c>
      <c r="F70" s="29">
        <v>137.69999999999999</v>
      </c>
      <c r="G70" s="29">
        <v>5000</v>
      </c>
      <c r="H70" s="29">
        <v>3500</v>
      </c>
      <c r="I70" s="20"/>
    </row>
    <row r="71" spans="1:9" x14ac:dyDescent="0.3">
      <c r="A71" s="20"/>
      <c r="B71" s="71">
        <v>41841</v>
      </c>
      <c r="C71" s="24" t="s">
        <v>16</v>
      </c>
      <c r="D71" s="24" t="s">
        <v>28</v>
      </c>
      <c r="E71" s="29">
        <v>138.5</v>
      </c>
      <c r="F71" s="29">
        <v>140</v>
      </c>
      <c r="G71" s="29">
        <v>5000</v>
      </c>
      <c r="H71" s="29">
        <v>7500</v>
      </c>
      <c r="I71" s="20"/>
    </row>
    <row r="72" spans="1:9" x14ac:dyDescent="0.3">
      <c r="A72" s="20"/>
      <c r="B72" s="71">
        <v>41842</v>
      </c>
      <c r="C72" s="24" t="s">
        <v>23</v>
      </c>
      <c r="D72" s="24" t="s">
        <v>28</v>
      </c>
      <c r="E72" s="29">
        <v>142</v>
      </c>
      <c r="F72" s="29">
        <v>142.5</v>
      </c>
      <c r="G72" s="29">
        <v>5000</v>
      </c>
      <c r="H72" s="29">
        <v>-2500</v>
      </c>
      <c r="I72" s="20"/>
    </row>
    <row r="73" spans="1:9" x14ac:dyDescent="0.3">
      <c r="A73" s="20"/>
      <c r="B73" s="71">
        <v>41843</v>
      </c>
      <c r="C73" s="24" t="s">
        <v>16</v>
      </c>
      <c r="D73" s="24" t="s">
        <v>28</v>
      </c>
      <c r="E73" s="29">
        <v>142.6</v>
      </c>
      <c r="F73" s="29">
        <v>142</v>
      </c>
      <c r="G73" s="29">
        <v>5000</v>
      </c>
      <c r="H73" s="29">
        <v>-3000</v>
      </c>
      <c r="I73" s="20"/>
    </row>
    <row r="74" spans="1:9" x14ac:dyDescent="0.3">
      <c r="A74" s="20"/>
      <c r="B74" s="71">
        <v>41844</v>
      </c>
      <c r="C74" s="24" t="s">
        <v>16</v>
      </c>
      <c r="D74" s="24" t="s">
        <v>27</v>
      </c>
      <c r="E74" s="29">
        <v>133</v>
      </c>
      <c r="F74" s="29">
        <v>133.5</v>
      </c>
      <c r="G74" s="29">
        <v>5000</v>
      </c>
      <c r="H74" s="29">
        <v>2500</v>
      </c>
      <c r="I74" s="20"/>
    </row>
    <row r="75" spans="1:9" x14ac:dyDescent="0.3">
      <c r="A75" s="20"/>
      <c r="B75" s="71">
        <v>41845</v>
      </c>
      <c r="C75" s="24" t="s">
        <v>16</v>
      </c>
      <c r="D75" s="24" t="s">
        <v>27</v>
      </c>
      <c r="E75" s="29">
        <v>135.5</v>
      </c>
      <c r="F75" s="29">
        <v>136</v>
      </c>
      <c r="G75" s="29">
        <v>5000</v>
      </c>
      <c r="H75" s="29">
        <v>2500</v>
      </c>
      <c r="I75" s="20"/>
    </row>
    <row r="76" spans="1:9" x14ac:dyDescent="0.3">
      <c r="A76" s="20"/>
      <c r="B76" s="71">
        <v>41848</v>
      </c>
      <c r="C76" s="24" t="s">
        <v>23</v>
      </c>
      <c r="D76" s="24" t="s">
        <v>27</v>
      </c>
      <c r="E76" s="26">
        <v>136.9</v>
      </c>
      <c r="F76" s="26">
        <v>136.4</v>
      </c>
      <c r="G76" s="29">
        <v>5000</v>
      </c>
      <c r="H76" s="29">
        <v>2500</v>
      </c>
      <c r="I76" s="20"/>
    </row>
    <row r="77" spans="1:9" x14ac:dyDescent="0.3">
      <c r="A77" s="20"/>
      <c r="B77" s="71">
        <v>41850</v>
      </c>
      <c r="C77" s="24" t="s">
        <v>23</v>
      </c>
      <c r="D77" s="24" t="s">
        <v>27</v>
      </c>
      <c r="E77" s="26">
        <v>133.30000000000001</v>
      </c>
      <c r="F77" s="26">
        <v>134</v>
      </c>
      <c r="G77" s="29">
        <v>5000</v>
      </c>
      <c r="H77" s="29">
        <v>-3500</v>
      </c>
      <c r="I77" s="76"/>
    </row>
    <row r="78" spans="1:9" x14ac:dyDescent="0.3">
      <c r="A78" s="57"/>
      <c r="B78" s="71">
        <v>41851</v>
      </c>
      <c r="C78" s="24" t="s">
        <v>23</v>
      </c>
      <c r="D78" s="24" t="s">
        <v>28</v>
      </c>
      <c r="E78" s="26">
        <v>143.19999999999999</v>
      </c>
      <c r="F78" s="26">
        <v>143.9</v>
      </c>
      <c r="G78" s="29">
        <v>5000</v>
      </c>
      <c r="H78" s="29">
        <v>-3500</v>
      </c>
      <c r="I78" s="57"/>
    </row>
    <row r="79" spans="1:9" ht="15.6" x14ac:dyDescent="0.3">
      <c r="A79" s="57"/>
      <c r="H79" s="80">
        <v>50000</v>
      </c>
      <c r="I79" s="57"/>
    </row>
    <row r="80" spans="1:9" x14ac:dyDescent="0.3">
      <c r="A80" s="57"/>
      <c r="H80" s="32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300-000000000000}"/>
  </hyperlinks>
  <pageMargins left="0.7" right="0.7" top="0.75" bottom="0.75" header="0.3" footer="0.3"/>
  <pageSetup orientation="portrait" horizontalDpi="300" verticalDpi="0" r:id="rId1"/>
  <ignoredErrors>
    <ignoredError sqref="E34:F34 E35:F36 E37 E38:F38 F37 E39:F40 E41:F41 E43:F46 E42:F42 E47:F50 K9:L9 K10 L10:M10 M9:N9 N10 L8:N8 K11:N1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272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41852</v>
      </c>
      <c r="C5" s="24" t="s">
        <v>23</v>
      </c>
      <c r="D5" s="26" t="s">
        <v>24</v>
      </c>
      <c r="E5" s="29">
        <v>28110</v>
      </c>
      <c r="F5" s="29">
        <v>28040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41855</v>
      </c>
      <c r="C6" s="24" t="s">
        <v>23</v>
      </c>
      <c r="D6" s="26" t="s">
        <v>24</v>
      </c>
      <c r="E6" s="29">
        <v>28210</v>
      </c>
      <c r="F6" s="29">
        <v>28140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41856</v>
      </c>
      <c r="C7" s="24" t="s">
        <v>23</v>
      </c>
      <c r="D7" s="26" t="s">
        <v>24</v>
      </c>
      <c r="E7" s="29">
        <v>28110</v>
      </c>
      <c r="F7" s="29">
        <v>28040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41857</v>
      </c>
      <c r="C8" s="24" t="s">
        <v>23</v>
      </c>
      <c r="D8" s="26" t="s">
        <v>24</v>
      </c>
      <c r="E8" s="29">
        <v>28285</v>
      </c>
      <c r="F8" s="29">
        <v>28385</v>
      </c>
      <c r="G8" s="29">
        <v>100</v>
      </c>
      <c r="H8" s="29">
        <v>-10000</v>
      </c>
      <c r="I8" s="20"/>
      <c r="J8" s="34" t="s">
        <v>257</v>
      </c>
      <c r="K8" s="84" t="s">
        <v>267</v>
      </c>
      <c r="L8" s="85" t="s">
        <v>291</v>
      </c>
      <c r="M8" s="85" t="s">
        <v>261</v>
      </c>
      <c r="N8" s="85" t="s">
        <v>290</v>
      </c>
    </row>
    <row r="9" spans="1:14" x14ac:dyDescent="0.3">
      <c r="A9" s="20"/>
      <c r="B9" s="71">
        <v>41858</v>
      </c>
      <c r="C9" s="24" t="s">
        <v>23</v>
      </c>
      <c r="D9" s="26" t="s">
        <v>24</v>
      </c>
      <c r="E9" s="29">
        <v>28560</v>
      </c>
      <c r="F9" s="29">
        <v>28560</v>
      </c>
      <c r="G9" s="29">
        <v>100</v>
      </c>
      <c r="H9" s="29">
        <v>0</v>
      </c>
      <c r="I9" s="20"/>
      <c r="J9" s="34" t="s">
        <v>258</v>
      </c>
      <c r="K9" s="85" t="s">
        <v>298</v>
      </c>
      <c r="L9" s="85" t="s">
        <v>291</v>
      </c>
      <c r="M9" s="85" t="s">
        <v>261</v>
      </c>
      <c r="N9" s="85" t="s">
        <v>262</v>
      </c>
    </row>
    <row r="10" spans="1:14" x14ac:dyDescent="0.3">
      <c r="A10" s="20"/>
      <c r="B10" s="71">
        <v>41859</v>
      </c>
      <c r="C10" s="24" t="s">
        <v>23</v>
      </c>
      <c r="D10" s="78" t="s">
        <v>24</v>
      </c>
      <c r="E10" s="26">
        <v>28950</v>
      </c>
      <c r="F10" s="29">
        <v>28780</v>
      </c>
      <c r="G10" s="29">
        <v>100</v>
      </c>
      <c r="H10" s="29">
        <v>17000</v>
      </c>
      <c r="I10" s="20"/>
      <c r="J10" s="34" t="s">
        <v>259</v>
      </c>
      <c r="K10" s="85" t="s">
        <v>267</v>
      </c>
      <c r="L10" s="85" t="s">
        <v>291</v>
      </c>
      <c r="M10" s="85" t="s">
        <v>299</v>
      </c>
      <c r="N10" s="85" t="s">
        <v>262</v>
      </c>
    </row>
    <row r="11" spans="1:14" x14ac:dyDescent="0.3">
      <c r="A11" s="20"/>
      <c r="B11" s="71">
        <v>41862</v>
      </c>
      <c r="C11" s="91" t="s">
        <v>55</v>
      </c>
      <c r="D11" s="92" t="s">
        <v>24</v>
      </c>
      <c r="E11" s="93">
        <v>28630</v>
      </c>
      <c r="F11" s="93">
        <v>28650</v>
      </c>
      <c r="G11" s="93">
        <v>100</v>
      </c>
      <c r="H11" s="93">
        <v>2000</v>
      </c>
      <c r="I11" s="20"/>
      <c r="J11" s="34" t="s">
        <v>300</v>
      </c>
      <c r="K11" s="85" t="s">
        <v>303</v>
      </c>
      <c r="L11" s="85" t="s">
        <v>301</v>
      </c>
      <c r="M11" s="85" t="s">
        <v>302</v>
      </c>
      <c r="N11" s="85" t="s">
        <v>290</v>
      </c>
    </row>
    <row r="12" spans="1:14" x14ac:dyDescent="0.3">
      <c r="A12" s="20"/>
      <c r="B12" s="71">
        <v>41863</v>
      </c>
      <c r="C12" s="24" t="s">
        <v>23</v>
      </c>
      <c r="D12" s="26" t="s">
        <v>24</v>
      </c>
      <c r="E12" s="29">
        <v>28680</v>
      </c>
      <c r="F12" s="29">
        <v>28780</v>
      </c>
      <c r="G12" s="29">
        <v>100</v>
      </c>
      <c r="H12" s="29">
        <v>-10000</v>
      </c>
      <c r="I12" s="20"/>
      <c r="J12" s="34"/>
    </row>
    <row r="13" spans="1:14" x14ac:dyDescent="0.3">
      <c r="A13" s="20"/>
      <c r="B13" s="71">
        <v>41864</v>
      </c>
      <c r="C13" s="24" t="s">
        <v>23</v>
      </c>
      <c r="D13" s="26" t="s">
        <v>24</v>
      </c>
      <c r="E13" s="29">
        <v>28670</v>
      </c>
      <c r="F13" s="29">
        <v>28600</v>
      </c>
      <c r="G13" s="29">
        <v>100</v>
      </c>
      <c r="H13" s="29">
        <v>7000</v>
      </c>
      <c r="I13" s="20"/>
      <c r="J13" s="34"/>
      <c r="K13" s="87" t="s">
        <v>304</v>
      </c>
      <c r="L13" s="88"/>
      <c r="M13" s="89"/>
    </row>
    <row r="14" spans="1:14" x14ac:dyDescent="0.3">
      <c r="A14" s="20"/>
      <c r="B14" s="71">
        <v>41865</v>
      </c>
      <c r="C14" s="24" t="s">
        <v>23</v>
      </c>
      <c r="D14" s="24" t="s">
        <v>24</v>
      </c>
      <c r="E14" s="29">
        <v>28700</v>
      </c>
      <c r="F14" s="29">
        <v>28500</v>
      </c>
      <c r="G14" s="29">
        <v>100</v>
      </c>
      <c r="H14" s="29">
        <v>20000</v>
      </c>
      <c r="I14" s="20"/>
      <c r="J14" s="34"/>
    </row>
    <row r="15" spans="1:14" x14ac:dyDescent="0.3">
      <c r="A15" s="20"/>
      <c r="B15" s="71">
        <v>41870</v>
      </c>
      <c r="C15" s="24" t="s">
        <v>23</v>
      </c>
      <c r="D15" s="26" t="s">
        <v>22</v>
      </c>
      <c r="E15" s="26">
        <v>42730</v>
      </c>
      <c r="F15" s="26">
        <v>42250</v>
      </c>
      <c r="G15" s="29">
        <v>30</v>
      </c>
      <c r="H15" s="69">
        <v>14400</v>
      </c>
      <c r="I15" s="20"/>
      <c r="J15" s="34"/>
    </row>
    <row r="16" spans="1:14" x14ac:dyDescent="0.3">
      <c r="A16" s="20"/>
      <c r="B16" s="71">
        <v>41871</v>
      </c>
      <c r="C16" s="24" t="s">
        <v>23</v>
      </c>
      <c r="D16" s="26" t="s">
        <v>22</v>
      </c>
      <c r="E16" s="26">
        <v>42330</v>
      </c>
      <c r="F16" s="26">
        <v>42230</v>
      </c>
      <c r="G16" s="29">
        <v>30</v>
      </c>
      <c r="H16" s="69">
        <v>3000</v>
      </c>
      <c r="I16" s="20"/>
      <c r="J16" s="34"/>
    </row>
    <row r="17" spans="1:10" x14ac:dyDescent="0.3">
      <c r="A17" s="20"/>
      <c r="B17" s="71">
        <v>41872</v>
      </c>
      <c r="C17" s="24" t="s">
        <v>23</v>
      </c>
      <c r="D17" s="26" t="s">
        <v>22</v>
      </c>
      <c r="E17" s="26">
        <v>42050</v>
      </c>
      <c r="F17" s="26">
        <v>41940</v>
      </c>
      <c r="G17" s="29">
        <v>30</v>
      </c>
      <c r="H17" s="69">
        <v>3000</v>
      </c>
      <c r="I17" s="20"/>
      <c r="J17" s="34"/>
    </row>
    <row r="18" spans="1:10" x14ac:dyDescent="0.3">
      <c r="A18" s="20"/>
      <c r="B18" s="71">
        <v>41873</v>
      </c>
      <c r="C18" s="24" t="s">
        <v>23</v>
      </c>
      <c r="D18" s="26" t="s">
        <v>24</v>
      </c>
      <c r="E18" s="26">
        <v>27850</v>
      </c>
      <c r="F18" s="26">
        <v>27730</v>
      </c>
      <c r="G18" s="29">
        <v>100</v>
      </c>
      <c r="H18" s="69">
        <v>12000</v>
      </c>
      <c r="I18" s="20"/>
      <c r="J18" s="34"/>
    </row>
    <row r="19" spans="1:10" x14ac:dyDescent="0.3">
      <c r="A19" s="20"/>
      <c r="B19" s="71">
        <v>41876</v>
      </c>
      <c r="C19" s="24" t="s">
        <v>23</v>
      </c>
      <c r="D19" s="26" t="s">
        <v>24</v>
      </c>
      <c r="E19" s="26">
        <v>27750</v>
      </c>
      <c r="F19" s="26">
        <v>27680</v>
      </c>
      <c r="G19" s="29">
        <v>100</v>
      </c>
      <c r="H19" s="69">
        <v>7000</v>
      </c>
      <c r="I19" s="20"/>
      <c r="J19" s="34"/>
    </row>
    <row r="20" spans="1:10" x14ac:dyDescent="0.3">
      <c r="A20" s="20"/>
      <c r="B20" s="71">
        <v>41877</v>
      </c>
      <c r="C20" s="24" t="s">
        <v>23</v>
      </c>
      <c r="D20" s="26" t="s">
        <v>24</v>
      </c>
      <c r="E20" s="26">
        <v>27970</v>
      </c>
      <c r="F20" s="26">
        <v>27850</v>
      </c>
      <c r="G20" s="29">
        <v>100</v>
      </c>
      <c r="H20" s="69">
        <v>12000</v>
      </c>
      <c r="I20" s="20"/>
      <c r="J20" s="34"/>
    </row>
    <row r="21" spans="1:10" x14ac:dyDescent="0.3">
      <c r="A21" s="20"/>
      <c r="B21" s="71">
        <v>41878</v>
      </c>
      <c r="C21" s="24" t="s">
        <v>23</v>
      </c>
      <c r="D21" s="26" t="s">
        <v>24</v>
      </c>
      <c r="E21" s="26">
        <v>27875</v>
      </c>
      <c r="F21" s="26">
        <v>27805</v>
      </c>
      <c r="G21" s="29">
        <v>100</v>
      </c>
      <c r="H21" s="69">
        <v>7000</v>
      </c>
      <c r="I21" s="20"/>
      <c r="J21" s="34"/>
    </row>
    <row r="22" spans="1:10" x14ac:dyDescent="0.3">
      <c r="A22" s="20"/>
      <c r="B22" s="71"/>
      <c r="C22" s="24"/>
      <c r="D22" s="26"/>
      <c r="E22" s="26"/>
      <c r="F22" s="26"/>
      <c r="G22" s="29"/>
      <c r="H22" s="69"/>
      <c r="I22" s="20"/>
      <c r="J22" s="34"/>
    </row>
    <row r="23" spans="1:10" ht="15.6" x14ac:dyDescent="0.3">
      <c r="A23" s="20"/>
      <c r="B23" s="71"/>
      <c r="C23" s="24"/>
      <c r="D23" s="26"/>
      <c r="E23" s="26"/>
      <c r="F23" s="26"/>
      <c r="G23" s="29"/>
      <c r="H23" s="96">
        <v>105400</v>
      </c>
      <c r="I23" s="20"/>
      <c r="J23" s="34"/>
    </row>
    <row r="24" spans="1:10" x14ac:dyDescent="0.3">
      <c r="A24" s="20"/>
      <c r="B24" s="71"/>
      <c r="C24" s="24"/>
      <c r="D24" s="26"/>
      <c r="E24" s="26"/>
      <c r="F24" s="26"/>
      <c r="G24" s="29"/>
      <c r="H24" s="45"/>
      <c r="I24" s="20"/>
      <c r="J24" s="34"/>
    </row>
    <row r="25" spans="1:10" ht="15.6" x14ac:dyDescent="0.3">
      <c r="A25" s="20"/>
      <c r="B25" s="71"/>
      <c r="C25" s="24"/>
      <c r="D25" s="26"/>
      <c r="E25" s="26"/>
      <c r="F25" s="26"/>
      <c r="G25" s="25"/>
      <c r="H25" s="46"/>
      <c r="I25" s="20"/>
      <c r="J25" s="34"/>
    </row>
    <row r="26" spans="1:10" ht="15.6" x14ac:dyDescent="0.3">
      <c r="A26" s="20"/>
      <c r="B26" s="71"/>
      <c r="C26" s="24"/>
      <c r="D26" s="26"/>
      <c r="E26" s="26"/>
      <c r="F26" s="26"/>
      <c r="G26" s="25"/>
      <c r="H26" s="46"/>
      <c r="I26" s="20"/>
    </row>
    <row r="27" spans="1:10" x14ac:dyDescent="0.3">
      <c r="A27" s="20"/>
      <c r="B27" s="35"/>
      <c r="C27" s="29"/>
      <c r="D27" s="36"/>
      <c r="E27" s="36"/>
      <c r="F27" s="29"/>
      <c r="G27" s="29"/>
      <c r="H27" s="29"/>
      <c r="I27" s="20"/>
    </row>
    <row r="28" spans="1:10" ht="15.6" x14ac:dyDescent="0.3">
      <c r="A28" s="20"/>
      <c r="B28" s="61" t="s">
        <v>273</v>
      </c>
      <c r="C28" s="62"/>
      <c r="D28" s="63"/>
      <c r="E28" s="62"/>
      <c r="F28" s="62"/>
      <c r="G28" s="62"/>
      <c r="H28" s="62"/>
      <c r="I28" s="20"/>
    </row>
    <row r="29" spans="1:10" x14ac:dyDescent="0.3">
      <c r="A29" s="20"/>
      <c r="B29" s="71">
        <v>41852</v>
      </c>
      <c r="C29" s="24" t="s">
        <v>23</v>
      </c>
      <c r="D29" s="24" t="s">
        <v>25</v>
      </c>
      <c r="E29" s="49" t="s">
        <v>275</v>
      </c>
      <c r="F29" s="49" t="s">
        <v>276</v>
      </c>
      <c r="G29" s="25">
        <v>100</v>
      </c>
      <c r="H29" s="29">
        <v>2500</v>
      </c>
      <c r="I29" s="20"/>
    </row>
    <row r="30" spans="1:10" x14ac:dyDescent="0.3">
      <c r="A30" s="20"/>
      <c r="B30" s="71">
        <v>41855</v>
      </c>
      <c r="C30" s="24" t="s">
        <v>23</v>
      </c>
      <c r="D30" s="24" t="s">
        <v>25</v>
      </c>
      <c r="E30" s="83" t="s">
        <v>277</v>
      </c>
      <c r="F30" s="49" t="s">
        <v>278</v>
      </c>
      <c r="G30" s="25">
        <v>100</v>
      </c>
      <c r="H30" s="29">
        <v>2000</v>
      </c>
      <c r="I30" s="20"/>
    </row>
    <row r="31" spans="1:10" x14ac:dyDescent="0.3">
      <c r="A31" s="20"/>
      <c r="B31" s="71">
        <v>41856</v>
      </c>
      <c r="C31" s="24" t="s">
        <v>23</v>
      </c>
      <c r="D31" s="24" t="s">
        <v>25</v>
      </c>
      <c r="E31" s="49" t="s">
        <v>197</v>
      </c>
      <c r="F31" s="49" t="s">
        <v>279</v>
      </c>
      <c r="G31" s="25">
        <v>100</v>
      </c>
      <c r="H31" s="29">
        <v>4000</v>
      </c>
      <c r="I31" s="20"/>
    </row>
    <row r="32" spans="1:10" x14ac:dyDescent="0.3">
      <c r="A32" s="20"/>
      <c r="B32" s="71">
        <v>41857</v>
      </c>
      <c r="C32" s="24" t="s">
        <v>23</v>
      </c>
      <c r="D32" s="24" t="s">
        <v>25</v>
      </c>
      <c r="E32" s="49" t="s">
        <v>197</v>
      </c>
      <c r="F32" s="49" t="s">
        <v>278</v>
      </c>
      <c r="G32" s="25">
        <v>100</v>
      </c>
      <c r="H32" s="29">
        <v>3000</v>
      </c>
      <c r="I32" s="20"/>
    </row>
    <row r="33" spans="1:9" x14ac:dyDescent="0.3">
      <c r="A33" s="20"/>
      <c r="B33" s="71">
        <v>41858</v>
      </c>
      <c r="C33" s="24" t="s">
        <v>23</v>
      </c>
      <c r="D33" s="24" t="s">
        <v>25</v>
      </c>
      <c r="E33" s="49" t="s">
        <v>279</v>
      </c>
      <c r="F33" s="49" t="s">
        <v>276</v>
      </c>
      <c r="G33" s="25">
        <v>100</v>
      </c>
      <c r="H33" s="29">
        <v>2000</v>
      </c>
      <c r="I33" s="20"/>
    </row>
    <row r="34" spans="1:9" x14ac:dyDescent="0.3">
      <c r="A34" s="20"/>
      <c r="B34" s="71">
        <v>41859</v>
      </c>
      <c r="C34" s="24" t="s">
        <v>23</v>
      </c>
      <c r="D34" s="24" t="s">
        <v>25</v>
      </c>
      <c r="E34" s="83" t="s">
        <v>280</v>
      </c>
      <c r="F34" s="49" t="s">
        <v>277</v>
      </c>
      <c r="G34" s="25">
        <v>100</v>
      </c>
      <c r="H34" s="29">
        <v>3300</v>
      </c>
      <c r="I34" s="20"/>
    </row>
    <row r="35" spans="1:9" x14ac:dyDescent="0.3">
      <c r="A35" s="20"/>
      <c r="B35" s="71">
        <v>41862</v>
      </c>
      <c r="C35" s="24" t="s">
        <v>23</v>
      </c>
      <c r="D35" s="24" t="s">
        <v>25</v>
      </c>
      <c r="E35" s="49" t="s">
        <v>281</v>
      </c>
      <c r="F35" s="49" t="s">
        <v>279</v>
      </c>
      <c r="G35" s="25">
        <v>100</v>
      </c>
      <c r="H35" s="29">
        <v>2500</v>
      </c>
      <c r="I35" s="20"/>
    </row>
    <row r="36" spans="1:9" x14ac:dyDescent="0.3">
      <c r="A36" s="20"/>
      <c r="B36" s="71">
        <v>41863</v>
      </c>
      <c r="C36" s="24" t="s">
        <v>23</v>
      </c>
      <c r="D36" s="24" t="s">
        <v>25</v>
      </c>
      <c r="E36" s="49" t="s">
        <v>275</v>
      </c>
      <c r="F36" s="49" t="s">
        <v>276</v>
      </c>
      <c r="G36" s="25">
        <v>100</v>
      </c>
      <c r="H36" s="29">
        <v>2500</v>
      </c>
      <c r="I36" s="20"/>
    </row>
    <row r="37" spans="1:9" x14ac:dyDescent="0.3">
      <c r="A37" s="20"/>
      <c r="B37" s="71">
        <v>41864</v>
      </c>
      <c r="C37" s="24" t="s">
        <v>23</v>
      </c>
      <c r="D37" s="24" t="s">
        <v>25</v>
      </c>
      <c r="E37" s="49" t="s">
        <v>282</v>
      </c>
      <c r="F37" s="49" t="s">
        <v>283</v>
      </c>
      <c r="G37" s="25">
        <v>100</v>
      </c>
      <c r="H37" s="29">
        <v>4600</v>
      </c>
      <c r="I37" s="20"/>
    </row>
    <row r="38" spans="1:9" x14ac:dyDescent="0.3">
      <c r="A38" s="20"/>
      <c r="B38" s="71">
        <v>41865</v>
      </c>
      <c r="C38" s="24" t="s">
        <v>23</v>
      </c>
      <c r="D38" s="24" t="s">
        <v>25</v>
      </c>
      <c r="E38" s="49" t="s">
        <v>284</v>
      </c>
      <c r="F38" s="49" t="s">
        <v>285</v>
      </c>
      <c r="G38" s="25">
        <v>100</v>
      </c>
      <c r="H38" s="29">
        <v>2000</v>
      </c>
      <c r="I38" s="20"/>
    </row>
    <row r="39" spans="1:9" x14ac:dyDescent="0.3">
      <c r="A39" s="20"/>
      <c r="B39" s="71">
        <v>41870</v>
      </c>
      <c r="C39" s="24" t="s">
        <v>23</v>
      </c>
      <c r="D39" s="24" t="s">
        <v>25</v>
      </c>
      <c r="E39" s="49" t="s">
        <v>286</v>
      </c>
      <c r="F39" s="49" t="s">
        <v>287</v>
      </c>
      <c r="G39" s="25">
        <v>100</v>
      </c>
      <c r="H39" s="29">
        <v>4500</v>
      </c>
      <c r="I39" s="20"/>
    </row>
    <row r="40" spans="1:9" x14ac:dyDescent="0.3">
      <c r="A40" s="20"/>
      <c r="B40" s="71">
        <v>41871</v>
      </c>
      <c r="C40" s="24" t="s">
        <v>23</v>
      </c>
      <c r="D40" s="24" t="s">
        <v>25</v>
      </c>
      <c r="E40" s="49" t="s">
        <v>288</v>
      </c>
      <c r="F40" s="49" t="s">
        <v>289</v>
      </c>
      <c r="G40" s="25">
        <v>100</v>
      </c>
      <c r="H40" s="29">
        <v>2000</v>
      </c>
      <c r="I40" s="20"/>
    </row>
    <row r="41" spans="1:9" x14ac:dyDescent="0.3">
      <c r="A41" s="20"/>
      <c r="B41" s="71">
        <v>41872</v>
      </c>
      <c r="C41" s="24" t="s">
        <v>23</v>
      </c>
      <c r="D41" s="24" t="s">
        <v>25</v>
      </c>
      <c r="E41" s="49" t="s">
        <v>292</v>
      </c>
      <c r="F41" s="49" t="s">
        <v>293</v>
      </c>
      <c r="G41" s="25">
        <v>100</v>
      </c>
      <c r="H41" s="29">
        <v>2000</v>
      </c>
      <c r="I41" s="20"/>
    </row>
    <row r="42" spans="1:9" x14ac:dyDescent="0.3">
      <c r="A42" s="20"/>
      <c r="B42" s="71">
        <v>41876</v>
      </c>
      <c r="C42" s="24" t="s">
        <v>23</v>
      </c>
      <c r="D42" s="24" t="s">
        <v>25</v>
      </c>
      <c r="E42" s="49" t="s">
        <v>294</v>
      </c>
      <c r="F42" s="49" t="s">
        <v>295</v>
      </c>
      <c r="G42" s="25">
        <v>100</v>
      </c>
      <c r="H42" s="29">
        <v>4500</v>
      </c>
      <c r="I42" s="20"/>
    </row>
    <row r="43" spans="1:9" x14ac:dyDescent="0.3">
      <c r="A43" s="20"/>
      <c r="B43" s="71">
        <v>41877</v>
      </c>
      <c r="C43" s="24" t="s">
        <v>23</v>
      </c>
      <c r="D43" s="24" t="s">
        <v>25</v>
      </c>
      <c r="E43" s="49" t="s">
        <v>296</v>
      </c>
      <c r="F43" s="49" t="s">
        <v>297</v>
      </c>
      <c r="G43" s="25">
        <v>100</v>
      </c>
      <c r="H43" s="29">
        <v>-2500</v>
      </c>
      <c r="I43" s="20"/>
    </row>
    <row r="44" spans="1:9" x14ac:dyDescent="0.3">
      <c r="A44" s="20"/>
      <c r="B44" s="71">
        <v>41878</v>
      </c>
      <c r="C44" s="24" t="s">
        <v>16</v>
      </c>
      <c r="D44" s="24" t="s">
        <v>25</v>
      </c>
      <c r="E44" s="49" t="s">
        <v>294</v>
      </c>
      <c r="F44" s="49" t="s">
        <v>296</v>
      </c>
      <c r="G44" s="25">
        <v>100</v>
      </c>
      <c r="H44" s="29">
        <v>-2000</v>
      </c>
      <c r="I44" s="20"/>
    </row>
    <row r="45" spans="1:9" x14ac:dyDescent="0.3">
      <c r="A45" s="20"/>
      <c r="B45" s="71"/>
      <c r="C45" s="24"/>
      <c r="D45" s="24"/>
      <c r="E45" s="49"/>
      <c r="F45" s="49"/>
      <c r="G45" s="25"/>
      <c r="H45" s="29"/>
      <c r="I45" s="20"/>
    </row>
    <row r="46" spans="1:9" ht="15.6" x14ac:dyDescent="0.3">
      <c r="A46" s="20"/>
      <c r="B46" s="71"/>
      <c r="C46" s="24"/>
      <c r="D46" s="24"/>
      <c r="E46" s="49"/>
      <c r="F46" s="49"/>
      <c r="G46" s="25"/>
      <c r="H46" s="80">
        <v>36900</v>
      </c>
      <c r="I46" s="20"/>
    </row>
    <row r="47" spans="1:9" x14ac:dyDescent="0.3">
      <c r="A47" s="20"/>
      <c r="B47" s="71"/>
      <c r="C47" s="24"/>
      <c r="D47" s="24"/>
      <c r="E47" s="49"/>
      <c r="F47" s="49"/>
      <c r="G47" s="25"/>
      <c r="H47" s="29"/>
      <c r="I47" s="20"/>
    </row>
    <row r="48" spans="1:9" x14ac:dyDescent="0.3">
      <c r="A48" s="20"/>
      <c r="B48" s="71"/>
      <c r="C48" s="24"/>
      <c r="D48" s="24"/>
      <c r="E48" s="49"/>
      <c r="F48" s="49"/>
      <c r="G48" s="25"/>
      <c r="H48" s="29"/>
      <c r="I48" s="20"/>
    </row>
    <row r="49" spans="1:9" ht="15.6" x14ac:dyDescent="0.3">
      <c r="A49" s="20"/>
      <c r="B49" s="71"/>
      <c r="C49" s="18"/>
      <c r="D49" s="18"/>
      <c r="E49" s="18"/>
      <c r="F49" s="18"/>
      <c r="G49" s="18"/>
      <c r="H49" s="46"/>
      <c r="I49" s="20"/>
    </row>
    <row r="50" spans="1:9" ht="15.6" x14ac:dyDescent="0.3">
      <c r="A50" s="20"/>
      <c r="B50" s="71"/>
      <c r="C50" s="18"/>
      <c r="D50" s="18"/>
      <c r="E50" s="18"/>
      <c r="F50" s="18"/>
      <c r="G50" s="18"/>
      <c r="H50" s="46"/>
      <c r="I50" s="20"/>
    </row>
    <row r="51" spans="1:9" x14ac:dyDescent="0.3">
      <c r="A51" s="20"/>
      <c r="B51" s="35"/>
      <c r="C51" s="18"/>
      <c r="D51" s="18"/>
      <c r="E51" s="18"/>
      <c r="F51" s="18"/>
      <c r="G51" s="29"/>
      <c r="H51" s="29"/>
      <c r="I51" s="20"/>
    </row>
    <row r="52" spans="1:9" x14ac:dyDescent="0.3">
      <c r="A52" s="20"/>
      <c r="B52" s="35"/>
      <c r="C52" s="29"/>
      <c r="D52" s="36"/>
      <c r="E52" s="29"/>
      <c r="F52" s="29"/>
      <c r="G52" s="29"/>
      <c r="H52" s="29"/>
      <c r="I52" s="20"/>
    </row>
    <row r="53" spans="1:9" ht="15.6" x14ac:dyDescent="0.3">
      <c r="A53" s="20"/>
      <c r="B53" s="61" t="s">
        <v>274</v>
      </c>
      <c r="C53" s="62"/>
      <c r="D53" s="63"/>
      <c r="E53" s="62"/>
      <c r="F53" s="62"/>
      <c r="G53" s="62"/>
      <c r="H53" s="64"/>
      <c r="I53" s="20"/>
    </row>
    <row r="54" spans="1:9" x14ac:dyDescent="0.3">
      <c r="A54" s="20"/>
      <c r="B54" s="71">
        <v>41852</v>
      </c>
      <c r="C54" s="24" t="s">
        <v>23</v>
      </c>
      <c r="D54" s="24" t="s">
        <v>28</v>
      </c>
      <c r="E54" s="29">
        <v>143.30000000000001</v>
      </c>
      <c r="F54" s="29">
        <v>144</v>
      </c>
      <c r="G54" s="29">
        <v>5000</v>
      </c>
      <c r="H54" s="29">
        <v>-3500</v>
      </c>
      <c r="I54" s="20"/>
    </row>
    <row r="55" spans="1:9" x14ac:dyDescent="0.3">
      <c r="A55" s="20"/>
      <c r="B55" s="71">
        <v>41855</v>
      </c>
      <c r="C55" s="24" t="s">
        <v>23</v>
      </c>
      <c r="D55" s="24" t="s">
        <v>29</v>
      </c>
      <c r="E55" s="29">
        <v>435</v>
      </c>
      <c r="F55" s="29">
        <v>432</v>
      </c>
      <c r="G55" s="29">
        <v>1000</v>
      </c>
      <c r="H55" s="29">
        <v>3000</v>
      </c>
      <c r="I55" s="20"/>
    </row>
    <row r="56" spans="1:9" x14ac:dyDescent="0.3">
      <c r="A56" s="20"/>
      <c r="B56" s="71">
        <v>41856</v>
      </c>
      <c r="C56" s="24" t="s">
        <v>23</v>
      </c>
      <c r="D56" s="24" t="s">
        <v>28</v>
      </c>
      <c r="E56" s="29">
        <v>145.19999999999999</v>
      </c>
      <c r="F56" s="29">
        <v>144.69999999999999</v>
      </c>
      <c r="G56" s="29">
        <v>5000</v>
      </c>
      <c r="H56" s="29">
        <v>2500</v>
      </c>
      <c r="I56" s="20"/>
    </row>
    <row r="57" spans="1:9" x14ac:dyDescent="0.3">
      <c r="A57" s="20"/>
      <c r="B57" s="71">
        <v>41857</v>
      </c>
      <c r="C57" s="24" t="s">
        <v>23</v>
      </c>
      <c r="D57" s="24" t="s">
        <v>28</v>
      </c>
      <c r="E57" s="29">
        <v>143.9</v>
      </c>
      <c r="F57" s="29">
        <v>143.4</v>
      </c>
      <c r="G57" s="29">
        <v>5000</v>
      </c>
      <c r="H57" s="29">
        <v>2500</v>
      </c>
      <c r="I57" s="20"/>
    </row>
    <row r="58" spans="1:9" x14ac:dyDescent="0.3">
      <c r="A58" s="20"/>
      <c r="B58" s="71">
        <v>41858</v>
      </c>
      <c r="C58" s="82" t="s">
        <v>23</v>
      </c>
      <c r="D58" s="82" t="s">
        <v>28</v>
      </c>
      <c r="E58" s="39">
        <v>142.5</v>
      </c>
      <c r="F58" s="39">
        <v>142</v>
      </c>
      <c r="G58" s="39">
        <v>5000</v>
      </c>
      <c r="H58" s="39">
        <v>2500</v>
      </c>
      <c r="I58" s="20"/>
    </row>
    <row r="59" spans="1:9" x14ac:dyDescent="0.3">
      <c r="A59" s="20"/>
      <c r="B59" s="71">
        <v>41859</v>
      </c>
      <c r="C59" s="24" t="s">
        <v>23</v>
      </c>
      <c r="D59" s="24" t="s">
        <v>28</v>
      </c>
      <c r="E59" s="29">
        <v>140.75</v>
      </c>
      <c r="F59" s="29">
        <v>141.25</v>
      </c>
      <c r="G59" s="29">
        <v>5000</v>
      </c>
      <c r="H59" s="29">
        <v>-2500</v>
      </c>
      <c r="I59" s="20"/>
    </row>
    <row r="60" spans="1:9" x14ac:dyDescent="0.3">
      <c r="A60" s="20"/>
      <c r="B60" s="71">
        <v>41862</v>
      </c>
      <c r="C60" s="24" t="s">
        <v>23</v>
      </c>
      <c r="D60" s="24" t="s">
        <v>29</v>
      </c>
      <c r="E60" s="29">
        <v>432</v>
      </c>
      <c r="F60" s="29">
        <v>429</v>
      </c>
      <c r="G60" s="29">
        <v>1000</v>
      </c>
      <c r="H60" s="29">
        <v>3000</v>
      </c>
      <c r="I60" s="20"/>
    </row>
    <row r="61" spans="1:9" x14ac:dyDescent="0.3">
      <c r="A61" s="20"/>
      <c r="B61" s="71">
        <v>41863</v>
      </c>
      <c r="C61" s="24" t="s">
        <v>23</v>
      </c>
      <c r="D61" s="24" t="s">
        <v>28</v>
      </c>
      <c r="E61" s="29">
        <v>142.55000000000001</v>
      </c>
      <c r="F61" s="29">
        <v>141.75</v>
      </c>
      <c r="G61" s="29">
        <v>5000</v>
      </c>
      <c r="H61" s="29">
        <v>4000</v>
      </c>
      <c r="I61" s="20"/>
    </row>
    <row r="62" spans="1:9" x14ac:dyDescent="0.3">
      <c r="A62" s="20"/>
      <c r="B62" s="71">
        <v>41864</v>
      </c>
      <c r="C62" s="24" t="s">
        <v>23</v>
      </c>
      <c r="D62" s="24" t="s">
        <v>28</v>
      </c>
      <c r="E62" s="29">
        <v>141.15</v>
      </c>
      <c r="F62" s="29">
        <v>139.65</v>
      </c>
      <c r="G62" s="29">
        <v>5000</v>
      </c>
      <c r="H62" s="29">
        <v>7500</v>
      </c>
      <c r="I62" s="20"/>
    </row>
    <row r="63" spans="1:9" x14ac:dyDescent="0.3">
      <c r="A63" s="20"/>
      <c r="B63" s="71">
        <v>41865</v>
      </c>
      <c r="C63" s="24" t="s">
        <v>23</v>
      </c>
      <c r="D63" s="26" t="s">
        <v>28</v>
      </c>
      <c r="E63" s="29">
        <v>139.05000000000001</v>
      </c>
      <c r="F63" s="29">
        <v>138.55000000000001</v>
      </c>
      <c r="G63" s="29">
        <v>5000</v>
      </c>
      <c r="H63" s="29">
        <v>2500</v>
      </c>
      <c r="I63" s="20"/>
    </row>
    <row r="64" spans="1:9" x14ac:dyDescent="0.3">
      <c r="A64" s="20"/>
      <c r="B64" s="71">
        <v>41870</v>
      </c>
      <c r="C64" s="24" t="s">
        <v>23</v>
      </c>
      <c r="D64" s="24" t="s">
        <v>27</v>
      </c>
      <c r="E64" s="29">
        <v>135.30000000000001</v>
      </c>
      <c r="F64" s="29">
        <v>134.80000000000001</v>
      </c>
      <c r="G64" s="29">
        <v>5000</v>
      </c>
      <c r="H64" s="29">
        <v>2500</v>
      </c>
      <c r="I64" s="20"/>
    </row>
    <row r="65" spans="1:9" x14ac:dyDescent="0.3">
      <c r="A65" s="20"/>
      <c r="B65" s="71">
        <v>41871</v>
      </c>
      <c r="C65" s="24" t="s">
        <v>23</v>
      </c>
      <c r="D65" s="26" t="s">
        <v>27</v>
      </c>
      <c r="E65" s="29">
        <v>135.6</v>
      </c>
      <c r="F65" s="29">
        <v>136.1</v>
      </c>
      <c r="G65" s="29">
        <v>5000</v>
      </c>
      <c r="H65" s="29">
        <v>-2500</v>
      </c>
      <c r="I65" s="20"/>
    </row>
    <row r="66" spans="1:9" x14ac:dyDescent="0.3">
      <c r="A66" s="20"/>
      <c r="B66" s="71">
        <v>41872</v>
      </c>
      <c r="C66" s="24" t="s">
        <v>23</v>
      </c>
      <c r="D66" s="24" t="s">
        <v>29</v>
      </c>
      <c r="E66" s="29">
        <v>423</v>
      </c>
      <c r="F66" s="29">
        <v>420</v>
      </c>
      <c r="G66" s="29">
        <v>1000</v>
      </c>
      <c r="H66" s="29">
        <v>3000</v>
      </c>
      <c r="I66" s="20"/>
    </row>
    <row r="67" spans="1:9" x14ac:dyDescent="0.3">
      <c r="A67" s="20"/>
      <c r="B67" s="71">
        <v>41873</v>
      </c>
      <c r="C67" s="24" t="s">
        <v>23</v>
      </c>
      <c r="D67" s="24" t="s">
        <v>27</v>
      </c>
      <c r="E67" s="29">
        <v>136.35</v>
      </c>
      <c r="F67" s="29">
        <v>135.85</v>
      </c>
      <c r="G67" s="29">
        <v>5000</v>
      </c>
      <c r="H67" s="29">
        <v>2500</v>
      </c>
      <c r="I67" s="20"/>
    </row>
    <row r="68" spans="1:9" x14ac:dyDescent="0.3">
      <c r="A68" s="20"/>
      <c r="B68" s="71">
        <v>41876</v>
      </c>
      <c r="C68" s="24" t="s">
        <v>16</v>
      </c>
      <c r="D68" s="24" t="s">
        <v>29</v>
      </c>
      <c r="E68" s="29">
        <v>428</v>
      </c>
      <c r="F68" s="29">
        <v>431</v>
      </c>
      <c r="G68" s="29">
        <v>1000</v>
      </c>
      <c r="H68" s="29">
        <v>3000</v>
      </c>
      <c r="I68" s="20"/>
    </row>
    <row r="69" spans="1:9" x14ac:dyDescent="0.3">
      <c r="A69" s="20"/>
      <c r="B69" s="71">
        <v>41877</v>
      </c>
      <c r="C69" s="24" t="s">
        <v>23</v>
      </c>
      <c r="D69" s="24" t="s">
        <v>27</v>
      </c>
      <c r="E69" s="29">
        <v>136.65</v>
      </c>
      <c r="F69" s="29">
        <v>135.9</v>
      </c>
      <c r="G69" s="29">
        <v>5000</v>
      </c>
      <c r="H69" s="29">
        <v>3750</v>
      </c>
      <c r="I69" s="20"/>
    </row>
    <row r="70" spans="1:9" x14ac:dyDescent="0.3">
      <c r="A70" s="20"/>
      <c r="B70" s="71">
        <v>41878</v>
      </c>
      <c r="C70" s="24" t="s">
        <v>23</v>
      </c>
      <c r="D70" s="24" t="s">
        <v>27</v>
      </c>
      <c r="E70" s="29">
        <v>135.80000000000001</v>
      </c>
      <c r="F70" s="29">
        <v>135.30000000000001</v>
      </c>
      <c r="G70" s="29">
        <v>5000</v>
      </c>
      <c r="H70" s="29">
        <v>2500</v>
      </c>
      <c r="I70" s="20"/>
    </row>
    <row r="71" spans="1:9" x14ac:dyDescent="0.3">
      <c r="A71" s="20"/>
      <c r="B71" s="71"/>
      <c r="C71" s="24"/>
      <c r="D71" s="24"/>
      <c r="E71" s="29"/>
      <c r="F71" s="29"/>
      <c r="G71" s="29"/>
      <c r="H71" s="29"/>
      <c r="I71" s="20"/>
    </row>
    <row r="72" spans="1:9" ht="15.6" x14ac:dyDescent="0.3">
      <c r="A72" s="20"/>
      <c r="B72" s="71"/>
      <c r="C72" s="24"/>
      <c r="D72" s="24"/>
      <c r="E72" s="26"/>
      <c r="F72" s="26"/>
      <c r="G72" s="29"/>
      <c r="H72" s="80">
        <v>36250</v>
      </c>
      <c r="I72" s="20"/>
    </row>
    <row r="73" spans="1:9" x14ac:dyDescent="0.3">
      <c r="A73" s="20"/>
      <c r="B73" s="71"/>
      <c r="C73" s="24"/>
      <c r="D73" s="24"/>
      <c r="E73" s="26"/>
      <c r="F73" s="26"/>
      <c r="G73" s="29"/>
      <c r="H73" s="29"/>
      <c r="I73" s="20"/>
    </row>
    <row r="74" spans="1:9" x14ac:dyDescent="0.3">
      <c r="A74" s="20"/>
      <c r="B74" s="71"/>
      <c r="C74" s="24"/>
      <c r="D74" s="24"/>
      <c r="E74" s="26"/>
      <c r="F74" s="26"/>
      <c r="G74" s="29"/>
      <c r="H74" s="29"/>
      <c r="I74" s="20"/>
    </row>
    <row r="75" spans="1:9" ht="15.6" x14ac:dyDescent="0.3">
      <c r="A75" s="20"/>
      <c r="H75" s="80"/>
      <c r="I75" s="20"/>
    </row>
    <row r="76" spans="1:9" x14ac:dyDescent="0.3">
      <c r="A76" s="20"/>
      <c r="H76" s="32"/>
      <c r="I76" s="20"/>
    </row>
    <row r="77" spans="1:9" x14ac:dyDescent="0.3">
      <c r="A77" s="20"/>
      <c r="I77" s="76"/>
    </row>
    <row r="78" spans="1:9" x14ac:dyDescent="0.3">
      <c r="A78" s="57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400-000000000000}"/>
  </hyperlinks>
  <pageMargins left="0.7" right="0.7" top="0.75" bottom="0.75" header="0.3" footer="0.3"/>
  <pageSetup orientation="portrait" horizontalDpi="300" verticalDpi="0" r:id="rId1"/>
  <ignoredErrors>
    <ignoredError sqref="E29:H29 E45:H45 E30:G32 E33:F37 E38:F40 E47:H48 E46:G46 E41:F44 K8:N10 K11:N11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305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41883</v>
      </c>
      <c r="C5" s="24" t="s">
        <v>23</v>
      </c>
      <c r="D5" s="26" t="s">
        <v>24</v>
      </c>
      <c r="E5" s="29">
        <v>27960</v>
      </c>
      <c r="F5" s="29">
        <v>27890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41884</v>
      </c>
      <c r="C6" s="24" t="s">
        <v>23</v>
      </c>
      <c r="D6" s="26" t="s">
        <v>24</v>
      </c>
      <c r="E6" s="29">
        <v>27880</v>
      </c>
      <c r="F6" s="29">
        <v>27700</v>
      </c>
      <c r="G6" s="29">
        <v>100</v>
      </c>
      <c r="H6" s="29">
        <v>18000</v>
      </c>
      <c r="I6" s="20"/>
      <c r="J6" s="34"/>
    </row>
    <row r="7" spans="1:14" x14ac:dyDescent="0.3">
      <c r="A7" s="20"/>
      <c r="B7" s="71">
        <v>41885</v>
      </c>
      <c r="C7" s="24" t="s">
        <v>23</v>
      </c>
      <c r="D7" s="26" t="s">
        <v>24</v>
      </c>
      <c r="E7" s="29">
        <v>27420</v>
      </c>
      <c r="F7" s="29">
        <v>27520</v>
      </c>
      <c r="G7" s="29">
        <v>100</v>
      </c>
      <c r="H7" s="29">
        <v>-10000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41886</v>
      </c>
      <c r="C8" s="24" t="s">
        <v>23</v>
      </c>
      <c r="D8" s="26" t="s">
        <v>24</v>
      </c>
      <c r="E8" s="29">
        <v>27560</v>
      </c>
      <c r="F8" s="29">
        <v>27440</v>
      </c>
      <c r="G8" s="29">
        <v>100</v>
      </c>
      <c r="H8" s="29">
        <v>12000</v>
      </c>
      <c r="I8" s="20"/>
      <c r="J8" s="34" t="s">
        <v>257</v>
      </c>
      <c r="K8" s="84" t="s">
        <v>260</v>
      </c>
      <c r="L8" s="85" t="s">
        <v>267</v>
      </c>
      <c r="M8" s="85" t="s">
        <v>264</v>
      </c>
      <c r="N8" s="85" t="s">
        <v>290</v>
      </c>
    </row>
    <row r="9" spans="1:14" x14ac:dyDescent="0.3">
      <c r="A9" s="20"/>
      <c r="B9" s="71">
        <v>41887</v>
      </c>
      <c r="C9" s="24" t="s">
        <v>23</v>
      </c>
      <c r="D9" s="26" t="s">
        <v>24</v>
      </c>
      <c r="E9" s="29">
        <v>27430</v>
      </c>
      <c r="F9" s="29">
        <v>27530</v>
      </c>
      <c r="G9" s="29">
        <v>100</v>
      </c>
      <c r="H9" s="29">
        <v>10000</v>
      </c>
      <c r="I9" s="20"/>
      <c r="J9" s="34" t="s">
        <v>258</v>
      </c>
      <c r="K9" s="85" t="s">
        <v>260</v>
      </c>
      <c r="L9" s="85" t="s">
        <v>265</v>
      </c>
      <c r="M9" s="85" t="s">
        <v>264</v>
      </c>
      <c r="N9" s="85" t="s">
        <v>262</v>
      </c>
    </row>
    <row r="10" spans="1:14" x14ac:dyDescent="0.3">
      <c r="A10" s="20"/>
      <c r="B10" s="71">
        <v>41890</v>
      </c>
      <c r="C10" s="24" t="s">
        <v>23</v>
      </c>
      <c r="D10" s="78" t="s">
        <v>24</v>
      </c>
      <c r="E10" s="26">
        <v>27400</v>
      </c>
      <c r="F10" s="29">
        <v>27200</v>
      </c>
      <c r="G10" s="29">
        <v>100</v>
      </c>
      <c r="H10" s="29">
        <v>20000</v>
      </c>
      <c r="I10" s="20"/>
      <c r="J10" s="34" t="s">
        <v>259</v>
      </c>
      <c r="K10" s="85" t="s">
        <v>260</v>
      </c>
      <c r="L10" s="85" t="s">
        <v>267</v>
      </c>
      <c r="M10" s="85" t="s">
        <v>266</v>
      </c>
      <c r="N10" s="85" t="s">
        <v>262</v>
      </c>
    </row>
    <row r="11" spans="1:14" x14ac:dyDescent="0.3">
      <c r="A11" s="20"/>
      <c r="B11" s="71">
        <v>41891</v>
      </c>
      <c r="C11" s="91" t="s">
        <v>23</v>
      </c>
      <c r="D11" s="92" t="s">
        <v>24</v>
      </c>
      <c r="E11" s="93">
        <v>27200</v>
      </c>
      <c r="F11" s="93">
        <v>27300</v>
      </c>
      <c r="G11" s="93">
        <v>100</v>
      </c>
      <c r="H11" s="93">
        <v>-10000</v>
      </c>
      <c r="I11" s="20"/>
      <c r="J11" s="34" t="s">
        <v>300</v>
      </c>
      <c r="K11" s="85" t="s">
        <v>333</v>
      </c>
      <c r="L11" s="85" t="s">
        <v>334</v>
      </c>
      <c r="M11" s="85" t="s">
        <v>335</v>
      </c>
      <c r="N11" s="85" t="s">
        <v>290</v>
      </c>
    </row>
    <row r="12" spans="1:14" x14ac:dyDescent="0.3">
      <c r="A12" s="20"/>
      <c r="B12" s="71">
        <v>41892</v>
      </c>
      <c r="C12" s="24" t="s">
        <v>23</v>
      </c>
      <c r="D12" s="26" t="s">
        <v>24</v>
      </c>
      <c r="E12" s="29">
        <v>27400</v>
      </c>
      <c r="F12" s="29">
        <v>27270</v>
      </c>
      <c r="G12" s="29">
        <v>100</v>
      </c>
      <c r="H12" s="29">
        <v>13000</v>
      </c>
      <c r="I12" s="20"/>
      <c r="J12" s="34"/>
    </row>
    <row r="13" spans="1:14" x14ac:dyDescent="0.3">
      <c r="A13" s="20"/>
      <c r="B13" s="71">
        <v>41893</v>
      </c>
      <c r="C13" s="24" t="s">
        <v>23</v>
      </c>
      <c r="D13" s="26" t="s">
        <v>24</v>
      </c>
      <c r="E13" s="29">
        <v>27160</v>
      </c>
      <c r="F13" s="29">
        <v>27020</v>
      </c>
      <c r="G13" s="29">
        <v>100</v>
      </c>
      <c r="H13" s="29">
        <v>14000</v>
      </c>
      <c r="I13" s="20"/>
      <c r="J13" s="34"/>
      <c r="K13" s="87" t="s">
        <v>336</v>
      </c>
      <c r="L13" s="88"/>
      <c r="M13" s="89"/>
    </row>
    <row r="14" spans="1:14" x14ac:dyDescent="0.3">
      <c r="A14" s="20"/>
      <c r="B14" s="71">
        <v>41894</v>
      </c>
      <c r="C14" s="24" t="s">
        <v>23</v>
      </c>
      <c r="D14" s="24" t="s">
        <v>22</v>
      </c>
      <c r="E14" s="29">
        <v>41220</v>
      </c>
      <c r="F14" s="29">
        <v>41020</v>
      </c>
      <c r="G14" s="29">
        <v>30</v>
      </c>
      <c r="H14" s="29">
        <v>6000</v>
      </c>
      <c r="I14" s="20"/>
      <c r="J14" s="34"/>
    </row>
    <row r="15" spans="1:14" x14ac:dyDescent="0.3">
      <c r="A15" s="20"/>
      <c r="B15" s="71">
        <v>41897</v>
      </c>
      <c r="C15" s="24" t="s">
        <v>23</v>
      </c>
      <c r="D15" s="26" t="s">
        <v>24</v>
      </c>
      <c r="E15" s="26">
        <v>27020</v>
      </c>
      <c r="F15" s="26">
        <v>26950</v>
      </c>
      <c r="G15" s="29">
        <v>100</v>
      </c>
      <c r="H15" s="69">
        <v>7000</v>
      </c>
      <c r="I15" s="20"/>
      <c r="J15" s="34"/>
    </row>
    <row r="16" spans="1:14" x14ac:dyDescent="0.3">
      <c r="A16" s="20"/>
      <c r="B16" s="71">
        <v>41898</v>
      </c>
      <c r="C16" s="24" t="s">
        <v>23</v>
      </c>
      <c r="D16" s="26" t="s">
        <v>24</v>
      </c>
      <c r="E16" s="26">
        <v>27060</v>
      </c>
      <c r="F16" s="26">
        <v>26950</v>
      </c>
      <c r="G16" s="29">
        <v>100</v>
      </c>
      <c r="H16" s="69">
        <v>9000</v>
      </c>
      <c r="I16" s="20"/>
      <c r="J16" s="34"/>
    </row>
    <row r="17" spans="1:10" x14ac:dyDescent="0.3">
      <c r="A17" s="20"/>
      <c r="B17" s="71">
        <v>41899</v>
      </c>
      <c r="C17" s="24" t="s">
        <v>23</v>
      </c>
      <c r="D17" s="26" t="s">
        <v>24</v>
      </c>
      <c r="E17" s="26">
        <v>26960</v>
      </c>
      <c r="F17" s="26">
        <v>26890</v>
      </c>
      <c r="G17" s="29">
        <v>100</v>
      </c>
      <c r="H17" s="69">
        <v>7000</v>
      </c>
      <c r="I17" s="20"/>
      <c r="J17" s="34"/>
    </row>
    <row r="18" spans="1:10" x14ac:dyDescent="0.3">
      <c r="A18" s="20"/>
      <c r="B18" s="71">
        <v>41900</v>
      </c>
      <c r="C18" s="24" t="s">
        <v>23</v>
      </c>
      <c r="D18" s="26" t="s">
        <v>24</v>
      </c>
      <c r="E18" s="26">
        <v>26680</v>
      </c>
      <c r="F18" s="26">
        <v>26580</v>
      </c>
      <c r="G18" s="29">
        <v>100</v>
      </c>
      <c r="H18" s="69">
        <v>10000</v>
      </c>
      <c r="I18" s="20"/>
      <c r="J18" s="34"/>
    </row>
    <row r="19" spans="1:10" x14ac:dyDescent="0.3">
      <c r="A19" s="20"/>
      <c r="B19" s="71">
        <v>41901</v>
      </c>
      <c r="C19" s="24" t="s">
        <v>23</v>
      </c>
      <c r="D19" s="26" t="s">
        <v>24</v>
      </c>
      <c r="E19" s="26">
        <v>26610</v>
      </c>
      <c r="F19" s="26">
        <v>26480</v>
      </c>
      <c r="G19" s="29">
        <v>100</v>
      </c>
      <c r="H19" s="69">
        <v>13000</v>
      </c>
      <c r="I19" s="20"/>
      <c r="J19" s="34"/>
    </row>
    <row r="20" spans="1:10" x14ac:dyDescent="0.3">
      <c r="A20" s="20"/>
      <c r="B20" s="71">
        <v>41904</v>
      </c>
      <c r="C20" s="24" t="s">
        <v>23</v>
      </c>
      <c r="D20" s="26" t="s">
        <v>24</v>
      </c>
      <c r="E20" s="26">
        <v>26350</v>
      </c>
      <c r="F20" s="26">
        <v>26440</v>
      </c>
      <c r="G20" s="29">
        <v>100</v>
      </c>
      <c r="H20" s="69">
        <v>-9000</v>
      </c>
      <c r="I20" s="20"/>
      <c r="J20" s="34"/>
    </row>
    <row r="21" spans="1:10" x14ac:dyDescent="0.3">
      <c r="A21" s="20"/>
      <c r="B21" s="71">
        <v>41905</v>
      </c>
      <c r="C21" s="24" t="s">
        <v>55</v>
      </c>
      <c r="D21" s="26" t="s">
        <v>22</v>
      </c>
      <c r="E21" s="26">
        <v>39600</v>
      </c>
      <c r="F21" s="26">
        <v>39850</v>
      </c>
      <c r="G21" s="29">
        <v>30</v>
      </c>
      <c r="H21" s="69">
        <v>7500</v>
      </c>
      <c r="I21" s="20"/>
      <c r="J21" s="34"/>
    </row>
    <row r="22" spans="1:10" x14ac:dyDescent="0.3">
      <c r="A22" s="20"/>
      <c r="B22" s="71">
        <v>41906</v>
      </c>
      <c r="C22" s="24" t="s">
        <v>23</v>
      </c>
      <c r="D22" s="26" t="s">
        <v>24</v>
      </c>
      <c r="E22" s="26">
        <v>26680</v>
      </c>
      <c r="F22" s="26">
        <v>26560</v>
      </c>
      <c r="G22" s="29">
        <v>100</v>
      </c>
      <c r="H22" s="69">
        <v>12000</v>
      </c>
      <c r="I22" s="20"/>
      <c r="J22" s="34"/>
    </row>
    <row r="23" spans="1:10" x14ac:dyDescent="0.3">
      <c r="A23" s="20"/>
      <c r="B23" s="71">
        <v>41907</v>
      </c>
      <c r="C23" s="24" t="s">
        <v>23</v>
      </c>
      <c r="D23" s="26" t="s">
        <v>24</v>
      </c>
      <c r="E23" s="26">
        <v>26440</v>
      </c>
      <c r="F23" s="26">
        <v>26540</v>
      </c>
      <c r="G23" s="29">
        <v>100</v>
      </c>
      <c r="H23" s="69">
        <v>-10000</v>
      </c>
      <c r="I23" s="20"/>
      <c r="J23" s="34"/>
    </row>
    <row r="24" spans="1:10" x14ac:dyDescent="0.3">
      <c r="A24" s="20"/>
      <c r="B24" s="71">
        <v>41908</v>
      </c>
      <c r="C24" s="24" t="s">
        <v>23</v>
      </c>
      <c r="D24" s="26" t="s">
        <v>24</v>
      </c>
      <c r="E24" s="26">
        <v>27000</v>
      </c>
      <c r="F24" s="26">
        <v>26780</v>
      </c>
      <c r="G24" s="29">
        <v>100</v>
      </c>
      <c r="H24" s="69">
        <v>22000</v>
      </c>
      <c r="I24" s="20"/>
      <c r="J24" s="34"/>
    </row>
    <row r="25" spans="1:10" ht="15.6" x14ac:dyDescent="0.3">
      <c r="A25" s="20"/>
      <c r="B25" s="71">
        <v>41911</v>
      </c>
      <c r="C25" s="24" t="s">
        <v>23</v>
      </c>
      <c r="D25" s="26" t="s">
        <v>24</v>
      </c>
      <c r="E25" s="26">
        <v>26920</v>
      </c>
      <c r="F25" s="26">
        <v>26940</v>
      </c>
      <c r="G25" s="29">
        <v>100</v>
      </c>
      <c r="H25" s="79">
        <v>-2000</v>
      </c>
      <c r="I25" s="20"/>
      <c r="J25" s="34"/>
    </row>
    <row r="26" spans="1:10" ht="15.6" x14ac:dyDescent="0.3">
      <c r="A26" s="20"/>
      <c r="B26" s="71">
        <v>41912</v>
      </c>
      <c r="C26" s="24" t="s">
        <v>23</v>
      </c>
      <c r="D26" s="26" t="s">
        <v>24</v>
      </c>
      <c r="E26" s="26">
        <v>26890</v>
      </c>
      <c r="F26" s="26">
        <v>26790</v>
      </c>
      <c r="G26" s="29">
        <v>100</v>
      </c>
      <c r="H26" s="79">
        <v>10000</v>
      </c>
      <c r="I26" s="20"/>
    </row>
    <row r="27" spans="1:10" ht="15.6" x14ac:dyDescent="0.3">
      <c r="A27" s="20"/>
      <c r="C27" s="24"/>
      <c r="D27" s="26"/>
      <c r="E27" s="26"/>
      <c r="F27" s="26"/>
      <c r="G27" s="25"/>
      <c r="H27" s="46">
        <v>156500</v>
      </c>
      <c r="I27" s="20"/>
    </row>
    <row r="28" spans="1:10" ht="15.6" x14ac:dyDescent="0.3">
      <c r="A28" s="20"/>
      <c r="C28" s="24"/>
      <c r="D28" s="26"/>
      <c r="E28" s="26"/>
      <c r="F28" s="26"/>
      <c r="G28" s="25"/>
      <c r="H28" s="46"/>
      <c r="I28" s="20"/>
    </row>
    <row r="29" spans="1:10" ht="15.6" x14ac:dyDescent="0.3">
      <c r="A29" s="20"/>
      <c r="B29" s="71"/>
      <c r="C29" s="24"/>
      <c r="D29" s="26"/>
      <c r="E29" s="26"/>
      <c r="F29" s="26"/>
      <c r="G29" s="25"/>
      <c r="H29" s="46"/>
      <c r="I29" s="20"/>
    </row>
    <row r="30" spans="1:10" ht="15.6" x14ac:dyDescent="0.3">
      <c r="A30" s="20"/>
      <c r="B30" s="71"/>
      <c r="C30" s="24"/>
      <c r="D30" s="26"/>
      <c r="E30" s="26"/>
      <c r="F30" s="26"/>
      <c r="G30" s="25"/>
      <c r="H30" s="46"/>
      <c r="I30" s="20"/>
    </row>
    <row r="31" spans="1:10" ht="15.6" x14ac:dyDescent="0.3">
      <c r="A31" s="20"/>
      <c r="B31" s="71"/>
      <c r="C31" s="24"/>
      <c r="D31" s="26"/>
      <c r="E31" s="26"/>
      <c r="F31" s="26"/>
      <c r="G31" s="25"/>
      <c r="H31" s="46"/>
      <c r="I31" s="20"/>
    </row>
    <row r="32" spans="1:10" x14ac:dyDescent="0.3">
      <c r="A32" s="20"/>
      <c r="B32" s="35"/>
      <c r="C32" s="29"/>
      <c r="D32" s="36"/>
      <c r="E32" s="36"/>
      <c r="F32" s="29"/>
      <c r="G32" s="29"/>
      <c r="H32" s="29"/>
      <c r="I32" s="20"/>
    </row>
    <row r="33" spans="1:9" ht="15.6" x14ac:dyDescent="0.3">
      <c r="A33" s="20"/>
      <c r="B33" s="61" t="s">
        <v>306</v>
      </c>
      <c r="C33" s="62"/>
      <c r="D33" s="63"/>
      <c r="E33" s="62"/>
      <c r="F33" s="62"/>
      <c r="G33" s="62"/>
      <c r="H33" s="62"/>
      <c r="I33" s="20"/>
    </row>
    <row r="34" spans="1:9" x14ac:dyDescent="0.3">
      <c r="A34" s="20"/>
      <c r="B34" s="71">
        <v>41883</v>
      </c>
      <c r="C34" s="24" t="s">
        <v>23</v>
      </c>
      <c r="D34" s="24" t="s">
        <v>25</v>
      </c>
      <c r="E34" s="49" t="s">
        <v>308</v>
      </c>
      <c r="F34" s="49" t="s">
        <v>309</v>
      </c>
      <c r="G34" s="25">
        <v>100</v>
      </c>
      <c r="H34" s="29">
        <v>2000</v>
      </c>
      <c r="I34" s="20"/>
    </row>
    <row r="35" spans="1:9" x14ac:dyDescent="0.3">
      <c r="A35" s="20"/>
      <c r="B35" s="71">
        <v>41884</v>
      </c>
      <c r="C35" s="24" t="s">
        <v>23</v>
      </c>
      <c r="D35" s="24" t="s">
        <v>25</v>
      </c>
      <c r="E35" s="83" t="s">
        <v>310</v>
      </c>
      <c r="F35" s="49" t="s">
        <v>311</v>
      </c>
      <c r="G35" s="25">
        <v>100</v>
      </c>
      <c r="H35" s="29">
        <v>5000</v>
      </c>
      <c r="I35" s="20"/>
    </row>
    <row r="36" spans="1:9" x14ac:dyDescent="0.3">
      <c r="A36" s="20"/>
      <c r="B36" s="71">
        <v>41885</v>
      </c>
      <c r="C36" s="24" t="s">
        <v>16</v>
      </c>
      <c r="D36" s="24" t="s">
        <v>25</v>
      </c>
      <c r="E36" s="49" t="s">
        <v>312</v>
      </c>
      <c r="F36" s="49" t="s">
        <v>294</v>
      </c>
      <c r="G36" s="25">
        <v>100</v>
      </c>
      <c r="H36" s="29">
        <v>2500</v>
      </c>
      <c r="I36" s="20"/>
    </row>
    <row r="37" spans="1:9" x14ac:dyDescent="0.3">
      <c r="A37" s="20"/>
      <c r="B37" s="71">
        <v>41886</v>
      </c>
      <c r="C37" s="24" t="s">
        <v>23</v>
      </c>
      <c r="D37" s="24" t="s">
        <v>25</v>
      </c>
      <c r="E37" s="49" t="s">
        <v>313</v>
      </c>
      <c r="F37" s="49" t="s">
        <v>297</v>
      </c>
      <c r="G37" s="25">
        <v>100</v>
      </c>
      <c r="H37" s="29">
        <v>4000</v>
      </c>
      <c r="I37" s="20"/>
    </row>
    <row r="38" spans="1:9" x14ac:dyDescent="0.3">
      <c r="A38" s="20"/>
      <c r="B38" s="71">
        <v>41887</v>
      </c>
      <c r="C38" s="24" t="s">
        <v>23</v>
      </c>
      <c r="D38" s="24" t="s">
        <v>25</v>
      </c>
      <c r="E38" s="49" t="s">
        <v>314</v>
      </c>
      <c r="F38" s="49" t="s">
        <v>315</v>
      </c>
      <c r="G38" s="25">
        <v>100</v>
      </c>
      <c r="H38" s="29">
        <v>5000</v>
      </c>
      <c r="I38" s="20"/>
    </row>
    <row r="39" spans="1:9" x14ac:dyDescent="0.3">
      <c r="A39" s="20"/>
      <c r="B39" s="71">
        <v>41890</v>
      </c>
      <c r="C39" s="24" t="s">
        <v>16</v>
      </c>
      <c r="D39" s="24" t="s">
        <v>25</v>
      </c>
      <c r="E39" s="83" t="s">
        <v>316</v>
      </c>
      <c r="F39" s="49" t="s">
        <v>317</v>
      </c>
      <c r="G39" s="25">
        <v>100</v>
      </c>
      <c r="H39" s="29">
        <v>2000</v>
      </c>
      <c r="I39" s="20"/>
    </row>
    <row r="40" spans="1:9" x14ac:dyDescent="0.3">
      <c r="A40" s="20"/>
      <c r="B40" s="71">
        <v>41891</v>
      </c>
      <c r="C40" s="24" t="s">
        <v>23</v>
      </c>
      <c r="D40" s="24" t="s">
        <v>25</v>
      </c>
      <c r="E40" s="49" t="s">
        <v>312</v>
      </c>
      <c r="F40" s="49" t="s">
        <v>318</v>
      </c>
      <c r="G40" s="25">
        <v>100</v>
      </c>
      <c r="H40" s="29">
        <v>4500</v>
      </c>
      <c r="I40" s="20"/>
    </row>
    <row r="41" spans="1:9" x14ac:dyDescent="0.3">
      <c r="A41" s="20"/>
      <c r="B41" s="71">
        <v>41892</v>
      </c>
      <c r="C41" s="24" t="s">
        <v>23</v>
      </c>
      <c r="D41" s="24" t="s">
        <v>25</v>
      </c>
      <c r="E41" s="49" t="s">
        <v>295</v>
      </c>
      <c r="F41" s="49" t="s">
        <v>319</v>
      </c>
      <c r="G41" s="25">
        <v>100</v>
      </c>
      <c r="H41" s="29">
        <v>5000</v>
      </c>
      <c r="I41" s="20"/>
    </row>
    <row r="42" spans="1:9" x14ac:dyDescent="0.3">
      <c r="A42" s="20"/>
      <c r="B42" s="71">
        <v>41893</v>
      </c>
      <c r="C42" s="24" t="s">
        <v>23</v>
      </c>
      <c r="D42" s="24" t="s">
        <v>25</v>
      </c>
      <c r="E42" s="49" t="s">
        <v>320</v>
      </c>
      <c r="F42" s="49" t="s">
        <v>321</v>
      </c>
      <c r="G42" s="25">
        <v>100</v>
      </c>
      <c r="H42" s="29">
        <v>3800</v>
      </c>
      <c r="I42" s="20"/>
    </row>
    <row r="43" spans="1:9" x14ac:dyDescent="0.3">
      <c r="A43" s="20"/>
      <c r="B43" s="71">
        <v>41894</v>
      </c>
      <c r="C43" s="24" t="s">
        <v>23</v>
      </c>
      <c r="D43" s="24" t="s">
        <v>25</v>
      </c>
      <c r="E43" s="49" t="s">
        <v>322</v>
      </c>
      <c r="F43" s="49" t="s">
        <v>318</v>
      </c>
      <c r="G43" s="25">
        <v>100</v>
      </c>
      <c r="H43" s="29">
        <v>3500</v>
      </c>
      <c r="I43" s="20"/>
    </row>
    <row r="44" spans="1:9" x14ac:dyDescent="0.3">
      <c r="A44" s="20"/>
      <c r="B44" s="71">
        <v>41897</v>
      </c>
      <c r="C44" s="24" t="s">
        <v>16</v>
      </c>
      <c r="D44" s="24" t="s">
        <v>25</v>
      </c>
      <c r="E44" s="49" t="s">
        <v>323</v>
      </c>
      <c r="F44" s="49" t="s">
        <v>324</v>
      </c>
      <c r="G44" s="25">
        <v>100</v>
      </c>
      <c r="H44" s="29">
        <v>2500</v>
      </c>
      <c r="I44" s="20"/>
    </row>
    <row r="45" spans="1:9" x14ac:dyDescent="0.3">
      <c r="A45" s="20"/>
      <c r="B45" s="71">
        <v>41898</v>
      </c>
      <c r="C45" s="24" t="s">
        <v>23</v>
      </c>
      <c r="D45" s="24" t="s">
        <v>25</v>
      </c>
      <c r="E45" s="49" t="s">
        <v>325</v>
      </c>
      <c r="F45" s="49" t="s">
        <v>326</v>
      </c>
      <c r="G45" s="25">
        <v>100</v>
      </c>
      <c r="H45" s="29">
        <v>-2000</v>
      </c>
      <c r="I45" s="20"/>
    </row>
    <row r="46" spans="1:9" x14ac:dyDescent="0.3">
      <c r="A46" s="20"/>
      <c r="B46" s="71">
        <v>41899</v>
      </c>
      <c r="C46" s="24" t="s">
        <v>23</v>
      </c>
      <c r="D46" s="24" t="s">
        <v>25</v>
      </c>
      <c r="E46" s="49" t="s">
        <v>327</v>
      </c>
      <c r="F46" s="49" t="s">
        <v>311</v>
      </c>
      <c r="G46" s="25">
        <v>100</v>
      </c>
      <c r="H46" s="29">
        <v>2000</v>
      </c>
      <c r="I46" s="20"/>
    </row>
    <row r="47" spans="1:9" x14ac:dyDescent="0.3">
      <c r="A47" s="20"/>
      <c r="B47" s="71">
        <v>41900</v>
      </c>
      <c r="C47" s="24" t="s">
        <v>23</v>
      </c>
      <c r="D47" s="24" t="s">
        <v>25</v>
      </c>
      <c r="E47" s="49" t="s">
        <v>328</v>
      </c>
      <c r="F47" s="49" t="s">
        <v>329</v>
      </c>
      <c r="G47" s="25">
        <v>100</v>
      </c>
      <c r="H47" s="29">
        <v>-2000</v>
      </c>
      <c r="I47" s="20"/>
    </row>
    <row r="48" spans="1:9" x14ac:dyDescent="0.3">
      <c r="A48" s="20"/>
      <c r="B48" s="71">
        <v>41901</v>
      </c>
      <c r="C48" s="24" t="s">
        <v>23</v>
      </c>
      <c r="D48" s="24" t="s">
        <v>330</v>
      </c>
      <c r="E48" s="49" t="s">
        <v>331</v>
      </c>
      <c r="F48" s="49" t="s">
        <v>316</v>
      </c>
      <c r="G48" s="25">
        <v>100</v>
      </c>
      <c r="H48" s="29">
        <v>4000</v>
      </c>
      <c r="I48" s="20"/>
    </row>
    <row r="49" spans="1:9" x14ac:dyDescent="0.3">
      <c r="A49" s="20"/>
      <c r="B49" s="71">
        <v>41904</v>
      </c>
      <c r="C49" s="24" t="s">
        <v>23</v>
      </c>
      <c r="D49" s="24" t="s">
        <v>25</v>
      </c>
      <c r="E49" s="49" t="s">
        <v>316</v>
      </c>
      <c r="F49" s="49" t="s">
        <v>317</v>
      </c>
      <c r="G49" s="25">
        <v>100</v>
      </c>
      <c r="H49" s="29">
        <v>-2000</v>
      </c>
      <c r="I49" s="20"/>
    </row>
    <row r="50" spans="1:9" x14ac:dyDescent="0.3">
      <c r="A50" s="20"/>
      <c r="B50" s="71">
        <v>41905</v>
      </c>
      <c r="C50" s="24" t="s">
        <v>16</v>
      </c>
      <c r="D50" s="24" t="s">
        <v>25</v>
      </c>
      <c r="E50" s="49" t="s">
        <v>316</v>
      </c>
      <c r="F50" s="49" t="s">
        <v>332</v>
      </c>
      <c r="G50" s="25">
        <v>100</v>
      </c>
      <c r="H50" s="29">
        <v>3000</v>
      </c>
      <c r="I50" s="20"/>
    </row>
    <row r="51" spans="1:9" x14ac:dyDescent="0.3">
      <c r="A51" s="20"/>
      <c r="B51" s="71">
        <v>41906</v>
      </c>
      <c r="C51" s="24" t="s">
        <v>23</v>
      </c>
      <c r="D51" s="24" t="s">
        <v>25</v>
      </c>
      <c r="E51" s="49" t="s">
        <v>319</v>
      </c>
      <c r="F51" s="49" t="s">
        <v>323</v>
      </c>
      <c r="G51" s="25">
        <v>100</v>
      </c>
      <c r="H51" s="29">
        <v>2000</v>
      </c>
      <c r="I51" s="20"/>
    </row>
    <row r="52" spans="1:9" x14ac:dyDescent="0.3">
      <c r="A52" s="20"/>
      <c r="B52" s="71">
        <v>41907</v>
      </c>
      <c r="C52" s="97" t="s">
        <v>23</v>
      </c>
      <c r="D52" s="97" t="s">
        <v>25</v>
      </c>
      <c r="E52" s="97">
        <v>5740</v>
      </c>
      <c r="F52" s="97">
        <v>5700</v>
      </c>
      <c r="G52" s="97">
        <v>100</v>
      </c>
      <c r="H52" s="69">
        <v>4000</v>
      </c>
      <c r="I52" s="20"/>
    </row>
    <row r="53" spans="1:9" x14ac:dyDescent="0.3">
      <c r="A53" s="20"/>
      <c r="B53" s="71">
        <v>41908</v>
      </c>
      <c r="C53" s="97" t="s">
        <v>23</v>
      </c>
      <c r="D53" s="97" t="s">
        <v>25</v>
      </c>
      <c r="E53" s="97">
        <v>5700</v>
      </c>
      <c r="F53" s="97">
        <v>5680</v>
      </c>
      <c r="G53" s="97">
        <v>100</v>
      </c>
      <c r="H53" s="69">
        <v>2000</v>
      </c>
      <c r="I53" s="20"/>
    </row>
    <row r="54" spans="1:9" x14ac:dyDescent="0.3">
      <c r="A54" s="20"/>
      <c r="B54" s="71">
        <v>41911</v>
      </c>
      <c r="C54" s="24" t="s">
        <v>16</v>
      </c>
      <c r="D54" s="97" t="s">
        <v>25</v>
      </c>
      <c r="E54" s="97">
        <v>5760</v>
      </c>
      <c r="F54" s="97">
        <v>5810</v>
      </c>
      <c r="G54" s="97">
        <v>100</v>
      </c>
      <c r="H54" s="69">
        <v>5000</v>
      </c>
      <c r="I54" s="20"/>
    </row>
    <row r="55" spans="1:9" x14ac:dyDescent="0.3">
      <c r="A55" s="20"/>
      <c r="B55" s="71">
        <v>41912</v>
      </c>
      <c r="C55" s="29" t="s">
        <v>23</v>
      </c>
      <c r="D55" s="97" t="s">
        <v>25</v>
      </c>
      <c r="E55" s="97">
        <v>5855</v>
      </c>
      <c r="F55" s="97">
        <v>5880</v>
      </c>
      <c r="G55" s="97">
        <v>100</v>
      </c>
      <c r="H55" s="69">
        <v>-2500</v>
      </c>
      <c r="I55" s="20"/>
    </row>
    <row r="56" spans="1:9" ht="15.6" x14ac:dyDescent="0.3">
      <c r="A56" s="20"/>
      <c r="B56" s="71"/>
      <c r="C56" s="29"/>
      <c r="D56" s="36"/>
      <c r="E56" s="29"/>
      <c r="F56" s="29"/>
      <c r="G56" s="29"/>
      <c r="H56" s="70">
        <v>53300</v>
      </c>
      <c r="I56" s="20"/>
    </row>
    <row r="57" spans="1:9" x14ac:dyDescent="0.3">
      <c r="A57" s="20"/>
      <c r="B57" s="71"/>
      <c r="C57" s="29"/>
      <c r="D57" s="36"/>
      <c r="E57" s="29"/>
      <c r="F57" s="29"/>
      <c r="G57" s="29"/>
      <c r="H57" s="29"/>
      <c r="I57" s="20"/>
    </row>
    <row r="58" spans="1:9" x14ac:dyDescent="0.3">
      <c r="A58" s="20"/>
      <c r="B58" s="71"/>
      <c r="C58" s="29"/>
      <c r="D58" s="36"/>
      <c r="E58" s="29"/>
      <c r="F58" s="29"/>
      <c r="G58" s="29"/>
      <c r="H58" s="29"/>
      <c r="I58" s="20"/>
    </row>
    <row r="59" spans="1:9" ht="15.6" x14ac:dyDescent="0.3">
      <c r="A59" s="20"/>
      <c r="B59" s="61" t="s">
        <v>307</v>
      </c>
      <c r="C59" s="62"/>
      <c r="D59" s="63"/>
      <c r="E59" s="62"/>
      <c r="F59" s="62"/>
      <c r="G59" s="62"/>
      <c r="H59" s="64"/>
      <c r="I59" s="20"/>
    </row>
    <row r="60" spans="1:9" x14ac:dyDescent="0.3">
      <c r="A60" s="20"/>
      <c r="B60" s="71">
        <v>41883</v>
      </c>
      <c r="C60" s="24" t="s">
        <v>23</v>
      </c>
      <c r="D60" s="24" t="s">
        <v>28</v>
      </c>
      <c r="E60" s="29">
        <v>142.80000000000001</v>
      </c>
      <c r="F60" s="29">
        <v>142.30000000000001</v>
      </c>
      <c r="G60" s="29">
        <v>5000</v>
      </c>
      <c r="H60" s="29">
        <v>2500</v>
      </c>
      <c r="I60" s="20"/>
    </row>
    <row r="61" spans="1:9" x14ac:dyDescent="0.3">
      <c r="A61" s="20"/>
      <c r="B61" s="71">
        <v>41884</v>
      </c>
      <c r="C61" s="24" t="s">
        <v>23</v>
      </c>
      <c r="D61" s="24" t="s">
        <v>27</v>
      </c>
      <c r="E61" s="29">
        <v>135.75</v>
      </c>
      <c r="F61" s="29">
        <v>135.25</v>
      </c>
      <c r="G61" s="29">
        <v>5000</v>
      </c>
      <c r="H61" s="29">
        <v>2500</v>
      </c>
      <c r="I61" s="20"/>
    </row>
    <row r="62" spans="1:9" x14ac:dyDescent="0.3">
      <c r="A62" s="20"/>
      <c r="B62" s="71">
        <v>41885</v>
      </c>
      <c r="C62" s="24" t="s">
        <v>23</v>
      </c>
      <c r="D62" s="24" t="s">
        <v>29</v>
      </c>
      <c r="E62" s="29">
        <v>426</v>
      </c>
      <c r="F62" s="29">
        <v>423</v>
      </c>
      <c r="G62" s="29">
        <v>1000</v>
      </c>
      <c r="H62" s="29">
        <v>3000</v>
      </c>
      <c r="I62" s="20"/>
    </row>
    <row r="63" spans="1:9" x14ac:dyDescent="0.3">
      <c r="A63" s="20"/>
      <c r="B63" s="71">
        <v>41886</v>
      </c>
      <c r="C63" s="24" t="s">
        <v>23</v>
      </c>
      <c r="D63" s="24" t="s">
        <v>28</v>
      </c>
      <c r="E63" s="29">
        <v>145.19999999999999</v>
      </c>
      <c r="F63" s="29">
        <v>144.69999999999999</v>
      </c>
      <c r="G63" s="29">
        <v>5000</v>
      </c>
      <c r="H63" s="29">
        <v>2500</v>
      </c>
      <c r="I63" s="20"/>
    </row>
    <row r="64" spans="1:9" x14ac:dyDescent="0.3">
      <c r="A64" s="20"/>
      <c r="B64" s="71">
        <v>41887</v>
      </c>
      <c r="C64" s="82" t="s">
        <v>23</v>
      </c>
      <c r="D64" s="82" t="s">
        <v>28</v>
      </c>
      <c r="E64" s="39">
        <v>145</v>
      </c>
      <c r="F64" s="39">
        <v>144.1</v>
      </c>
      <c r="G64" s="39">
        <v>5000</v>
      </c>
      <c r="H64" s="39">
        <v>4500</v>
      </c>
      <c r="I64" s="20"/>
    </row>
    <row r="65" spans="1:9" x14ac:dyDescent="0.3">
      <c r="A65" s="20"/>
      <c r="B65" s="71">
        <v>41890</v>
      </c>
      <c r="C65" s="24" t="s">
        <v>23</v>
      </c>
      <c r="D65" s="24" t="s">
        <v>28</v>
      </c>
      <c r="E65" s="29">
        <v>144.69999999999999</v>
      </c>
      <c r="F65" s="29">
        <v>143.69999999999999</v>
      </c>
      <c r="G65" s="29">
        <v>5000</v>
      </c>
      <c r="H65" s="29">
        <v>5000</v>
      </c>
      <c r="I65" s="20"/>
    </row>
    <row r="66" spans="1:9" x14ac:dyDescent="0.3">
      <c r="A66" s="20"/>
      <c r="B66" s="71">
        <v>41891</v>
      </c>
      <c r="C66" s="24" t="s">
        <v>23</v>
      </c>
      <c r="D66" s="24" t="s">
        <v>27</v>
      </c>
      <c r="E66" s="29">
        <v>131.75</v>
      </c>
      <c r="F66" s="29">
        <v>130.25</v>
      </c>
      <c r="G66" s="29">
        <v>5000</v>
      </c>
      <c r="H66" s="29">
        <v>7500</v>
      </c>
      <c r="I66" s="20"/>
    </row>
    <row r="67" spans="1:9" x14ac:dyDescent="0.3">
      <c r="A67" s="20"/>
      <c r="B67" s="71">
        <v>41892</v>
      </c>
      <c r="C67" s="24" t="s">
        <v>23</v>
      </c>
      <c r="D67" s="24" t="s">
        <v>27</v>
      </c>
      <c r="E67" s="29">
        <v>128.75</v>
      </c>
      <c r="F67" s="29">
        <v>128.25</v>
      </c>
      <c r="G67" s="29">
        <v>5000</v>
      </c>
      <c r="H67" s="29">
        <v>2500</v>
      </c>
      <c r="I67" s="20"/>
    </row>
    <row r="68" spans="1:9" x14ac:dyDescent="0.3">
      <c r="A68" s="20"/>
      <c r="B68" s="71">
        <v>41893</v>
      </c>
      <c r="C68" s="24" t="s">
        <v>23</v>
      </c>
      <c r="D68" s="24" t="s">
        <v>27</v>
      </c>
      <c r="E68" s="29">
        <v>128.1</v>
      </c>
      <c r="F68" s="29">
        <v>127.6</v>
      </c>
      <c r="G68" s="29">
        <v>5000</v>
      </c>
      <c r="H68" s="29">
        <v>2500</v>
      </c>
      <c r="I68" s="20"/>
    </row>
    <row r="69" spans="1:9" x14ac:dyDescent="0.3">
      <c r="A69" s="20"/>
      <c r="B69" s="71">
        <v>41894</v>
      </c>
      <c r="C69" s="24" t="s">
        <v>23</v>
      </c>
      <c r="D69" s="26" t="s">
        <v>27</v>
      </c>
      <c r="E69" s="29">
        <v>128.69999999999999</v>
      </c>
      <c r="F69" s="29">
        <v>129</v>
      </c>
      <c r="G69" s="29">
        <v>5000</v>
      </c>
      <c r="H69" s="29">
        <v>-1500</v>
      </c>
      <c r="I69" s="20"/>
    </row>
    <row r="70" spans="1:9" x14ac:dyDescent="0.3">
      <c r="A70" s="20"/>
      <c r="B70" s="71">
        <v>41897</v>
      </c>
      <c r="C70" s="24" t="s">
        <v>23</v>
      </c>
      <c r="D70" s="24" t="s">
        <v>28</v>
      </c>
      <c r="E70" s="29">
        <v>138.35</v>
      </c>
      <c r="F70" s="29">
        <v>137.85</v>
      </c>
      <c r="G70" s="29">
        <v>5000</v>
      </c>
      <c r="H70" s="29">
        <v>2500</v>
      </c>
      <c r="I70" s="20"/>
    </row>
    <row r="71" spans="1:9" x14ac:dyDescent="0.3">
      <c r="A71" s="20"/>
      <c r="B71" s="71">
        <v>41898</v>
      </c>
      <c r="C71" s="24" t="s">
        <v>16</v>
      </c>
      <c r="D71" s="24" t="s">
        <v>27</v>
      </c>
      <c r="E71" s="29">
        <v>127.5</v>
      </c>
      <c r="F71" s="29">
        <v>128.19999999999999</v>
      </c>
      <c r="G71" s="29">
        <v>5000</v>
      </c>
      <c r="H71" s="29">
        <v>3500</v>
      </c>
      <c r="I71" s="20"/>
    </row>
    <row r="72" spans="1:9" x14ac:dyDescent="0.3">
      <c r="A72" s="20"/>
      <c r="B72" s="71">
        <v>41899</v>
      </c>
      <c r="C72" s="24" t="s">
        <v>23</v>
      </c>
      <c r="D72" s="24" t="s">
        <v>27</v>
      </c>
      <c r="E72" s="29">
        <v>129.25</v>
      </c>
      <c r="F72" s="29">
        <v>127.75</v>
      </c>
      <c r="G72" s="29">
        <v>5000</v>
      </c>
      <c r="H72" s="29">
        <v>7500</v>
      </c>
      <c r="I72" s="20"/>
    </row>
    <row r="73" spans="1:9" x14ac:dyDescent="0.3">
      <c r="A73" s="20"/>
      <c r="B73" s="71">
        <v>41900</v>
      </c>
      <c r="C73" s="24" t="s">
        <v>23</v>
      </c>
      <c r="D73" s="24" t="s">
        <v>27</v>
      </c>
      <c r="E73" s="29">
        <v>127</v>
      </c>
      <c r="F73" s="29">
        <v>126.5</v>
      </c>
      <c r="G73" s="29">
        <v>5000</v>
      </c>
      <c r="H73" s="29">
        <v>2500</v>
      </c>
      <c r="I73" s="20"/>
    </row>
    <row r="74" spans="1:9" x14ac:dyDescent="0.3">
      <c r="A74" s="20"/>
      <c r="B74" s="71">
        <v>41901</v>
      </c>
      <c r="C74" s="24" t="s">
        <v>16</v>
      </c>
      <c r="D74" s="24" t="s">
        <v>27</v>
      </c>
      <c r="E74" s="29">
        <v>125.85</v>
      </c>
      <c r="F74" s="29">
        <v>126.35</v>
      </c>
      <c r="G74" s="29">
        <v>5000</v>
      </c>
      <c r="H74" s="29">
        <v>2500</v>
      </c>
      <c r="I74" s="20"/>
    </row>
    <row r="75" spans="1:9" x14ac:dyDescent="0.3">
      <c r="A75" s="20"/>
      <c r="B75" s="71">
        <v>41904</v>
      </c>
      <c r="C75" s="24" t="s">
        <v>16</v>
      </c>
      <c r="D75" s="24" t="s">
        <v>27</v>
      </c>
      <c r="E75" s="29">
        <v>124.8</v>
      </c>
      <c r="F75" s="29">
        <v>125.3</v>
      </c>
      <c r="G75" s="29">
        <v>5000</v>
      </c>
      <c r="H75" s="29">
        <v>2500</v>
      </c>
      <c r="I75" s="20"/>
    </row>
    <row r="76" spans="1:9" x14ac:dyDescent="0.3">
      <c r="A76" s="20"/>
      <c r="B76" s="71">
        <v>41905</v>
      </c>
      <c r="C76" s="24" t="s">
        <v>23</v>
      </c>
      <c r="D76" s="24" t="s">
        <v>28</v>
      </c>
      <c r="E76" s="26">
        <v>136.35</v>
      </c>
      <c r="F76" s="26">
        <v>137</v>
      </c>
      <c r="G76" s="29">
        <v>5000</v>
      </c>
      <c r="H76" s="29">
        <v>-3000</v>
      </c>
      <c r="I76" s="20"/>
    </row>
    <row r="77" spans="1:9" x14ac:dyDescent="0.3">
      <c r="A77" s="20"/>
      <c r="B77" s="71">
        <v>41906</v>
      </c>
      <c r="C77" s="24" t="s">
        <v>23</v>
      </c>
      <c r="D77" s="24" t="s">
        <v>29</v>
      </c>
      <c r="E77" s="26">
        <v>415</v>
      </c>
      <c r="F77" s="26">
        <v>412.5</v>
      </c>
      <c r="G77" s="29">
        <v>1000</v>
      </c>
      <c r="H77" s="29">
        <v>2500</v>
      </c>
      <c r="I77" s="76"/>
    </row>
    <row r="78" spans="1:9" x14ac:dyDescent="0.3">
      <c r="A78" s="57"/>
      <c r="B78" s="71">
        <v>41907</v>
      </c>
      <c r="C78" s="24" t="s">
        <v>23</v>
      </c>
      <c r="D78" s="24" t="s">
        <v>27</v>
      </c>
      <c r="E78" s="26">
        <v>126.55</v>
      </c>
      <c r="F78" s="26">
        <v>127.05</v>
      </c>
      <c r="G78" s="29">
        <v>5000</v>
      </c>
      <c r="H78" s="29">
        <v>-2500</v>
      </c>
      <c r="I78" s="57"/>
    </row>
    <row r="79" spans="1:9" x14ac:dyDescent="0.3">
      <c r="A79" s="57"/>
      <c r="B79" s="71">
        <v>41908</v>
      </c>
      <c r="C79" s="82" t="s">
        <v>16</v>
      </c>
      <c r="D79" s="82" t="s">
        <v>27</v>
      </c>
      <c r="E79" s="78">
        <v>126.9</v>
      </c>
      <c r="F79" s="78">
        <v>127.4</v>
      </c>
      <c r="G79" s="39">
        <v>5000</v>
      </c>
      <c r="H79" s="39">
        <v>2500</v>
      </c>
      <c r="I79" s="57"/>
    </row>
    <row r="80" spans="1:9" x14ac:dyDescent="0.3">
      <c r="A80" s="57"/>
      <c r="B80" s="71">
        <v>41911</v>
      </c>
      <c r="C80" s="24" t="s">
        <v>23</v>
      </c>
      <c r="D80" s="24" t="s">
        <v>27</v>
      </c>
      <c r="E80" s="26">
        <v>126.45</v>
      </c>
      <c r="F80" s="26">
        <v>126.95</v>
      </c>
      <c r="G80" s="29">
        <v>5000</v>
      </c>
      <c r="H80" s="29">
        <v>-2500</v>
      </c>
      <c r="I80" s="57"/>
    </row>
    <row r="81" spans="1:9" x14ac:dyDescent="0.3">
      <c r="A81" s="57"/>
      <c r="B81" s="71">
        <v>41912</v>
      </c>
      <c r="C81" s="82" t="s">
        <v>16</v>
      </c>
      <c r="D81" s="24" t="s">
        <v>28</v>
      </c>
      <c r="E81" s="29">
        <v>142.25</v>
      </c>
      <c r="F81" s="29">
        <v>141.75</v>
      </c>
      <c r="G81" s="29">
        <v>5000</v>
      </c>
      <c r="H81" s="29">
        <v>-2500</v>
      </c>
      <c r="I81" s="57"/>
    </row>
    <row r="82" spans="1:9" ht="15.6" x14ac:dyDescent="0.3">
      <c r="A82" s="57"/>
      <c r="H82" s="98">
        <v>46500</v>
      </c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500-000000000000}"/>
  </hyperlinks>
  <pageMargins left="0.7" right="0.7" top="0.75" bottom="0.75" header="0.3" footer="0.3"/>
  <pageSetup orientation="portrait" horizontalDpi="300" verticalDpi="0" r:id="rId1"/>
  <ignoredErrors>
    <ignoredError sqref="E34:F37 E38:F45 E46:F50 E51:F51 K8:N8 K11 K10 N10 K9 N9 N11 L9:M10 L11:M11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339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41913</v>
      </c>
      <c r="C5" s="24" t="s">
        <v>23</v>
      </c>
      <c r="D5" s="26" t="s">
        <v>24</v>
      </c>
      <c r="E5" s="29">
        <v>26810</v>
      </c>
      <c r="F5" s="29">
        <v>26910</v>
      </c>
      <c r="G5" s="29">
        <v>100</v>
      </c>
      <c r="H5" s="29">
        <v>-10000</v>
      </c>
      <c r="I5" s="20"/>
      <c r="J5" s="34"/>
    </row>
    <row r="6" spans="1:14" x14ac:dyDescent="0.3">
      <c r="A6" s="20"/>
      <c r="B6" s="71">
        <v>41919</v>
      </c>
      <c r="C6" s="24" t="s">
        <v>23</v>
      </c>
      <c r="D6" s="26" t="s">
        <v>22</v>
      </c>
      <c r="E6" s="29">
        <v>38830</v>
      </c>
      <c r="F6" s="29">
        <v>38530</v>
      </c>
      <c r="G6" s="29">
        <v>30</v>
      </c>
      <c r="H6" s="29">
        <v>9000</v>
      </c>
      <c r="I6" s="20"/>
      <c r="J6" s="34"/>
    </row>
    <row r="7" spans="1:14" x14ac:dyDescent="0.3">
      <c r="A7" s="20"/>
      <c r="B7" s="71">
        <v>41920</v>
      </c>
      <c r="C7" s="24" t="s">
        <v>23</v>
      </c>
      <c r="D7" s="26" t="s">
        <v>24</v>
      </c>
      <c r="E7" s="29">
        <v>26960</v>
      </c>
      <c r="F7" s="29">
        <v>26750</v>
      </c>
      <c r="G7" s="29">
        <v>100</v>
      </c>
      <c r="H7" s="29">
        <v>21000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41921</v>
      </c>
      <c r="C8" s="24" t="s">
        <v>23</v>
      </c>
      <c r="D8" s="26" t="s">
        <v>24</v>
      </c>
      <c r="E8" s="29">
        <v>26940</v>
      </c>
      <c r="F8" s="29">
        <v>26870</v>
      </c>
      <c r="G8" s="29">
        <v>100</v>
      </c>
      <c r="H8" s="29">
        <v>7000</v>
      </c>
      <c r="I8" s="20"/>
      <c r="J8" s="34" t="s">
        <v>257</v>
      </c>
      <c r="K8" s="84" t="s">
        <v>291</v>
      </c>
      <c r="L8" s="85" t="s">
        <v>270</v>
      </c>
      <c r="M8" s="85" t="s">
        <v>299</v>
      </c>
      <c r="N8" s="85" t="s">
        <v>262</v>
      </c>
    </row>
    <row r="9" spans="1:14" x14ac:dyDescent="0.3">
      <c r="A9" s="20"/>
      <c r="B9" s="71">
        <v>41922</v>
      </c>
      <c r="C9" s="24" t="s">
        <v>23</v>
      </c>
      <c r="D9" s="26" t="s">
        <v>24</v>
      </c>
      <c r="E9" s="29">
        <v>26880</v>
      </c>
      <c r="F9" s="29">
        <v>26980</v>
      </c>
      <c r="G9" s="29">
        <v>100</v>
      </c>
      <c r="H9" s="29">
        <v>-10000</v>
      </c>
      <c r="I9" s="20"/>
      <c r="J9" s="34" t="s">
        <v>258</v>
      </c>
      <c r="K9" s="85" t="s">
        <v>291</v>
      </c>
      <c r="L9" s="85" t="s">
        <v>270</v>
      </c>
      <c r="M9" s="85" t="s">
        <v>299</v>
      </c>
      <c r="N9" s="85" t="s">
        <v>262</v>
      </c>
    </row>
    <row r="10" spans="1:14" x14ac:dyDescent="0.3">
      <c r="A10" s="20"/>
      <c r="B10" s="71">
        <v>41925</v>
      </c>
      <c r="C10" s="24" t="s">
        <v>23</v>
      </c>
      <c r="D10" s="78" t="s">
        <v>24</v>
      </c>
      <c r="E10" s="29">
        <v>27180</v>
      </c>
      <c r="F10" s="29">
        <v>27050</v>
      </c>
      <c r="G10" s="29">
        <v>100</v>
      </c>
      <c r="H10" s="29">
        <v>13000</v>
      </c>
      <c r="I10" s="20"/>
      <c r="J10" s="34" t="s">
        <v>259</v>
      </c>
      <c r="K10" s="85" t="s">
        <v>291</v>
      </c>
      <c r="L10" s="85" t="s">
        <v>335</v>
      </c>
      <c r="M10" s="85" t="s">
        <v>290</v>
      </c>
      <c r="N10" s="85" t="s">
        <v>262</v>
      </c>
    </row>
    <row r="11" spans="1:14" x14ac:dyDescent="0.3">
      <c r="A11" s="20"/>
      <c r="B11" s="71">
        <v>41926</v>
      </c>
      <c r="C11" s="91" t="s">
        <v>55</v>
      </c>
      <c r="D11" s="92" t="s">
        <v>24</v>
      </c>
      <c r="E11" s="93">
        <v>27220</v>
      </c>
      <c r="F11" s="93">
        <v>27290</v>
      </c>
      <c r="G11" s="93">
        <v>100</v>
      </c>
      <c r="H11" s="93">
        <v>7000</v>
      </c>
      <c r="I11" s="20"/>
      <c r="J11" s="34" t="s">
        <v>300</v>
      </c>
      <c r="K11" s="85" t="s">
        <v>301</v>
      </c>
      <c r="L11" s="85" t="s">
        <v>364</v>
      </c>
      <c r="M11" s="85" t="s">
        <v>302</v>
      </c>
      <c r="N11" s="85" t="s">
        <v>262</v>
      </c>
    </row>
    <row r="12" spans="1:14" x14ac:dyDescent="0.3">
      <c r="A12" s="20"/>
      <c r="B12" s="71">
        <v>41928</v>
      </c>
      <c r="C12" s="24" t="s">
        <v>23</v>
      </c>
      <c r="D12" s="26" t="s">
        <v>24</v>
      </c>
      <c r="E12" s="29">
        <v>27360</v>
      </c>
      <c r="F12" s="29">
        <v>27460</v>
      </c>
      <c r="G12" s="29">
        <v>100</v>
      </c>
      <c r="H12" s="29">
        <v>-10000</v>
      </c>
      <c r="I12" s="20"/>
      <c r="J12" s="34"/>
    </row>
    <row r="13" spans="1:14" x14ac:dyDescent="0.3">
      <c r="A13" s="20"/>
      <c r="B13" s="71">
        <v>41929</v>
      </c>
      <c r="C13" s="24" t="s">
        <v>23</v>
      </c>
      <c r="D13" s="24" t="s">
        <v>24</v>
      </c>
      <c r="E13" s="29">
        <v>27400</v>
      </c>
      <c r="F13" s="29">
        <v>27280</v>
      </c>
      <c r="G13" s="29">
        <v>100</v>
      </c>
      <c r="H13" s="29">
        <v>12000</v>
      </c>
      <c r="I13" s="20"/>
      <c r="J13" s="34"/>
      <c r="K13" s="87" t="s">
        <v>365</v>
      </c>
      <c r="L13" s="88"/>
      <c r="M13" s="89"/>
    </row>
    <row r="14" spans="1:14" x14ac:dyDescent="0.3">
      <c r="A14" s="20"/>
      <c r="B14" s="71">
        <v>41932</v>
      </c>
      <c r="C14" s="24" t="s">
        <v>16</v>
      </c>
      <c r="D14" s="26" t="s">
        <v>24</v>
      </c>
      <c r="E14" s="29">
        <v>27350</v>
      </c>
      <c r="F14" s="29">
        <v>27460</v>
      </c>
      <c r="G14" s="29">
        <v>100</v>
      </c>
      <c r="H14" s="69">
        <v>11000</v>
      </c>
      <c r="I14" s="20"/>
      <c r="J14" s="34"/>
    </row>
    <row r="15" spans="1:14" x14ac:dyDescent="0.3">
      <c r="A15" s="20"/>
      <c r="B15" s="71">
        <v>41933</v>
      </c>
      <c r="C15" s="24" t="s">
        <v>16</v>
      </c>
      <c r="D15" s="26" t="s">
        <v>24</v>
      </c>
      <c r="E15" s="29">
        <v>27580</v>
      </c>
      <c r="F15" s="29">
        <v>27620</v>
      </c>
      <c r="G15" s="29">
        <v>100</v>
      </c>
      <c r="H15" s="69">
        <v>4000</v>
      </c>
      <c r="I15" s="20"/>
      <c r="J15" s="34"/>
    </row>
    <row r="16" spans="1:14" x14ac:dyDescent="0.3">
      <c r="A16" s="20"/>
      <c r="B16" s="71">
        <v>41934</v>
      </c>
      <c r="C16" s="24" t="s">
        <v>23</v>
      </c>
      <c r="D16" s="26" t="s">
        <v>24</v>
      </c>
      <c r="E16" s="29">
        <v>27500</v>
      </c>
      <c r="F16" s="29">
        <v>27350</v>
      </c>
      <c r="G16" s="29">
        <v>100</v>
      </c>
      <c r="H16" s="69">
        <v>15000</v>
      </c>
      <c r="I16" s="20"/>
      <c r="J16" s="34"/>
    </row>
    <row r="17" spans="1:10" x14ac:dyDescent="0.3">
      <c r="A17" s="20"/>
      <c r="B17" s="71">
        <v>41942</v>
      </c>
      <c r="C17" s="24" t="s">
        <v>23</v>
      </c>
      <c r="D17" s="26" t="s">
        <v>24</v>
      </c>
      <c r="E17" s="29">
        <v>26790</v>
      </c>
      <c r="F17" s="29">
        <v>26580</v>
      </c>
      <c r="G17" s="29">
        <v>100</v>
      </c>
      <c r="H17" s="69">
        <v>21000</v>
      </c>
      <c r="I17" s="20"/>
      <c r="J17" s="34"/>
    </row>
    <row r="18" spans="1:10" x14ac:dyDescent="0.3">
      <c r="A18" s="20"/>
      <c r="B18" s="71">
        <v>41943</v>
      </c>
      <c r="C18" s="24" t="s">
        <v>23</v>
      </c>
      <c r="D18" s="26" t="s">
        <v>24</v>
      </c>
      <c r="E18" s="29">
        <v>26450</v>
      </c>
      <c r="F18" s="29">
        <v>26220</v>
      </c>
      <c r="G18" s="29">
        <v>100</v>
      </c>
      <c r="H18" s="69">
        <v>22000</v>
      </c>
      <c r="I18" s="20"/>
      <c r="J18" s="34"/>
    </row>
    <row r="19" spans="1:10" ht="15.6" x14ac:dyDescent="0.3">
      <c r="A19" s="20"/>
      <c r="B19" s="71"/>
      <c r="C19" s="24"/>
      <c r="D19" s="26"/>
      <c r="E19" s="26"/>
      <c r="F19" s="26"/>
      <c r="G19" s="29"/>
      <c r="H19" s="96">
        <v>112000</v>
      </c>
      <c r="I19" s="20"/>
      <c r="J19" s="34"/>
    </row>
    <row r="20" spans="1:10" x14ac:dyDescent="0.3">
      <c r="A20" s="20"/>
      <c r="B20" s="71"/>
      <c r="C20" s="24"/>
      <c r="D20" s="26"/>
      <c r="E20" s="26"/>
      <c r="F20" s="26"/>
      <c r="G20" s="29"/>
      <c r="H20" s="69"/>
      <c r="I20" s="20"/>
      <c r="J20" s="34"/>
    </row>
    <row r="21" spans="1:10" ht="15.6" x14ac:dyDescent="0.3">
      <c r="A21" s="20"/>
      <c r="B21" s="71"/>
      <c r="C21" s="24"/>
      <c r="D21" s="26"/>
      <c r="E21" s="26"/>
      <c r="F21" s="26"/>
      <c r="G21" s="29"/>
      <c r="H21" s="79"/>
      <c r="I21" s="20"/>
      <c r="J21" s="34"/>
    </row>
    <row r="22" spans="1:10" ht="15.6" x14ac:dyDescent="0.3">
      <c r="A22" s="20"/>
      <c r="B22" s="71"/>
      <c r="C22" s="24"/>
      <c r="D22" s="26"/>
      <c r="E22" s="26"/>
      <c r="F22" s="26"/>
      <c r="G22" s="29"/>
      <c r="H22" s="79"/>
      <c r="I22" s="20"/>
      <c r="J22" s="34"/>
    </row>
    <row r="23" spans="1:10" ht="15.6" x14ac:dyDescent="0.3">
      <c r="A23" s="20"/>
      <c r="C23" s="24"/>
      <c r="D23" s="26"/>
      <c r="E23" s="26"/>
      <c r="F23" s="26"/>
      <c r="G23" s="25"/>
      <c r="H23" s="46"/>
      <c r="I23" s="20"/>
      <c r="J23" s="34"/>
    </row>
    <row r="24" spans="1:10" ht="15.6" x14ac:dyDescent="0.3">
      <c r="A24" s="20"/>
      <c r="C24" s="24"/>
      <c r="D24" s="26"/>
      <c r="E24" s="26"/>
      <c r="F24" s="26"/>
      <c r="G24" s="25"/>
      <c r="H24" s="46"/>
      <c r="I24" s="20"/>
      <c r="J24" s="34"/>
    </row>
    <row r="25" spans="1:10" ht="15.6" x14ac:dyDescent="0.3">
      <c r="A25" s="20"/>
      <c r="B25" s="71"/>
      <c r="C25" s="24"/>
      <c r="D25" s="26"/>
      <c r="E25" s="26"/>
      <c r="F25" s="26"/>
      <c r="G25" s="25"/>
      <c r="H25" s="46"/>
      <c r="I25" s="20"/>
      <c r="J25" s="34"/>
    </row>
    <row r="26" spans="1:10" ht="15.6" x14ac:dyDescent="0.3">
      <c r="A26" s="20"/>
      <c r="B26" s="71"/>
      <c r="C26" s="24"/>
      <c r="D26" s="26"/>
      <c r="E26" s="26"/>
      <c r="F26" s="26"/>
      <c r="G26" s="25"/>
      <c r="H26" s="46"/>
      <c r="I26" s="20"/>
    </row>
    <row r="27" spans="1:10" ht="15.6" x14ac:dyDescent="0.3">
      <c r="A27" s="20"/>
      <c r="B27" s="71"/>
      <c r="C27" s="24"/>
      <c r="D27" s="26"/>
      <c r="E27" s="26"/>
      <c r="F27" s="26"/>
      <c r="G27" s="25"/>
      <c r="H27" s="46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338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41913</v>
      </c>
      <c r="C30" s="24" t="s">
        <v>23</v>
      </c>
      <c r="D30" s="24" t="s">
        <v>25</v>
      </c>
      <c r="E30" s="49" t="s">
        <v>342</v>
      </c>
      <c r="F30" s="49" t="s">
        <v>343</v>
      </c>
      <c r="G30" s="25">
        <v>100</v>
      </c>
      <c r="H30" s="29">
        <v>-2500</v>
      </c>
      <c r="I30" s="20"/>
    </row>
    <row r="31" spans="1:10" x14ac:dyDescent="0.3">
      <c r="A31" s="20"/>
      <c r="B31" s="71">
        <v>41919</v>
      </c>
      <c r="C31" s="24" t="s">
        <v>23</v>
      </c>
      <c r="D31" s="24" t="s">
        <v>25</v>
      </c>
      <c r="E31" s="83" t="s">
        <v>340</v>
      </c>
      <c r="F31" s="49" t="s">
        <v>341</v>
      </c>
      <c r="G31" s="25">
        <v>100</v>
      </c>
      <c r="H31" s="29">
        <v>-2000</v>
      </c>
      <c r="I31" s="20"/>
    </row>
    <row r="32" spans="1:10" x14ac:dyDescent="0.3">
      <c r="A32" s="20"/>
      <c r="B32" s="71">
        <v>41920</v>
      </c>
      <c r="C32" s="24" t="s">
        <v>23</v>
      </c>
      <c r="D32" s="24" t="s">
        <v>25</v>
      </c>
      <c r="E32" s="49" t="s">
        <v>344</v>
      </c>
      <c r="F32" s="49" t="s">
        <v>345</v>
      </c>
      <c r="G32" s="25">
        <v>100</v>
      </c>
      <c r="H32" s="29">
        <v>4500</v>
      </c>
      <c r="I32" s="20"/>
    </row>
    <row r="33" spans="1:9" x14ac:dyDescent="0.3">
      <c r="A33" s="20"/>
      <c r="B33" s="71">
        <v>41921</v>
      </c>
      <c r="C33" s="24" t="s">
        <v>23</v>
      </c>
      <c r="D33" s="24" t="s">
        <v>25</v>
      </c>
      <c r="E33" s="49" t="s">
        <v>346</v>
      </c>
      <c r="F33" s="49" t="s">
        <v>347</v>
      </c>
      <c r="G33" s="25">
        <v>100</v>
      </c>
      <c r="H33" s="29">
        <v>3000</v>
      </c>
      <c r="I33" s="20"/>
    </row>
    <row r="34" spans="1:9" x14ac:dyDescent="0.3">
      <c r="A34" s="20"/>
      <c r="B34" s="71">
        <v>41922</v>
      </c>
      <c r="C34" s="24" t="s">
        <v>16</v>
      </c>
      <c r="D34" s="24" t="s">
        <v>25</v>
      </c>
      <c r="E34" s="49" t="s">
        <v>348</v>
      </c>
      <c r="F34" s="49" t="s">
        <v>349</v>
      </c>
      <c r="G34" s="25">
        <v>100</v>
      </c>
      <c r="H34" s="29">
        <v>4500</v>
      </c>
      <c r="I34" s="20"/>
    </row>
    <row r="35" spans="1:9" x14ac:dyDescent="0.3">
      <c r="A35" s="20"/>
      <c r="B35" s="71">
        <v>41925</v>
      </c>
      <c r="C35" s="24" t="s">
        <v>23</v>
      </c>
      <c r="D35" s="24" t="s">
        <v>25</v>
      </c>
      <c r="E35" s="83" t="s">
        <v>350</v>
      </c>
      <c r="F35" s="49" t="s">
        <v>351</v>
      </c>
      <c r="G35" s="25">
        <v>100</v>
      </c>
      <c r="H35" s="29">
        <v>3000</v>
      </c>
      <c r="I35" s="20"/>
    </row>
    <row r="36" spans="1:9" x14ac:dyDescent="0.3">
      <c r="A36" s="20"/>
      <c r="B36" s="71">
        <v>41926</v>
      </c>
      <c r="C36" s="24" t="s">
        <v>23</v>
      </c>
      <c r="D36" s="24" t="s">
        <v>25</v>
      </c>
      <c r="E36" s="49" t="s">
        <v>352</v>
      </c>
      <c r="F36" s="49" t="s">
        <v>353</v>
      </c>
      <c r="G36" s="25">
        <v>100</v>
      </c>
      <c r="H36" s="29">
        <v>-2500</v>
      </c>
      <c r="I36" s="20"/>
    </row>
    <row r="37" spans="1:9" x14ac:dyDescent="0.3">
      <c r="A37" s="20"/>
      <c r="B37" s="71">
        <v>41928</v>
      </c>
      <c r="C37" s="24" t="s">
        <v>23</v>
      </c>
      <c r="D37" s="24" t="s">
        <v>25</v>
      </c>
      <c r="E37" s="49" t="s">
        <v>354</v>
      </c>
      <c r="F37" s="49" t="s">
        <v>355</v>
      </c>
      <c r="G37" s="25">
        <v>100</v>
      </c>
      <c r="H37" s="29">
        <v>2000</v>
      </c>
      <c r="I37" s="20"/>
    </row>
    <row r="38" spans="1:9" x14ac:dyDescent="0.3">
      <c r="A38" s="20"/>
      <c r="B38" s="71">
        <v>41929</v>
      </c>
      <c r="C38" s="24" t="s">
        <v>23</v>
      </c>
      <c r="D38" s="24" t="s">
        <v>25</v>
      </c>
      <c r="E38" s="49" t="s">
        <v>356</v>
      </c>
      <c r="F38" s="49" t="s">
        <v>357</v>
      </c>
      <c r="G38" s="25">
        <v>100</v>
      </c>
      <c r="H38" s="29">
        <v>5000</v>
      </c>
      <c r="I38" s="20"/>
    </row>
    <row r="39" spans="1:9" x14ac:dyDescent="0.3">
      <c r="A39" s="20"/>
      <c r="B39" s="71">
        <v>41932</v>
      </c>
      <c r="C39" s="24" t="s">
        <v>23</v>
      </c>
      <c r="D39" s="24" t="s">
        <v>25</v>
      </c>
      <c r="E39" s="49" t="s">
        <v>358</v>
      </c>
      <c r="F39" s="49" t="s">
        <v>359</v>
      </c>
      <c r="G39" s="25">
        <v>100</v>
      </c>
      <c r="H39" s="29">
        <v>3000</v>
      </c>
      <c r="I39" s="20"/>
    </row>
    <row r="40" spans="1:9" x14ac:dyDescent="0.3">
      <c r="A40" s="20"/>
      <c r="B40" s="71">
        <v>41933</v>
      </c>
      <c r="C40" s="24" t="s">
        <v>23</v>
      </c>
      <c r="D40" s="24" t="s">
        <v>25</v>
      </c>
      <c r="E40" s="49" t="s">
        <v>360</v>
      </c>
      <c r="F40" s="49" t="s">
        <v>361</v>
      </c>
      <c r="G40" s="25">
        <v>100</v>
      </c>
      <c r="H40" s="29">
        <v>3000</v>
      </c>
      <c r="I40" s="20"/>
    </row>
    <row r="41" spans="1:9" x14ac:dyDescent="0.3">
      <c r="A41" s="20"/>
      <c r="B41" s="71">
        <v>41934</v>
      </c>
      <c r="C41" s="24" t="s">
        <v>23</v>
      </c>
      <c r="D41" s="24" t="s">
        <v>25</v>
      </c>
      <c r="E41" s="49" t="s">
        <v>360</v>
      </c>
      <c r="F41" s="49" t="s">
        <v>359</v>
      </c>
      <c r="G41" s="25">
        <v>100</v>
      </c>
      <c r="H41" s="29">
        <v>2000</v>
      </c>
      <c r="I41" s="20"/>
    </row>
    <row r="42" spans="1:9" x14ac:dyDescent="0.3">
      <c r="A42" s="20"/>
      <c r="B42" s="71">
        <v>41942</v>
      </c>
      <c r="C42" s="24" t="s">
        <v>23</v>
      </c>
      <c r="D42" s="24" t="s">
        <v>25</v>
      </c>
      <c r="E42" s="49" t="s">
        <v>361</v>
      </c>
      <c r="F42" s="49" t="s">
        <v>362</v>
      </c>
      <c r="G42" s="25">
        <v>100</v>
      </c>
      <c r="H42" s="29">
        <v>4500</v>
      </c>
      <c r="I42" s="20"/>
    </row>
    <row r="43" spans="1:9" x14ac:dyDescent="0.3">
      <c r="A43" s="20"/>
      <c r="B43" s="71">
        <v>41943</v>
      </c>
      <c r="C43" s="24" t="s">
        <v>23</v>
      </c>
      <c r="D43" s="24" t="s">
        <v>25</v>
      </c>
      <c r="E43" s="49" t="s">
        <v>354</v>
      </c>
      <c r="F43" s="49" t="s">
        <v>363</v>
      </c>
      <c r="G43" s="25">
        <v>100</v>
      </c>
      <c r="H43" s="29">
        <v>3000</v>
      </c>
      <c r="I43" s="20"/>
    </row>
    <row r="44" spans="1:9" ht="15.6" x14ac:dyDescent="0.3">
      <c r="A44" s="20"/>
      <c r="B44" s="71"/>
      <c r="C44" s="97"/>
      <c r="D44" s="97"/>
      <c r="E44" s="97"/>
      <c r="F44" s="97"/>
      <c r="G44" s="97"/>
      <c r="H44" s="96">
        <v>30500</v>
      </c>
      <c r="I44" s="20"/>
    </row>
    <row r="45" spans="1:9" x14ac:dyDescent="0.3">
      <c r="A45" s="20"/>
      <c r="B45" s="71"/>
      <c r="C45" s="97"/>
      <c r="D45" s="97"/>
      <c r="E45" s="97"/>
      <c r="F45" s="97"/>
      <c r="G45" s="97"/>
      <c r="H45" s="69"/>
      <c r="I45" s="20"/>
    </row>
    <row r="46" spans="1:9" x14ac:dyDescent="0.3">
      <c r="A46" s="20"/>
      <c r="B46" s="71"/>
      <c r="C46" s="24"/>
      <c r="D46" s="97"/>
      <c r="E46" s="97"/>
      <c r="F46" s="97"/>
      <c r="G46" s="97"/>
      <c r="H46" s="69"/>
      <c r="I46" s="20"/>
    </row>
    <row r="47" spans="1:9" x14ac:dyDescent="0.3">
      <c r="A47" s="20"/>
      <c r="B47" s="71"/>
      <c r="C47" s="29"/>
      <c r="D47" s="97"/>
      <c r="E47" s="97"/>
      <c r="F47" s="97"/>
      <c r="G47" s="97"/>
      <c r="H47" s="69"/>
      <c r="I47" s="20"/>
    </row>
    <row r="48" spans="1:9" ht="15.6" x14ac:dyDescent="0.3">
      <c r="A48" s="20"/>
      <c r="B48" s="71"/>
      <c r="C48" s="29"/>
      <c r="D48" s="36"/>
      <c r="E48" s="29"/>
      <c r="F48" s="29"/>
      <c r="G48" s="29"/>
      <c r="H48" s="70"/>
      <c r="I48" s="20"/>
    </row>
    <row r="49" spans="1:9" x14ac:dyDescent="0.3">
      <c r="A49" s="20"/>
      <c r="B49" s="71"/>
      <c r="C49" s="29"/>
      <c r="D49" s="36"/>
      <c r="E49" s="29"/>
      <c r="F49" s="29"/>
      <c r="G49" s="29"/>
      <c r="H49" s="29"/>
      <c r="I49" s="20"/>
    </row>
    <row r="50" spans="1:9" x14ac:dyDescent="0.3">
      <c r="A50" s="20"/>
      <c r="B50" s="71"/>
      <c r="C50" s="29"/>
      <c r="D50" s="36"/>
      <c r="E50" s="29"/>
      <c r="F50" s="29"/>
      <c r="G50" s="29"/>
      <c r="H50" s="29"/>
      <c r="I50" s="20"/>
    </row>
    <row r="51" spans="1:9" ht="15.6" x14ac:dyDescent="0.3">
      <c r="A51" s="20"/>
      <c r="B51" s="61" t="s">
        <v>337</v>
      </c>
      <c r="C51" s="62"/>
      <c r="D51" s="63"/>
      <c r="E51" s="62"/>
      <c r="F51" s="62"/>
      <c r="G51" s="62"/>
      <c r="H51" s="64"/>
      <c r="I51" s="20"/>
    </row>
    <row r="52" spans="1:9" x14ac:dyDescent="0.3">
      <c r="A52" s="20"/>
      <c r="B52" s="71">
        <v>41913</v>
      </c>
      <c r="C52" s="24" t="s">
        <v>23</v>
      </c>
      <c r="D52" s="24" t="s">
        <v>27</v>
      </c>
      <c r="E52" s="29">
        <v>128.35</v>
      </c>
      <c r="F52" s="29">
        <v>128.85</v>
      </c>
      <c r="G52" s="29">
        <v>5000</v>
      </c>
      <c r="H52" s="29">
        <v>-2500</v>
      </c>
      <c r="I52" s="20"/>
    </row>
    <row r="53" spans="1:9" x14ac:dyDescent="0.3">
      <c r="A53" s="20"/>
      <c r="B53" s="71">
        <v>41919</v>
      </c>
      <c r="C53" s="24" t="s">
        <v>23</v>
      </c>
      <c r="D53" s="24" t="s">
        <v>56</v>
      </c>
      <c r="E53" s="29">
        <v>117.7</v>
      </c>
      <c r="F53" s="29">
        <v>117.2</v>
      </c>
      <c r="G53" s="29">
        <v>5000</v>
      </c>
      <c r="H53" s="29">
        <v>2500</v>
      </c>
      <c r="I53" s="20"/>
    </row>
    <row r="54" spans="1:9" x14ac:dyDescent="0.3">
      <c r="A54" s="20"/>
      <c r="B54" s="71">
        <v>41920</v>
      </c>
      <c r="C54" s="24" t="s">
        <v>23</v>
      </c>
      <c r="D54" s="24" t="s">
        <v>29</v>
      </c>
      <c r="E54" s="29">
        <v>414</v>
      </c>
      <c r="F54" s="29">
        <v>411</v>
      </c>
      <c r="G54" s="29">
        <v>1000</v>
      </c>
      <c r="H54" s="29">
        <v>3000</v>
      </c>
      <c r="I54" s="20"/>
    </row>
    <row r="55" spans="1:9" x14ac:dyDescent="0.3">
      <c r="A55" s="20"/>
      <c r="B55" s="71">
        <v>41921</v>
      </c>
      <c r="C55" s="24" t="s">
        <v>23</v>
      </c>
      <c r="D55" s="24" t="s">
        <v>27</v>
      </c>
      <c r="E55" s="29">
        <v>127.95</v>
      </c>
      <c r="F55" s="29">
        <v>127.45</v>
      </c>
      <c r="G55" s="29">
        <v>5000</v>
      </c>
      <c r="H55" s="29">
        <v>2500</v>
      </c>
      <c r="I55" s="20"/>
    </row>
    <row r="56" spans="1:9" x14ac:dyDescent="0.3">
      <c r="A56" s="20"/>
      <c r="B56" s="71">
        <v>41922</v>
      </c>
      <c r="C56" s="82" t="s">
        <v>23</v>
      </c>
      <c r="D56" s="82" t="s">
        <v>27</v>
      </c>
      <c r="E56" s="39">
        <v>126.65</v>
      </c>
      <c r="F56" s="39">
        <v>126.15</v>
      </c>
      <c r="G56" s="39">
        <v>5000</v>
      </c>
      <c r="H56" s="39">
        <v>2500</v>
      </c>
      <c r="I56" s="20"/>
    </row>
    <row r="57" spans="1:9" x14ac:dyDescent="0.3">
      <c r="A57" s="20"/>
      <c r="B57" s="71">
        <v>41925</v>
      </c>
      <c r="C57" s="24" t="s">
        <v>23</v>
      </c>
      <c r="D57" s="24" t="s">
        <v>27</v>
      </c>
      <c r="E57" s="29">
        <v>127</v>
      </c>
      <c r="F57" s="29">
        <v>126</v>
      </c>
      <c r="G57" s="29">
        <v>5000</v>
      </c>
      <c r="H57" s="29">
        <v>5000</v>
      </c>
      <c r="I57" s="20"/>
    </row>
    <row r="58" spans="1:9" x14ac:dyDescent="0.3">
      <c r="A58" s="20"/>
      <c r="B58" s="71">
        <v>41926</v>
      </c>
      <c r="C58" s="24" t="s">
        <v>23</v>
      </c>
      <c r="D58" s="24" t="s">
        <v>35</v>
      </c>
      <c r="E58" s="29">
        <v>1006</v>
      </c>
      <c r="F58" s="29">
        <v>998</v>
      </c>
      <c r="G58" s="29">
        <v>250</v>
      </c>
      <c r="H58" s="29">
        <v>2000</v>
      </c>
      <c r="I58" s="20"/>
    </row>
    <row r="59" spans="1:9" x14ac:dyDescent="0.3">
      <c r="A59" s="20"/>
      <c r="B59" s="71">
        <v>41928</v>
      </c>
      <c r="C59" s="24" t="s">
        <v>16</v>
      </c>
      <c r="D59" s="24" t="s">
        <v>27</v>
      </c>
      <c r="E59" s="29">
        <v>121.6</v>
      </c>
      <c r="F59" s="29">
        <v>122.1</v>
      </c>
      <c r="G59" s="29">
        <v>5000</v>
      </c>
      <c r="H59" s="29">
        <v>2500</v>
      </c>
      <c r="I59" s="20"/>
    </row>
    <row r="60" spans="1:9" x14ac:dyDescent="0.3">
      <c r="A60" s="20"/>
      <c r="B60" s="71">
        <v>41929</v>
      </c>
      <c r="C60" s="24" t="s">
        <v>23</v>
      </c>
      <c r="D60" s="26" t="s">
        <v>27</v>
      </c>
      <c r="E60" s="29">
        <v>122.15</v>
      </c>
      <c r="F60" s="29">
        <v>121.65</v>
      </c>
      <c r="G60" s="29">
        <v>5000</v>
      </c>
      <c r="H60" s="29">
        <v>2500</v>
      </c>
      <c r="I60" s="20"/>
    </row>
    <row r="61" spans="1:9" x14ac:dyDescent="0.3">
      <c r="A61" s="20"/>
      <c r="B61" s="71">
        <v>41932</v>
      </c>
      <c r="C61" s="24" t="s">
        <v>23</v>
      </c>
      <c r="D61" s="24" t="s">
        <v>27</v>
      </c>
      <c r="E61" s="29">
        <v>137.4</v>
      </c>
      <c r="F61" s="29">
        <v>136.5</v>
      </c>
      <c r="G61" s="29">
        <v>500</v>
      </c>
      <c r="H61" s="29">
        <v>4500</v>
      </c>
      <c r="I61" s="20"/>
    </row>
    <row r="62" spans="1:9" x14ac:dyDescent="0.3">
      <c r="A62" s="20"/>
      <c r="B62" s="71">
        <v>41933</v>
      </c>
      <c r="C62" s="24" t="s">
        <v>23</v>
      </c>
      <c r="D62" s="24" t="s">
        <v>27</v>
      </c>
      <c r="E62" s="29">
        <v>134.69999999999999</v>
      </c>
      <c r="F62" s="29">
        <v>133.19999999999999</v>
      </c>
      <c r="G62" s="29">
        <v>5000</v>
      </c>
      <c r="H62" s="29">
        <v>7500</v>
      </c>
      <c r="I62" s="20"/>
    </row>
    <row r="63" spans="1:9" x14ac:dyDescent="0.3">
      <c r="A63" s="20"/>
      <c r="B63" s="71">
        <v>41934</v>
      </c>
      <c r="C63" s="24" t="s">
        <v>16</v>
      </c>
      <c r="D63" s="24" t="s">
        <v>27</v>
      </c>
      <c r="E63" s="29">
        <v>125</v>
      </c>
      <c r="F63" s="29">
        <v>126</v>
      </c>
      <c r="G63" s="29">
        <v>5000</v>
      </c>
      <c r="H63" s="29">
        <v>5000</v>
      </c>
      <c r="I63" s="20"/>
    </row>
    <row r="64" spans="1:9" x14ac:dyDescent="0.3">
      <c r="A64" s="20"/>
      <c r="B64" s="71">
        <v>41942</v>
      </c>
      <c r="C64" s="24" t="s">
        <v>23</v>
      </c>
      <c r="D64" s="24" t="s">
        <v>27</v>
      </c>
      <c r="E64" s="26">
        <v>123.8</v>
      </c>
      <c r="F64" s="26">
        <v>122.8</v>
      </c>
      <c r="G64" s="29">
        <v>5000</v>
      </c>
      <c r="H64" s="29">
        <v>5000</v>
      </c>
      <c r="I64" s="20"/>
    </row>
    <row r="65" spans="1:9" x14ac:dyDescent="0.3">
      <c r="A65" s="20"/>
      <c r="B65" s="71">
        <v>41943</v>
      </c>
      <c r="C65" s="24" t="s">
        <v>55</v>
      </c>
      <c r="D65" s="24" t="s">
        <v>28</v>
      </c>
      <c r="E65" s="26">
        <v>143</v>
      </c>
      <c r="F65" s="26">
        <v>143.15</v>
      </c>
      <c r="G65" s="29">
        <v>5000</v>
      </c>
      <c r="H65" s="29">
        <v>1500</v>
      </c>
      <c r="I65" s="20"/>
    </row>
    <row r="66" spans="1:9" ht="15.6" x14ac:dyDescent="0.3">
      <c r="A66" s="20"/>
      <c r="B66" s="71"/>
      <c r="C66" s="24"/>
      <c r="D66" s="24"/>
      <c r="E66" s="26"/>
      <c r="F66" s="26"/>
      <c r="G66" s="29"/>
      <c r="H66" s="96">
        <v>43500</v>
      </c>
      <c r="I66" s="20"/>
    </row>
    <row r="67" spans="1:9" x14ac:dyDescent="0.3">
      <c r="A67" s="20"/>
      <c r="B67" s="71"/>
      <c r="C67" s="82"/>
      <c r="D67" s="82"/>
      <c r="E67" s="78"/>
      <c r="F67" s="78"/>
      <c r="G67" s="39"/>
      <c r="H67" s="39"/>
      <c r="I67" s="20"/>
    </row>
    <row r="68" spans="1:9" x14ac:dyDescent="0.3">
      <c r="A68" s="20"/>
      <c r="B68" s="71"/>
      <c r="C68" s="24"/>
      <c r="D68" s="24"/>
      <c r="E68" s="26"/>
      <c r="F68" s="26"/>
      <c r="G68" s="29"/>
      <c r="H68" s="29"/>
      <c r="I68" s="20"/>
    </row>
    <row r="69" spans="1:9" x14ac:dyDescent="0.3">
      <c r="A69" s="20"/>
      <c r="B69" s="71"/>
      <c r="C69" s="82"/>
      <c r="D69" s="24"/>
      <c r="E69" s="29"/>
      <c r="F69" s="29"/>
      <c r="G69" s="29"/>
      <c r="H69" s="29"/>
      <c r="I69" s="20"/>
    </row>
    <row r="70" spans="1:9" ht="15.6" x14ac:dyDescent="0.3">
      <c r="A70" s="20"/>
      <c r="H70" s="98"/>
      <c r="I70" s="20"/>
    </row>
    <row r="71" spans="1:9" x14ac:dyDescent="0.3">
      <c r="A71" s="20"/>
      <c r="I71" s="20"/>
    </row>
    <row r="72" spans="1:9" x14ac:dyDescent="0.3">
      <c r="A72" s="20"/>
      <c r="I72" s="20"/>
    </row>
    <row r="73" spans="1:9" x14ac:dyDescent="0.3">
      <c r="A73" s="20"/>
      <c r="I73" s="20"/>
    </row>
    <row r="74" spans="1:9" x14ac:dyDescent="0.3">
      <c r="A74" s="20"/>
      <c r="I74" s="20"/>
    </row>
    <row r="75" spans="1:9" x14ac:dyDescent="0.3">
      <c r="A75" s="20"/>
      <c r="I75" s="20"/>
    </row>
    <row r="76" spans="1:9" x14ac:dyDescent="0.3">
      <c r="A76" s="20"/>
      <c r="I76" s="20"/>
    </row>
    <row r="77" spans="1:9" x14ac:dyDescent="0.3">
      <c r="A77" s="20"/>
      <c r="I77" s="76"/>
    </row>
    <row r="78" spans="1:9" x14ac:dyDescent="0.3">
      <c r="A78" s="57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600-000000000000}"/>
  </hyperlinks>
  <pageMargins left="0.7" right="0.7" top="0.75" bottom="0.75" header="0.3" footer="0.3"/>
  <pageSetup orientation="portrait" horizontalDpi="300" verticalDpi="0" r:id="rId1"/>
  <ignoredErrors>
    <ignoredError sqref="E30:H31 E32:F34 E35:F36 E37:F40 E41:F41 E42:F42 K8:N9 E43:F43 M10:N10 K10:L10 K11:N11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368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41946</v>
      </c>
      <c r="C5" s="24" t="s">
        <v>23</v>
      </c>
      <c r="D5" s="26" t="s">
        <v>24</v>
      </c>
      <c r="E5" s="29">
        <v>26000</v>
      </c>
      <c r="F5" s="29">
        <v>25930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41948</v>
      </c>
      <c r="C6" s="24" t="s">
        <v>23</v>
      </c>
      <c r="D6" s="26" t="s">
        <v>24</v>
      </c>
      <c r="E6" s="29">
        <v>25500</v>
      </c>
      <c r="F6" s="29">
        <v>25430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41950</v>
      </c>
      <c r="C7" s="24" t="s">
        <v>23</v>
      </c>
      <c r="D7" s="26" t="s">
        <v>24</v>
      </c>
      <c r="E7" s="29">
        <v>25250</v>
      </c>
      <c r="F7" s="29">
        <v>25180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41953</v>
      </c>
      <c r="C8" s="24" t="s">
        <v>23</v>
      </c>
      <c r="D8" s="26" t="s">
        <v>24</v>
      </c>
      <c r="E8" s="29">
        <v>25930</v>
      </c>
      <c r="F8" s="29">
        <v>25700</v>
      </c>
      <c r="G8" s="29">
        <v>100</v>
      </c>
      <c r="H8" s="29">
        <v>23000</v>
      </c>
      <c r="I8" s="20"/>
      <c r="J8" s="34" t="s">
        <v>257</v>
      </c>
      <c r="K8" s="84" t="s">
        <v>265</v>
      </c>
      <c r="L8" s="85" t="s">
        <v>291</v>
      </c>
      <c r="M8" s="85" t="s">
        <v>299</v>
      </c>
      <c r="N8" s="85" t="s">
        <v>290</v>
      </c>
    </row>
    <row r="9" spans="1:14" x14ac:dyDescent="0.3">
      <c r="A9" s="20"/>
      <c r="B9" s="71">
        <v>41954</v>
      </c>
      <c r="C9" s="24" t="s">
        <v>55</v>
      </c>
      <c r="D9" s="26" t="s">
        <v>22</v>
      </c>
      <c r="E9" s="29">
        <v>34550</v>
      </c>
      <c r="F9" s="29">
        <v>34750</v>
      </c>
      <c r="G9" s="29">
        <v>30</v>
      </c>
      <c r="H9" s="29">
        <v>6000</v>
      </c>
      <c r="I9" s="20"/>
      <c r="J9" s="34" t="s">
        <v>258</v>
      </c>
      <c r="K9" s="85" t="s">
        <v>265</v>
      </c>
      <c r="L9" s="85" t="s">
        <v>392</v>
      </c>
      <c r="M9" s="85" t="s">
        <v>299</v>
      </c>
      <c r="N9" s="85" t="s">
        <v>262</v>
      </c>
    </row>
    <row r="10" spans="1:14" x14ac:dyDescent="0.3">
      <c r="A10" s="20"/>
      <c r="B10" s="71">
        <v>41955</v>
      </c>
      <c r="C10" s="24" t="s">
        <v>23</v>
      </c>
      <c r="D10" s="78" t="s">
        <v>24</v>
      </c>
      <c r="E10" s="29">
        <v>25860</v>
      </c>
      <c r="F10" s="29">
        <v>25790</v>
      </c>
      <c r="G10" s="29">
        <v>100</v>
      </c>
      <c r="H10" s="29">
        <v>7000</v>
      </c>
      <c r="I10" s="20"/>
      <c r="J10" s="34" t="s">
        <v>259</v>
      </c>
      <c r="K10" s="85" t="s">
        <v>265</v>
      </c>
      <c r="L10" s="85" t="s">
        <v>335</v>
      </c>
      <c r="M10" s="85" t="s">
        <v>266</v>
      </c>
      <c r="N10" s="85" t="s">
        <v>262</v>
      </c>
    </row>
    <row r="11" spans="1:14" x14ac:dyDescent="0.3">
      <c r="A11" s="20"/>
      <c r="B11" s="71">
        <v>41956</v>
      </c>
      <c r="C11" s="91" t="s">
        <v>23</v>
      </c>
      <c r="D11" s="92" t="s">
        <v>24</v>
      </c>
      <c r="E11" s="93">
        <v>25820</v>
      </c>
      <c r="F11" s="93">
        <v>25705</v>
      </c>
      <c r="G11" s="93">
        <v>100</v>
      </c>
      <c r="H11" s="93">
        <v>11500</v>
      </c>
      <c r="I11" s="20"/>
      <c r="J11" s="34" t="s">
        <v>300</v>
      </c>
      <c r="K11" s="85" t="s">
        <v>269</v>
      </c>
      <c r="L11" s="85" t="s">
        <v>301</v>
      </c>
      <c r="M11" s="85" t="s">
        <v>270</v>
      </c>
      <c r="N11" s="85" t="s">
        <v>290</v>
      </c>
    </row>
    <row r="12" spans="1:14" x14ac:dyDescent="0.3">
      <c r="A12" s="20"/>
      <c r="B12" s="71">
        <v>41957</v>
      </c>
      <c r="C12" s="24" t="s">
        <v>23</v>
      </c>
      <c r="D12" s="26" t="s">
        <v>22</v>
      </c>
      <c r="E12" s="29">
        <v>34130</v>
      </c>
      <c r="F12" s="29">
        <v>34230</v>
      </c>
      <c r="G12" s="29">
        <v>100</v>
      </c>
      <c r="H12" s="29">
        <v>-3000</v>
      </c>
      <c r="I12" s="20"/>
      <c r="J12" s="34"/>
    </row>
    <row r="13" spans="1:14" x14ac:dyDescent="0.3">
      <c r="A13" s="20"/>
      <c r="B13" s="71">
        <v>41960</v>
      </c>
      <c r="C13" s="24" t="s">
        <v>23</v>
      </c>
      <c r="D13" s="24" t="s">
        <v>24</v>
      </c>
      <c r="E13" s="29">
        <v>26330</v>
      </c>
      <c r="F13" s="29">
        <v>26430</v>
      </c>
      <c r="G13" s="29">
        <v>100</v>
      </c>
      <c r="H13" s="29">
        <v>-10000</v>
      </c>
      <c r="I13" s="20"/>
      <c r="J13" s="34"/>
      <c r="K13" s="87" t="s">
        <v>393</v>
      </c>
      <c r="L13" s="88"/>
      <c r="M13" s="89"/>
    </row>
    <row r="14" spans="1:14" x14ac:dyDescent="0.3">
      <c r="A14" s="20"/>
      <c r="B14" s="71">
        <v>41961</v>
      </c>
      <c r="C14" s="24" t="s">
        <v>16</v>
      </c>
      <c r="D14" s="26" t="s">
        <v>24</v>
      </c>
      <c r="E14" s="29">
        <v>26620</v>
      </c>
      <c r="F14" s="29">
        <v>26750</v>
      </c>
      <c r="G14" s="29">
        <v>100</v>
      </c>
      <c r="H14" s="69">
        <v>13000</v>
      </c>
      <c r="I14" s="20"/>
      <c r="J14" s="34"/>
    </row>
    <row r="15" spans="1:14" x14ac:dyDescent="0.3">
      <c r="A15" s="20"/>
      <c r="B15" s="71">
        <v>41962</v>
      </c>
      <c r="C15" s="24" t="s">
        <v>16</v>
      </c>
      <c r="D15" s="26" t="s">
        <v>24</v>
      </c>
      <c r="E15" s="29">
        <v>26690</v>
      </c>
      <c r="F15" s="29">
        <v>26800</v>
      </c>
      <c r="G15" s="29">
        <v>100</v>
      </c>
      <c r="H15" s="69">
        <v>11000</v>
      </c>
      <c r="I15" s="20"/>
      <c r="J15" s="34"/>
    </row>
    <row r="16" spans="1:14" x14ac:dyDescent="0.3">
      <c r="A16" s="20"/>
      <c r="B16" s="71">
        <v>41963</v>
      </c>
      <c r="C16" s="24" t="s">
        <v>23</v>
      </c>
      <c r="D16" s="26" t="s">
        <v>24</v>
      </c>
      <c r="E16" s="29">
        <v>26550</v>
      </c>
      <c r="F16" s="29">
        <v>26480</v>
      </c>
      <c r="G16" s="29">
        <v>100</v>
      </c>
      <c r="H16" s="69">
        <v>7000</v>
      </c>
      <c r="I16" s="20"/>
      <c r="J16" s="34"/>
    </row>
    <row r="17" spans="1:10" x14ac:dyDescent="0.3">
      <c r="A17" s="20"/>
      <c r="B17" s="71">
        <v>41964</v>
      </c>
      <c r="C17" s="24" t="s">
        <v>16</v>
      </c>
      <c r="D17" s="26" t="s">
        <v>24</v>
      </c>
      <c r="E17" s="29">
        <v>26530</v>
      </c>
      <c r="F17" s="29">
        <v>26430</v>
      </c>
      <c r="G17" s="29">
        <v>100</v>
      </c>
      <c r="H17" s="69">
        <v>-10000</v>
      </c>
      <c r="I17" s="20"/>
      <c r="J17" s="34"/>
    </row>
    <row r="18" spans="1:10" x14ac:dyDescent="0.3">
      <c r="A18" s="20"/>
      <c r="B18" s="71">
        <v>41967</v>
      </c>
      <c r="C18" s="24" t="s">
        <v>23</v>
      </c>
      <c r="D18" s="26" t="s">
        <v>24</v>
      </c>
      <c r="E18" s="29">
        <v>26460</v>
      </c>
      <c r="F18" s="29">
        <v>26420</v>
      </c>
      <c r="G18" s="29">
        <v>100</v>
      </c>
      <c r="H18" s="69">
        <v>4000</v>
      </c>
      <c r="I18" s="20"/>
      <c r="J18" s="34"/>
    </row>
    <row r="19" spans="1:10" x14ac:dyDescent="0.3">
      <c r="A19" s="20"/>
      <c r="B19" s="71">
        <v>41968</v>
      </c>
      <c r="C19" s="24" t="s">
        <v>16</v>
      </c>
      <c r="D19" s="26" t="s">
        <v>24</v>
      </c>
      <c r="E19" s="26">
        <v>26490</v>
      </c>
      <c r="F19" s="26">
        <v>26390</v>
      </c>
      <c r="G19" s="29">
        <v>100</v>
      </c>
      <c r="H19" s="69">
        <v>-10000</v>
      </c>
      <c r="I19" s="20"/>
      <c r="J19" s="34"/>
    </row>
    <row r="20" spans="1:10" x14ac:dyDescent="0.3">
      <c r="A20" s="20"/>
      <c r="B20" s="71">
        <v>41969</v>
      </c>
      <c r="C20" s="24" t="s">
        <v>23</v>
      </c>
      <c r="D20" s="26" t="s">
        <v>24</v>
      </c>
      <c r="E20" s="26">
        <v>26350</v>
      </c>
      <c r="F20" s="26">
        <v>26280</v>
      </c>
      <c r="G20" s="29">
        <v>100</v>
      </c>
      <c r="H20" s="69">
        <v>7000</v>
      </c>
      <c r="I20" s="20"/>
      <c r="J20" s="34"/>
    </row>
    <row r="21" spans="1:10" ht="15.6" x14ac:dyDescent="0.3">
      <c r="A21" s="20"/>
      <c r="B21" s="71">
        <v>41970</v>
      </c>
      <c r="C21" s="24" t="s">
        <v>23</v>
      </c>
      <c r="D21" s="26" t="s">
        <v>24</v>
      </c>
      <c r="E21" s="26">
        <v>26280</v>
      </c>
      <c r="F21" s="26">
        <v>26210</v>
      </c>
      <c r="G21" s="29">
        <v>100</v>
      </c>
      <c r="H21" s="79">
        <v>7000</v>
      </c>
      <c r="I21" s="20"/>
      <c r="J21" s="34"/>
    </row>
    <row r="22" spans="1:10" ht="15.6" x14ac:dyDescent="0.3">
      <c r="A22" s="20"/>
      <c r="B22" s="71">
        <v>41971</v>
      </c>
      <c r="C22" s="24" t="s">
        <v>23</v>
      </c>
      <c r="D22" s="26" t="s">
        <v>24</v>
      </c>
      <c r="E22" s="26">
        <v>26140</v>
      </c>
      <c r="F22" s="26">
        <v>25970</v>
      </c>
      <c r="G22" s="29">
        <v>100</v>
      </c>
      <c r="H22" s="79">
        <v>17000</v>
      </c>
      <c r="I22" s="20"/>
      <c r="J22" s="34"/>
    </row>
    <row r="23" spans="1:10" ht="15.6" x14ac:dyDescent="0.3">
      <c r="A23" s="20"/>
      <c r="C23" s="24"/>
      <c r="D23" s="26"/>
      <c r="E23" s="26"/>
      <c r="F23" s="26"/>
      <c r="G23" s="25"/>
      <c r="H23" s="46"/>
      <c r="I23" s="20"/>
      <c r="J23" s="34"/>
    </row>
    <row r="24" spans="1:10" ht="15.6" x14ac:dyDescent="0.3">
      <c r="A24" s="20"/>
      <c r="C24" s="24"/>
      <c r="D24" s="26"/>
      <c r="E24" s="26"/>
      <c r="F24" s="26"/>
      <c r="G24" s="25"/>
      <c r="H24" s="46"/>
      <c r="I24" s="20"/>
      <c r="J24" s="34"/>
    </row>
    <row r="25" spans="1:10" ht="15.6" x14ac:dyDescent="0.3">
      <c r="A25" s="20"/>
      <c r="B25" s="71"/>
      <c r="C25" s="24"/>
      <c r="D25" s="26"/>
      <c r="E25" s="26"/>
      <c r="F25" s="26"/>
      <c r="G25" s="25"/>
      <c r="H25" s="46"/>
      <c r="I25" s="20"/>
      <c r="J25" s="34"/>
    </row>
    <row r="26" spans="1:10" ht="15.6" x14ac:dyDescent="0.3">
      <c r="A26" s="20"/>
      <c r="B26" s="71"/>
      <c r="C26" s="24"/>
      <c r="D26" s="26"/>
      <c r="E26" s="26"/>
      <c r="F26" s="26"/>
      <c r="G26" s="25"/>
      <c r="H26" s="46"/>
      <c r="I26" s="20"/>
    </row>
    <row r="27" spans="1:10" ht="15.6" x14ac:dyDescent="0.3">
      <c r="A27" s="20"/>
      <c r="B27" s="71"/>
      <c r="C27" s="24"/>
      <c r="D27" s="26"/>
      <c r="E27" s="26"/>
      <c r="F27" s="26"/>
      <c r="G27" s="25"/>
      <c r="H27" s="46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367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41946</v>
      </c>
      <c r="C30" s="24" t="s">
        <v>16</v>
      </c>
      <c r="D30" s="24" t="s">
        <v>25</v>
      </c>
      <c r="E30" s="49" t="s">
        <v>369</v>
      </c>
      <c r="F30" s="49" t="s">
        <v>363</v>
      </c>
      <c r="G30" s="25">
        <v>100</v>
      </c>
      <c r="H30" s="29">
        <v>2000</v>
      </c>
      <c r="I30" s="20"/>
    </row>
    <row r="31" spans="1:10" x14ac:dyDescent="0.3">
      <c r="A31" s="20"/>
      <c r="B31" s="71">
        <v>41948</v>
      </c>
      <c r="C31" s="24" t="s">
        <v>16</v>
      </c>
      <c r="D31" s="24" t="s">
        <v>25</v>
      </c>
      <c r="E31" s="83" t="s">
        <v>370</v>
      </c>
      <c r="F31" s="49" t="s">
        <v>371</v>
      </c>
      <c r="G31" s="25">
        <v>100</v>
      </c>
      <c r="H31" s="29">
        <v>2000</v>
      </c>
      <c r="I31" s="20"/>
    </row>
    <row r="32" spans="1:10" x14ac:dyDescent="0.3">
      <c r="A32" s="20"/>
      <c r="B32" s="71">
        <v>41950</v>
      </c>
      <c r="C32" s="24" t="s">
        <v>16</v>
      </c>
      <c r="D32" s="24" t="s">
        <v>25</v>
      </c>
      <c r="E32" s="49" t="s">
        <v>372</v>
      </c>
      <c r="F32" s="49" t="s">
        <v>373</v>
      </c>
      <c r="G32" s="25">
        <v>100</v>
      </c>
      <c r="H32" s="29">
        <v>2500</v>
      </c>
      <c r="I32" s="20"/>
    </row>
    <row r="33" spans="1:9" x14ac:dyDescent="0.3">
      <c r="A33" s="20"/>
      <c r="B33" s="71">
        <v>41953</v>
      </c>
      <c r="C33" s="24" t="s">
        <v>16</v>
      </c>
      <c r="D33" s="24" t="s">
        <v>25</v>
      </c>
      <c r="E33" s="49" t="s">
        <v>374</v>
      </c>
      <c r="F33" s="49" t="s">
        <v>375</v>
      </c>
      <c r="G33" s="25">
        <v>100</v>
      </c>
      <c r="H33" s="29">
        <v>5000</v>
      </c>
      <c r="I33" s="20"/>
    </row>
    <row r="34" spans="1:9" x14ac:dyDescent="0.3">
      <c r="A34" s="20"/>
      <c r="B34" s="71">
        <v>41954</v>
      </c>
      <c r="C34" s="24" t="s">
        <v>23</v>
      </c>
      <c r="D34" s="24" t="s">
        <v>25</v>
      </c>
      <c r="E34" s="49" t="s">
        <v>376</v>
      </c>
      <c r="F34" s="49" t="s">
        <v>377</v>
      </c>
      <c r="G34" s="25">
        <v>100</v>
      </c>
      <c r="H34" s="29">
        <v>2000</v>
      </c>
      <c r="I34" s="20"/>
    </row>
    <row r="35" spans="1:9" x14ac:dyDescent="0.3">
      <c r="A35" s="20"/>
      <c r="B35" s="71">
        <v>41955</v>
      </c>
      <c r="C35" s="24" t="s">
        <v>23</v>
      </c>
      <c r="D35" s="24" t="s">
        <v>25</v>
      </c>
      <c r="E35" s="83" t="s">
        <v>378</v>
      </c>
      <c r="F35" s="49" t="s">
        <v>371</v>
      </c>
      <c r="G35" s="25">
        <v>100</v>
      </c>
      <c r="H35" s="29">
        <v>2000</v>
      </c>
      <c r="I35" s="20"/>
    </row>
    <row r="36" spans="1:9" x14ac:dyDescent="0.3">
      <c r="A36" s="20"/>
      <c r="B36" s="71">
        <v>41956</v>
      </c>
      <c r="C36" s="24" t="s">
        <v>23</v>
      </c>
      <c r="D36" s="24" t="s">
        <v>25</v>
      </c>
      <c r="E36" s="49" t="s">
        <v>376</v>
      </c>
      <c r="F36" s="49" t="s">
        <v>379</v>
      </c>
      <c r="G36" s="25">
        <v>100</v>
      </c>
      <c r="H36" s="29">
        <v>5000</v>
      </c>
      <c r="I36" s="20"/>
    </row>
    <row r="37" spans="1:9" x14ac:dyDescent="0.3">
      <c r="A37" s="20"/>
      <c r="B37" s="71">
        <v>41957</v>
      </c>
      <c r="C37" s="24" t="s">
        <v>23</v>
      </c>
      <c r="D37" s="24" t="s">
        <v>25</v>
      </c>
      <c r="E37" s="49" t="s">
        <v>380</v>
      </c>
      <c r="F37" s="49" t="s">
        <v>381</v>
      </c>
      <c r="G37" s="25">
        <v>100</v>
      </c>
      <c r="H37" s="29">
        <v>1000</v>
      </c>
      <c r="I37" s="20"/>
    </row>
    <row r="38" spans="1:9" x14ac:dyDescent="0.3">
      <c r="A38" s="20"/>
      <c r="B38" s="71">
        <v>41960</v>
      </c>
      <c r="C38" s="24" t="s">
        <v>23</v>
      </c>
      <c r="D38" s="24" t="s">
        <v>25</v>
      </c>
      <c r="E38" s="49" t="s">
        <v>382</v>
      </c>
      <c r="F38" s="49" t="s">
        <v>383</v>
      </c>
      <c r="G38" s="25">
        <v>100</v>
      </c>
      <c r="H38" s="29">
        <v>2000</v>
      </c>
      <c r="I38" s="20"/>
    </row>
    <row r="39" spans="1:9" x14ac:dyDescent="0.3">
      <c r="A39" s="20"/>
      <c r="B39" s="71">
        <v>41961</v>
      </c>
      <c r="C39" s="24" t="s">
        <v>23</v>
      </c>
      <c r="D39" s="24" t="s">
        <v>25</v>
      </c>
      <c r="E39" s="49" t="s">
        <v>384</v>
      </c>
      <c r="F39" s="49" t="s">
        <v>385</v>
      </c>
      <c r="G39" s="25">
        <v>100</v>
      </c>
      <c r="H39" s="29">
        <v>4500</v>
      </c>
      <c r="I39" s="20"/>
    </row>
    <row r="40" spans="1:9" x14ac:dyDescent="0.3">
      <c r="A40" s="20"/>
      <c r="B40" s="71">
        <v>41962</v>
      </c>
      <c r="C40" s="24" t="s">
        <v>16</v>
      </c>
      <c r="D40" s="24" t="s">
        <v>25</v>
      </c>
      <c r="E40" s="49" t="s">
        <v>386</v>
      </c>
      <c r="F40" s="49" t="s">
        <v>387</v>
      </c>
      <c r="G40" s="25">
        <v>100</v>
      </c>
      <c r="H40" s="29">
        <v>3500</v>
      </c>
      <c r="I40" s="20"/>
    </row>
    <row r="41" spans="1:9" x14ac:dyDescent="0.3">
      <c r="A41" s="20"/>
      <c r="B41" s="71">
        <v>41963</v>
      </c>
      <c r="C41" s="24" t="s">
        <v>23</v>
      </c>
      <c r="D41" s="24" t="s">
        <v>25</v>
      </c>
      <c r="E41" s="49" t="s">
        <v>388</v>
      </c>
      <c r="F41" s="49" t="s">
        <v>389</v>
      </c>
      <c r="G41" s="25">
        <v>100</v>
      </c>
      <c r="H41" s="29">
        <v>2000</v>
      </c>
      <c r="I41" s="20"/>
    </row>
    <row r="42" spans="1:9" x14ac:dyDescent="0.3">
      <c r="A42" s="20"/>
      <c r="B42" s="71">
        <v>41964</v>
      </c>
      <c r="C42" s="24" t="s">
        <v>23</v>
      </c>
      <c r="D42" s="24" t="s">
        <v>25</v>
      </c>
      <c r="E42" s="49" t="s">
        <v>390</v>
      </c>
      <c r="F42" s="49" t="s">
        <v>384</v>
      </c>
      <c r="G42" s="25">
        <v>100</v>
      </c>
      <c r="H42" s="29">
        <v>3000</v>
      </c>
      <c r="I42" s="20"/>
    </row>
    <row r="43" spans="1:9" x14ac:dyDescent="0.3">
      <c r="A43" s="20"/>
      <c r="B43" s="71">
        <v>41967</v>
      </c>
      <c r="C43" s="24" t="s">
        <v>23</v>
      </c>
      <c r="D43" s="24" t="s">
        <v>25</v>
      </c>
      <c r="E43" s="49" t="s">
        <v>391</v>
      </c>
      <c r="F43" s="49" t="s">
        <v>372</v>
      </c>
      <c r="G43" s="25">
        <v>100</v>
      </c>
      <c r="H43" s="29">
        <v>-2500</v>
      </c>
      <c r="I43" s="20"/>
    </row>
    <row r="44" spans="1:9" x14ac:dyDescent="0.3">
      <c r="A44" s="20"/>
      <c r="B44" s="71">
        <v>41968</v>
      </c>
      <c r="C44" s="97" t="s">
        <v>16</v>
      </c>
      <c r="D44" s="97" t="s">
        <v>25</v>
      </c>
      <c r="E44" s="97">
        <v>4720</v>
      </c>
      <c r="F44" s="97">
        <v>4755</v>
      </c>
      <c r="G44" s="97">
        <v>100</v>
      </c>
      <c r="H44" s="29">
        <v>3500</v>
      </c>
      <c r="I44" s="20"/>
    </row>
    <row r="45" spans="1:9" x14ac:dyDescent="0.3">
      <c r="A45" s="20"/>
      <c r="B45" s="71">
        <v>41969</v>
      </c>
      <c r="C45" s="97" t="s">
        <v>23</v>
      </c>
      <c r="D45" s="97" t="s">
        <v>25</v>
      </c>
      <c r="E45" s="97">
        <v>4600</v>
      </c>
      <c r="F45" s="97">
        <v>4620</v>
      </c>
      <c r="G45" s="97">
        <v>100</v>
      </c>
      <c r="H45" s="69">
        <v>-2000</v>
      </c>
      <c r="I45" s="20"/>
    </row>
    <row r="46" spans="1:9" x14ac:dyDescent="0.3">
      <c r="A46" s="20"/>
      <c r="B46" s="71">
        <v>41970</v>
      </c>
      <c r="C46" s="24" t="s">
        <v>23</v>
      </c>
      <c r="D46" s="97" t="s">
        <v>25</v>
      </c>
      <c r="E46" s="97">
        <v>4495</v>
      </c>
      <c r="F46" s="97">
        <v>4440</v>
      </c>
      <c r="G46" s="97">
        <v>100</v>
      </c>
      <c r="H46" s="69">
        <v>5500</v>
      </c>
      <c r="I46" s="20"/>
    </row>
    <row r="47" spans="1:9" x14ac:dyDescent="0.3">
      <c r="A47" s="20"/>
      <c r="B47" s="71">
        <v>41971</v>
      </c>
      <c r="C47" s="29" t="s">
        <v>23</v>
      </c>
      <c r="D47" s="97" t="s">
        <v>25</v>
      </c>
      <c r="E47" s="97">
        <v>4300</v>
      </c>
      <c r="F47" s="97">
        <v>-4325</v>
      </c>
      <c r="G47" s="97">
        <v>100</v>
      </c>
      <c r="H47" s="69">
        <v>-2500</v>
      </c>
      <c r="I47" s="20"/>
    </row>
    <row r="48" spans="1:9" ht="15.6" x14ac:dyDescent="0.3">
      <c r="A48" s="20"/>
      <c r="B48" s="71"/>
      <c r="C48" s="29"/>
      <c r="D48" s="36"/>
      <c r="E48" s="29"/>
      <c r="F48" s="29"/>
      <c r="G48" s="29"/>
      <c r="H48" s="70"/>
      <c r="I48" s="20"/>
    </row>
    <row r="49" spans="1:9" x14ac:dyDescent="0.3">
      <c r="A49" s="20"/>
      <c r="B49" s="71"/>
      <c r="C49" s="29"/>
      <c r="D49" s="36"/>
      <c r="E49" s="29"/>
      <c r="F49" s="29"/>
      <c r="G49" s="29"/>
      <c r="H49" s="29"/>
      <c r="I49" s="20"/>
    </row>
    <row r="50" spans="1:9" x14ac:dyDescent="0.3">
      <c r="A50" s="20"/>
      <c r="B50" s="71"/>
      <c r="C50" s="29"/>
      <c r="D50" s="36"/>
      <c r="E50" s="29"/>
      <c r="F50" s="29"/>
      <c r="G50" s="29"/>
      <c r="H50" s="29"/>
      <c r="I50" s="20"/>
    </row>
    <row r="51" spans="1:9" ht="15.6" x14ac:dyDescent="0.3">
      <c r="A51" s="20"/>
      <c r="B51" s="61" t="s">
        <v>366</v>
      </c>
      <c r="C51" s="62"/>
      <c r="D51" s="63"/>
      <c r="E51" s="62"/>
      <c r="F51" s="62"/>
      <c r="G51" s="62"/>
      <c r="H51" s="64"/>
      <c r="I51" s="20"/>
    </row>
    <row r="52" spans="1:9" x14ac:dyDescent="0.3">
      <c r="A52" s="20"/>
      <c r="B52" s="71">
        <v>41946</v>
      </c>
      <c r="C52" s="24" t="s">
        <v>23</v>
      </c>
      <c r="D52" s="24" t="s">
        <v>27</v>
      </c>
      <c r="E52" s="29">
        <v>124.2</v>
      </c>
      <c r="F52" s="29">
        <v>123.7</v>
      </c>
      <c r="G52" s="29">
        <v>5000</v>
      </c>
      <c r="H52" s="29">
        <v>2500</v>
      </c>
      <c r="I52" s="20"/>
    </row>
    <row r="53" spans="1:9" x14ac:dyDescent="0.3">
      <c r="A53" s="20"/>
      <c r="B53" s="71">
        <v>41948</v>
      </c>
      <c r="C53" s="24" t="s">
        <v>23</v>
      </c>
      <c r="D53" s="24" t="s">
        <v>28</v>
      </c>
      <c r="E53" s="29">
        <v>137.5</v>
      </c>
      <c r="F53" s="29">
        <v>136</v>
      </c>
      <c r="G53" s="29">
        <v>5000</v>
      </c>
      <c r="H53" s="29">
        <v>7500</v>
      </c>
      <c r="I53" s="20"/>
    </row>
    <row r="54" spans="1:9" x14ac:dyDescent="0.3">
      <c r="A54" s="20"/>
      <c r="B54" s="71">
        <v>41950</v>
      </c>
      <c r="C54" s="24" t="s">
        <v>16</v>
      </c>
      <c r="D54" s="24" t="s">
        <v>28</v>
      </c>
      <c r="E54" s="29">
        <v>137.5</v>
      </c>
      <c r="F54" s="29">
        <v>138</v>
      </c>
      <c r="G54" s="29">
        <v>5000</v>
      </c>
      <c r="H54" s="29">
        <v>2500</v>
      </c>
      <c r="I54" s="20"/>
    </row>
    <row r="55" spans="1:9" x14ac:dyDescent="0.3">
      <c r="A55" s="20"/>
      <c r="B55" s="71">
        <v>41953</v>
      </c>
      <c r="C55" s="24" t="s">
        <v>16</v>
      </c>
      <c r="D55" s="24" t="s">
        <v>28</v>
      </c>
      <c r="E55" s="29">
        <v>138.19999999999999</v>
      </c>
      <c r="F55" s="29">
        <v>138.80000000000001</v>
      </c>
      <c r="G55" s="29">
        <v>5000</v>
      </c>
      <c r="H55" s="29">
        <v>3000</v>
      </c>
      <c r="I55" s="20"/>
    </row>
    <row r="56" spans="1:9" x14ac:dyDescent="0.3">
      <c r="A56" s="20"/>
      <c r="B56" s="71">
        <v>41954</v>
      </c>
      <c r="C56" s="82" t="s">
        <v>23</v>
      </c>
      <c r="D56" s="82" t="s">
        <v>27</v>
      </c>
      <c r="E56" s="39">
        <v>124.55</v>
      </c>
      <c r="F56" s="39">
        <v>124.05</v>
      </c>
      <c r="G56" s="39">
        <v>5000</v>
      </c>
      <c r="H56" s="39">
        <v>2500</v>
      </c>
      <c r="I56" s="20"/>
    </row>
    <row r="57" spans="1:9" x14ac:dyDescent="0.3">
      <c r="A57" s="20"/>
      <c r="B57" s="71">
        <v>41955</v>
      </c>
      <c r="C57" s="24" t="s">
        <v>16</v>
      </c>
      <c r="D57" s="24" t="s">
        <v>28</v>
      </c>
      <c r="E57" s="29">
        <v>139.9</v>
      </c>
      <c r="F57" s="29">
        <v>140.4</v>
      </c>
      <c r="G57" s="29">
        <v>5000</v>
      </c>
      <c r="H57" s="29">
        <v>2500</v>
      </c>
      <c r="I57" s="20"/>
    </row>
    <row r="58" spans="1:9" x14ac:dyDescent="0.3">
      <c r="A58" s="20"/>
      <c r="B58" s="71">
        <v>41956</v>
      </c>
      <c r="C58" s="24" t="s">
        <v>23</v>
      </c>
      <c r="D58" s="24" t="s">
        <v>56</v>
      </c>
      <c r="E58" s="29">
        <v>128</v>
      </c>
      <c r="F58" s="29">
        <v>127.5</v>
      </c>
      <c r="G58" s="29">
        <v>5000</v>
      </c>
      <c r="H58" s="29">
        <v>2500</v>
      </c>
      <c r="I58" s="20"/>
    </row>
    <row r="59" spans="1:9" x14ac:dyDescent="0.3">
      <c r="A59" s="20"/>
      <c r="B59" s="71">
        <v>41957</v>
      </c>
      <c r="C59" s="24" t="s">
        <v>23</v>
      </c>
      <c r="D59" s="24" t="s">
        <v>27</v>
      </c>
      <c r="E59" s="29">
        <v>124.1</v>
      </c>
      <c r="F59" s="29">
        <v>124.6</v>
      </c>
      <c r="G59" s="29">
        <v>5000</v>
      </c>
      <c r="H59" s="29">
        <v>-2500</v>
      </c>
      <c r="I59" s="20"/>
    </row>
    <row r="60" spans="1:9" x14ac:dyDescent="0.3">
      <c r="A60" s="20"/>
      <c r="B60" s="71">
        <v>41960</v>
      </c>
      <c r="C60" s="24" t="s">
        <v>23</v>
      </c>
      <c r="D60" s="26" t="s">
        <v>29</v>
      </c>
      <c r="E60" s="29">
        <v>415</v>
      </c>
      <c r="F60" s="29">
        <v>413</v>
      </c>
      <c r="G60" s="29">
        <v>1000</v>
      </c>
      <c r="H60" s="29">
        <v>2000</v>
      </c>
      <c r="I60" s="20"/>
    </row>
    <row r="61" spans="1:9" x14ac:dyDescent="0.3">
      <c r="A61" s="20"/>
      <c r="B61" s="71">
        <v>41961</v>
      </c>
      <c r="C61" s="24" t="s">
        <v>23</v>
      </c>
      <c r="D61" s="24" t="s">
        <v>56</v>
      </c>
      <c r="E61" s="29">
        <v>126.05</v>
      </c>
      <c r="F61" s="29">
        <v>124.55</v>
      </c>
      <c r="G61" s="29">
        <v>5000</v>
      </c>
      <c r="H61" s="29">
        <v>7500</v>
      </c>
      <c r="I61" s="20"/>
    </row>
    <row r="62" spans="1:9" x14ac:dyDescent="0.3">
      <c r="A62" s="20"/>
      <c r="B62" s="71">
        <v>41962</v>
      </c>
      <c r="C62" s="24" t="s">
        <v>23</v>
      </c>
      <c r="D62" s="24" t="s">
        <v>29</v>
      </c>
      <c r="E62" s="29">
        <v>410</v>
      </c>
      <c r="F62" s="29">
        <v>414</v>
      </c>
      <c r="G62" s="29">
        <v>1000</v>
      </c>
      <c r="H62" s="29">
        <v>-4000</v>
      </c>
      <c r="I62" s="20"/>
    </row>
    <row r="63" spans="1:9" x14ac:dyDescent="0.3">
      <c r="A63" s="20"/>
      <c r="B63" s="71">
        <v>41963</v>
      </c>
      <c r="C63" s="24" t="s">
        <v>23</v>
      </c>
      <c r="D63" s="24" t="s">
        <v>27</v>
      </c>
      <c r="E63" s="29">
        <v>125.75</v>
      </c>
      <c r="F63" s="29">
        <v>125.25</v>
      </c>
      <c r="G63" s="29">
        <v>5000</v>
      </c>
      <c r="H63" s="29">
        <v>2500</v>
      </c>
      <c r="I63" s="20"/>
    </row>
    <row r="64" spans="1:9" x14ac:dyDescent="0.3">
      <c r="A64" s="20"/>
      <c r="B64" s="71">
        <v>41964</v>
      </c>
      <c r="C64" s="24" t="s">
        <v>23</v>
      </c>
      <c r="D64" s="24" t="s">
        <v>27</v>
      </c>
      <c r="E64" s="26">
        <v>126.2</v>
      </c>
      <c r="F64" s="26">
        <v>126.7</v>
      </c>
      <c r="G64" s="29">
        <v>5000</v>
      </c>
      <c r="H64" s="29">
        <v>-2500</v>
      </c>
      <c r="I64" s="20"/>
    </row>
    <row r="65" spans="1:9" x14ac:dyDescent="0.3">
      <c r="A65" s="20"/>
      <c r="B65" s="71">
        <v>41967</v>
      </c>
      <c r="C65" s="24" t="s">
        <v>16</v>
      </c>
      <c r="D65" s="24" t="s">
        <v>27</v>
      </c>
      <c r="E65" s="26">
        <v>126.6</v>
      </c>
      <c r="F65" s="26">
        <v>127.6</v>
      </c>
      <c r="G65" s="29">
        <v>5000</v>
      </c>
      <c r="H65" s="29">
        <v>5000</v>
      </c>
      <c r="I65" s="20"/>
    </row>
    <row r="66" spans="1:9" x14ac:dyDescent="0.3">
      <c r="A66" s="20"/>
      <c r="B66" s="71">
        <v>41968</v>
      </c>
      <c r="C66" s="24" t="s">
        <v>16</v>
      </c>
      <c r="D66" s="24" t="s">
        <v>28</v>
      </c>
      <c r="E66" s="26">
        <v>142</v>
      </c>
      <c r="F66" s="26">
        <v>141.5</v>
      </c>
      <c r="G66" s="29">
        <v>5000</v>
      </c>
      <c r="H66" s="29">
        <v>-2500</v>
      </c>
      <c r="I66" s="20"/>
    </row>
    <row r="67" spans="1:9" x14ac:dyDescent="0.3">
      <c r="A67" s="20"/>
      <c r="B67" s="71">
        <v>41969</v>
      </c>
      <c r="C67" s="82" t="s">
        <v>23</v>
      </c>
      <c r="D67" s="82" t="s">
        <v>27</v>
      </c>
      <c r="E67" s="78">
        <v>125.9</v>
      </c>
      <c r="F67" s="78">
        <v>126.6</v>
      </c>
      <c r="G67" s="39">
        <v>5000</v>
      </c>
      <c r="H67" s="39">
        <v>-2500</v>
      </c>
      <c r="I67" s="20"/>
    </row>
    <row r="68" spans="1:9" x14ac:dyDescent="0.3">
      <c r="A68" s="20"/>
      <c r="B68" s="71">
        <v>41970</v>
      </c>
      <c r="C68" s="24" t="s">
        <v>23</v>
      </c>
      <c r="D68" s="24" t="s">
        <v>27</v>
      </c>
      <c r="E68" s="26">
        <v>127.5</v>
      </c>
      <c r="F68" s="26">
        <v>126.5</v>
      </c>
      <c r="G68" s="29">
        <v>5000</v>
      </c>
      <c r="H68" s="29">
        <v>5000</v>
      </c>
      <c r="I68" s="20"/>
    </row>
    <row r="69" spans="1:9" x14ac:dyDescent="0.3">
      <c r="A69" s="20"/>
      <c r="B69" s="71">
        <v>41971</v>
      </c>
      <c r="C69" s="82" t="s">
        <v>23</v>
      </c>
      <c r="D69" s="24" t="s">
        <v>27</v>
      </c>
      <c r="E69" s="29">
        <v>127.2</v>
      </c>
      <c r="F69" s="29">
        <v>126.3</v>
      </c>
      <c r="G69" s="29">
        <v>5000</v>
      </c>
      <c r="H69" s="29">
        <v>4500</v>
      </c>
      <c r="I69" s="20"/>
    </row>
    <row r="70" spans="1:9" ht="15.6" x14ac:dyDescent="0.3">
      <c r="A70" s="20"/>
      <c r="H70" s="98"/>
      <c r="I70" s="20"/>
    </row>
    <row r="71" spans="1:9" x14ac:dyDescent="0.3">
      <c r="A71" s="20"/>
      <c r="I71" s="20"/>
    </row>
    <row r="72" spans="1:9" x14ac:dyDescent="0.3">
      <c r="A72" s="20"/>
      <c r="I72" s="20"/>
    </row>
    <row r="73" spans="1:9" x14ac:dyDescent="0.3">
      <c r="A73" s="20"/>
      <c r="I73" s="20"/>
    </row>
    <row r="74" spans="1:9" x14ac:dyDescent="0.3">
      <c r="A74" s="20"/>
      <c r="I74" s="20"/>
    </row>
    <row r="75" spans="1:9" x14ac:dyDescent="0.3">
      <c r="A75" s="20"/>
      <c r="I75" s="20"/>
    </row>
    <row r="76" spans="1:9" x14ac:dyDescent="0.3">
      <c r="A76" s="20"/>
      <c r="I76" s="20"/>
    </row>
    <row r="77" spans="1:9" x14ac:dyDescent="0.3">
      <c r="A77" s="20"/>
      <c r="I77" s="76"/>
    </row>
    <row r="78" spans="1:9" x14ac:dyDescent="0.3">
      <c r="A78" s="57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700-000000000000}"/>
  </hyperlinks>
  <pageMargins left="0.7" right="0.7" top="0.75" bottom="0.75" header="0.3" footer="0.3"/>
  <ignoredErrors>
    <ignoredError sqref="E30:G30 E31 E32:F32 F31 E33:F37 E38:F42 E43:F43 K10 K11 K8 K9 N9 M8 L10:N10 L9:M9 L11:N11 L8 N8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396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74846</v>
      </c>
      <c r="C5" s="24" t="s">
        <v>23</v>
      </c>
      <c r="D5" s="26" t="s">
        <v>24</v>
      </c>
      <c r="E5" s="29">
        <v>26020</v>
      </c>
      <c r="F5" s="29">
        <v>26150</v>
      </c>
      <c r="G5" s="29">
        <v>100</v>
      </c>
      <c r="H5" s="29">
        <v>-13000</v>
      </c>
      <c r="I5" s="20"/>
      <c r="J5" s="34"/>
    </row>
    <row r="6" spans="1:14" x14ac:dyDescent="0.3">
      <c r="A6" s="20"/>
      <c r="B6" s="71">
        <v>74847</v>
      </c>
      <c r="C6" s="24" t="s">
        <v>23</v>
      </c>
      <c r="D6" s="26" t="s">
        <v>24</v>
      </c>
      <c r="E6" s="29">
        <v>26600</v>
      </c>
      <c r="F6" s="29">
        <v>26450</v>
      </c>
      <c r="G6" s="29">
        <v>100</v>
      </c>
      <c r="H6" s="29">
        <v>15000</v>
      </c>
      <c r="I6" s="20"/>
      <c r="J6" s="34"/>
    </row>
    <row r="7" spans="1:14" x14ac:dyDescent="0.3">
      <c r="A7" s="20"/>
      <c r="B7" s="71">
        <v>74848</v>
      </c>
      <c r="C7" s="24" t="s">
        <v>23</v>
      </c>
      <c r="D7" s="26" t="s">
        <v>24</v>
      </c>
      <c r="E7" s="29">
        <v>26650</v>
      </c>
      <c r="F7" s="29">
        <v>26580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74849</v>
      </c>
      <c r="C8" s="24" t="s">
        <v>23</v>
      </c>
      <c r="D8" s="26" t="s">
        <v>24</v>
      </c>
      <c r="E8" s="29">
        <v>26680</v>
      </c>
      <c r="F8" s="29">
        <v>26600</v>
      </c>
      <c r="G8" s="29">
        <v>100</v>
      </c>
      <c r="H8" s="29">
        <v>8000</v>
      </c>
      <c r="I8" s="20"/>
      <c r="J8" s="100" t="s">
        <v>257</v>
      </c>
      <c r="K8" s="49" t="s">
        <v>260</v>
      </c>
      <c r="L8" s="101" t="s">
        <v>298</v>
      </c>
      <c r="M8" s="101" t="s">
        <v>266</v>
      </c>
      <c r="N8" s="101" t="s">
        <v>290</v>
      </c>
    </row>
    <row r="9" spans="1:14" x14ac:dyDescent="0.3">
      <c r="A9" s="20"/>
      <c r="B9" s="71">
        <v>74850</v>
      </c>
      <c r="C9" s="24" t="s">
        <v>23</v>
      </c>
      <c r="D9" s="26" t="s">
        <v>24</v>
      </c>
      <c r="E9" s="29">
        <v>26570</v>
      </c>
      <c r="F9" s="29">
        <v>26500</v>
      </c>
      <c r="G9" s="29">
        <v>100</v>
      </c>
      <c r="H9" s="29">
        <v>7000</v>
      </c>
      <c r="I9" s="20"/>
      <c r="J9" s="100" t="s">
        <v>258</v>
      </c>
      <c r="K9" s="101" t="s">
        <v>435</v>
      </c>
      <c r="L9" s="101" t="s">
        <v>392</v>
      </c>
      <c r="M9" s="101" t="s">
        <v>436</v>
      </c>
      <c r="N9" s="101" t="s">
        <v>262</v>
      </c>
    </row>
    <row r="10" spans="1:14" x14ac:dyDescent="0.3">
      <c r="A10" s="20"/>
      <c r="B10" s="71">
        <v>74853</v>
      </c>
      <c r="C10" s="24" t="s">
        <v>23</v>
      </c>
      <c r="D10" s="78" t="s">
        <v>24</v>
      </c>
      <c r="E10" s="29">
        <v>26400</v>
      </c>
      <c r="F10" s="29">
        <v>26330</v>
      </c>
      <c r="G10" s="29">
        <v>100</v>
      </c>
      <c r="H10" s="29">
        <v>7000</v>
      </c>
      <c r="I10" s="20"/>
      <c r="J10" s="100" t="s">
        <v>259</v>
      </c>
      <c r="K10" s="101" t="s">
        <v>435</v>
      </c>
      <c r="L10" s="101" t="s">
        <v>267</v>
      </c>
      <c r="M10" s="101" t="s">
        <v>266</v>
      </c>
      <c r="N10" s="101" t="s">
        <v>290</v>
      </c>
    </row>
    <row r="11" spans="1:14" x14ac:dyDescent="0.3">
      <c r="A11" s="20"/>
      <c r="B11" s="71">
        <v>74854</v>
      </c>
      <c r="C11" s="91" t="s">
        <v>23</v>
      </c>
      <c r="D11" s="92" t="s">
        <v>24</v>
      </c>
      <c r="E11" s="93">
        <v>26610</v>
      </c>
      <c r="F11" s="93">
        <v>26710</v>
      </c>
      <c r="G11" s="93">
        <v>100</v>
      </c>
      <c r="H11" s="93">
        <v>-10000</v>
      </c>
      <c r="I11" s="20"/>
      <c r="J11" s="100" t="s">
        <v>300</v>
      </c>
      <c r="K11" s="101" t="s">
        <v>437</v>
      </c>
      <c r="L11" s="101" t="s">
        <v>438</v>
      </c>
      <c r="M11" s="101" t="s">
        <v>265</v>
      </c>
      <c r="N11" s="101" t="s">
        <v>261</v>
      </c>
    </row>
    <row r="12" spans="1:14" x14ac:dyDescent="0.3">
      <c r="A12" s="20"/>
      <c r="B12" s="71">
        <v>74855</v>
      </c>
      <c r="C12" s="24" t="s">
        <v>23</v>
      </c>
      <c r="D12" s="26" t="s">
        <v>24</v>
      </c>
      <c r="E12" s="29">
        <v>27130</v>
      </c>
      <c r="F12" s="29">
        <v>27230</v>
      </c>
      <c r="G12" s="29">
        <v>100</v>
      </c>
      <c r="H12" s="29">
        <v>-10000</v>
      </c>
      <c r="I12" s="20"/>
      <c r="J12" s="34"/>
    </row>
    <row r="13" spans="1:14" x14ac:dyDescent="0.3">
      <c r="A13" s="20"/>
      <c r="B13" s="71">
        <v>74856</v>
      </c>
      <c r="C13" s="24" t="s">
        <v>23</v>
      </c>
      <c r="D13" s="24" t="s">
        <v>24</v>
      </c>
      <c r="E13" s="29">
        <v>27070</v>
      </c>
      <c r="F13" s="29">
        <v>27006</v>
      </c>
      <c r="G13" s="29">
        <v>100</v>
      </c>
      <c r="H13" s="29">
        <v>6600</v>
      </c>
      <c r="I13" s="20"/>
      <c r="J13" s="34"/>
      <c r="K13" s="87" t="s">
        <v>439</v>
      </c>
      <c r="L13" s="88"/>
      <c r="M13" s="89"/>
    </row>
    <row r="14" spans="1:14" x14ac:dyDescent="0.3">
      <c r="A14" s="20"/>
      <c r="B14" s="71">
        <v>74857</v>
      </c>
      <c r="C14" s="24" t="s">
        <v>55</v>
      </c>
      <c r="D14" s="26" t="s">
        <v>24</v>
      </c>
      <c r="E14" s="29">
        <v>27160</v>
      </c>
      <c r="F14" s="29">
        <v>27230</v>
      </c>
      <c r="G14" s="29">
        <v>100</v>
      </c>
      <c r="H14" s="69">
        <v>7000</v>
      </c>
      <c r="I14" s="20"/>
      <c r="J14" s="34"/>
    </row>
    <row r="15" spans="1:14" x14ac:dyDescent="0.3">
      <c r="A15" s="20"/>
      <c r="B15" s="71">
        <v>74860</v>
      </c>
      <c r="C15" s="24" t="s">
        <v>23</v>
      </c>
      <c r="D15" s="26" t="s">
        <v>24</v>
      </c>
      <c r="E15" s="29">
        <v>27140</v>
      </c>
      <c r="F15" s="29">
        <v>27070</v>
      </c>
      <c r="G15" s="29">
        <v>100</v>
      </c>
      <c r="H15" s="69">
        <v>7000</v>
      </c>
      <c r="I15" s="20"/>
      <c r="J15" s="34"/>
    </row>
    <row r="16" spans="1:14" x14ac:dyDescent="0.3">
      <c r="A16" s="20"/>
      <c r="B16" s="71">
        <v>74861</v>
      </c>
      <c r="C16" s="24" t="s">
        <v>16</v>
      </c>
      <c r="D16" s="26" t="s">
        <v>22</v>
      </c>
      <c r="E16" s="29">
        <v>37600</v>
      </c>
      <c r="F16" s="29">
        <v>38200</v>
      </c>
      <c r="G16" s="29">
        <v>30</v>
      </c>
      <c r="H16" s="69">
        <v>18000</v>
      </c>
      <c r="I16" s="20"/>
      <c r="J16" s="34"/>
    </row>
    <row r="17" spans="1:10" x14ac:dyDescent="0.3">
      <c r="A17" s="20"/>
      <c r="B17" s="71">
        <v>74862</v>
      </c>
      <c r="C17" s="24" t="s">
        <v>23</v>
      </c>
      <c r="D17" s="26" t="s">
        <v>22</v>
      </c>
      <c r="E17" s="29">
        <v>36750</v>
      </c>
      <c r="F17" s="29">
        <v>36200</v>
      </c>
      <c r="G17" s="29">
        <v>30</v>
      </c>
      <c r="H17" s="69">
        <v>16500</v>
      </c>
      <c r="I17" s="20"/>
      <c r="J17" s="34"/>
    </row>
    <row r="18" spans="1:10" x14ac:dyDescent="0.3">
      <c r="A18" s="20"/>
      <c r="B18" s="71">
        <v>74863</v>
      </c>
      <c r="C18" s="24" t="s">
        <v>23</v>
      </c>
      <c r="D18" s="26" t="s">
        <v>24</v>
      </c>
      <c r="E18" s="29">
        <v>27150</v>
      </c>
      <c r="F18" s="29">
        <v>26930</v>
      </c>
      <c r="G18" s="29">
        <v>100</v>
      </c>
      <c r="H18" s="69">
        <v>22000</v>
      </c>
      <c r="I18" s="20"/>
      <c r="J18" s="34"/>
    </row>
    <row r="19" spans="1:10" x14ac:dyDescent="0.3">
      <c r="A19" s="20"/>
      <c r="B19" s="71">
        <v>74864</v>
      </c>
      <c r="C19" s="24" t="s">
        <v>23</v>
      </c>
      <c r="D19" s="26" t="s">
        <v>24</v>
      </c>
      <c r="E19" s="26">
        <v>26940</v>
      </c>
      <c r="F19" s="26">
        <v>27040</v>
      </c>
      <c r="G19" s="29">
        <v>100</v>
      </c>
      <c r="H19" s="69">
        <v>-10000</v>
      </c>
      <c r="I19" s="20"/>
      <c r="J19" s="34"/>
    </row>
    <row r="20" spans="1:10" x14ac:dyDescent="0.3">
      <c r="A20" s="20"/>
      <c r="B20" s="71">
        <v>74867</v>
      </c>
      <c r="C20" s="24" t="s">
        <v>23</v>
      </c>
      <c r="D20" s="26" t="s">
        <v>24</v>
      </c>
      <c r="E20" s="26">
        <v>26950</v>
      </c>
      <c r="F20" s="26">
        <v>26700</v>
      </c>
      <c r="G20" s="29">
        <v>100</v>
      </c>
      <c r="H20" s="69">
        <v>25000</v>
      </c>
      <c r="I20" s="20"/>
      <c r="J20" s="34"/>
    </row>
    <row r="21" spans="1:10" x14ac:dyDescent="0.3">
      <c r="A21" s="20"/>
      <c r="B21" s="71">
        <v>74868</v>
      </c>
      <c r="C21" s="24" t="s">
        <v>23</v>
      </c>
      <c r="D21" s="26" t="s">
        <v>24</v>
      </c>
      <c r="E21" s="26">
        <v>26650</v>
      </c>
      <c r="F21" s="26">
        <v>26520</v>
      </c>
      <c r="G21" s="29">
        <v>100</v>
      </c>
      <c r="H21" s="69">
        <v>13000</v>
      </c>
      <c r="I21" s="20"/>
      <c r="J21" s="34"/>
    </row>
    <row r="22" spans="1:10" x14ac:dyDescent="0.3">
      <c r="A22" s="20"/>
      <c r="B22" s="71">
        <v>74869</v>
      </c>
      <c r="C22" s="24" t="s">
        <v>23</v>
      </c>
      <c r="D22" s="26" t="s">
        <v>24</v>
      </c>
      <c r="E22" s="26">
        <v>26640</v>
      </c>
      <c r="F22" s="26">
        <v>26570</v>
      </c>
      <c r="G22" s="29">
        <v>100</v>
      </c>
      <c r="H22" s="69">
        <v>7000</v>
      </c>
      <c r="I22" s="20"/>
      <c r="J22" s="34"/>
    </row>
    <row r="23" spans="1:10" ht="15.6" x14ac:dyDescent="0.3">
      <c r="A23" s="20"/>
      <c r="B23" s="71">
        <v>74871</v>
      </c>
      <c r="C23" s="24" t="s">
        <v>23</v>
      </c>
      <c r="D23" s="26" t="s">
        <v>24</v>
      </c>
      <c r="E23" s="26">
        <v>27010</v>
      </c>
      <c r="F23" s="26">
        <v>27010</v>
      </c>
      <c r="G23" s="25">
        <v>100</v>
      </c>
      <c r="H23" s="79">
        <v>0</v>
      </c>
      <c r="I23" s="20"/>
      <c r="J23" s="34"/>
    </row>
    <row r="24" spans="1:10" x14ac:dyDescent="0.3">
      <c r="A24" s="20"/>
      <c r="B24" s="71">
        <v>74874</v>
      </c>
      <c r="C24" s="24" t="s">
        <v>16</v>
      </c>
      <c r="D24" s="26" t="s">
        <v>24</v>
      </c>
      <c r="E24" s="26">
        <v>27050</v>
      </c>
      <c r="F24" s="26">
        <v>26950</v>
      </c>
      <c r="G24" s="25">
        <v>100</v>
      </c>
      <c r="H24" s="69">
        <v>-10000</v>
      </c>
      <c r="I24" s="20"/>
      <c r="J24" s="34"/>
    </row>
    <row r="25" spans="1:10" x14ac:dyDescent="0.3">
      <c r="A25" s="20"/>
      <c r="B25" s="71">
        <v>74875</v>
      </c>
      <c r="C25" s="24" t="s">
        <v>23</v>
      </c>
      <c r="D25" s="26" t="s">
        <v>24</v>
      </c>
      <c r="E25" s="26">
        <v>26850</v>
      </c>
      <c r="F25" s="26">
        <v>26740</v>
      </c>
      <c r="G25" s="25">
        <v>100</v>
      </c>
      <c r="H25" s="69">
        <v>11000</v>
      </c>
      <c r="I25" s="20"/>
      <c r="J25" s="34"/>
    </row>
    <row r="26" spans="1:10" x14ac:dyDescent="0.3">
      <c r="A26" s="20"/>
      <c r="B26" s="71">
        <v>74876</v>
      </c>
      <c r="C26" s="24" t="s">
        <v>23</v>
      </c>
      <c r="D26" s="26" t="s">
        <v>24</v>
      </c>
      <c r="E26" s="26">
        <v>26970</v>
      </c>
      <c r="F26" s="26">
        <v>26790</v>
      </c>
      <c r="G26" s="25">
        <v>100</v>
      </c>
      <c r="H26" s="69">
        <v>18000</v>
      </c>
      <c r="I26" s="20"/>
    </row>
    <row r="27" spans="1:10" ht="15.6" x14ac:dyDescent="0.3">
      <c r="A27" s="20"/>
      <c r="C27" s="24"/>
      <c r="D27" s="26"/>
      <c r="E27" s="26"/>
      <c r="F27" s="26"/>
      <c r="G27" s="25"/>
      <c r="H27" s="46">
        <v>142100</v>
      </c>
      <c r="I27" s="20"/>
    </row>
    <row r="28" spans="1:10" x14ac:dyDescent="0.3">
      <c r="A28" s="20"/>
      <c r="C28" s="29"/>
      <c r="D28" s="36"/>
      <c r="E28" s="36"/>
      <c r="F28" s="29"/>
      <c r="G28" s="29"/>
      <c r="H28" s="29"/>
      <c r="I28" s="20"/>
    </row>
    <row r="29" spans="1:10" x14ac:dyDescent="0.3">
      <c r="A29" s="20"/>
      <c r="B29" s="71"/>
      <c r="C29" s="29"/>
      <c r="D29" s="36"/>
      <c r="E29" s="36"/>
      <c r="F29" s="29"/>
      <c r="G29" s="29"/>
      <c r="H29" s="29"/>
      <c r="I29" s="20"/>
    </row>
    <row r="30" spans="1:10" x14ac:dyDescent="0.3">
      <c r="A30" s="20"/>
      <c r="B30" s="71"/>
      <c r="C30" s="29"/>
      <c r="D30" s="36"/>
      <c r="E30" s="36"/>
      <c r="F30" s="29"/>
      <c r="G30" s="29"/>
      <c r="H30" s="29"/>
      <c r="I30" s="20"/>
    </row>
    <row r="31" spans="1:10" x14ac:dyDescent="0.3">
      <c r="A31" s="20"/>
      <c r="B31" s="71"/>
      <c r="C31" s="29"/>
      <c r="D31" s="36"/>
      <c r="E31" s="36"/>
      <c r="F31" s="29"/>
      <c r="G31" s="29"/>
      <c r="H31" s="29"/>
      <c r="I31" s="20"/>
    </row>
    <row r="32" spans="1:10" x14ac:dyDescent="0.3">
      <c r="A32" s="20"/>
      <c r="B32" s="71"/>
      <c r="C32" s="29"/>
      <c r="D32" s="36"/>
      <c r="E32" s="36"/>
      <c r="F32" s="29"/>
      <c r="G32" s="29"/>
      <c r="H32" s="29"/>
      <c r="I32" s="20"/>
    </row>
    <row r="33" spans="1:9" ht="15.6" x14ac:dyDescent="0.3">
      <c r="A33" s="20"/>
      <c r="B33" s="61" t="s">
        <v>395</v>
      </c>
      <c r="C33" s="62"/>
      <c r="D33" s="63"/>
      <c r="E33" s="62"/>
      <c r="F33" s="62"/>
      <c r="G33" s="62"/>
      <c r="H33" s="62"/>
      <c r="I33" s="20"/>
    </row>
    <row r="34" spans="1:9" x14ac:dyDescent="0.3">
      <c r="A34" s="20"/>
      <c r="B34" s="71">
        <v>74846</v>
      </c>
      <c r="C34" s="24" t="s">
        <v>55</v>
      </c>
      <c r="D34" s="24" t="s">
        <v>25</v>
      </c>
      <c r="E34" s="49" t="s">
        <v>397</v>
      </c>
      <c r="F34" s="49" t="s">
        <v>398</v>
      </c>
      <c r="G34" s="25">
        <v>100</v>
      </c>
      <c r="H34" s="29">
        <v>5000</v>
      </c>
      <c r="I34" s="20"/>
    </row>
    <row r="35" spans="1:9" x14ac:dyDescent="0.3">
      <c r="A35" s="20"/>
      <c r="B35" s="71">
        <v>74847</v>
      </c>
      <c r="C35" s="24" t="s">
        <v>23</v>
      </c>
      <c r="D35" s="24" t="s">
        <v>25</v>
      </c>
      <c r="E35" s="83" t="s">
        <v>399</v>
      </c>
      <c r="F35" s="49" t="s">
        <v>400</v>
      </c>
      <c r="G35" s="25">
        <v>100</v>
      </c>
      <c r="H35" s="29">
        <v>-2200</v>
      </c>
      <c r="I35" s="20"/>
    </row>
    <row r="36" spans="1:9" x14ac:dyDescent="0.3">
      <c r="A36" s="20"/>
      <c r="B36" s="71">
        <v>74848</v>
      </c>
      <c r="C36" s="24" t="s">
        <v>55</v>
      </c>
      <c r="D36" s="24" t="s">
        <v>25</v>
      </c>
      <c r="E36" s="49" t="s">
        <v>401</v>
      </c>
      <c r="F36" s="49" t="s">
        <v>402</v>
      </c>
      <c r="G36" s="25">
        <v>100</v>
      </c>
      <c r="H36" s="29">
        <v>-2500</v>
      </c>
      <c r="I36" s="20"/>
    </row>
    <row r="37" spans="1:9" x14ac:dyDescent="0.3">
      <c r="A37" s="20"/>
      <c r="B37" s="71">
        <v>74849</v>
      </c>
      <c r="C37" s="24" t="s">
        <v>23</v>
      </c>
      <c r="D37" s="24" t="s">
        <v>25</v>
      </c>
      <c r="E37" s="49" t="s">
        <v>403</v>
      </c>
      <c r="F37" s="49" t="s">
        <v>404</v>
      </c>
      <c r="G37" s="25">
        <v>100</v>
      </c>
      <c r="H37" s="29">
        <v>6000</v>
      </c>
      <c r="I37" s="20"/>
    </row>
    <row r="38" spans="1:9" x14ac:dyDescent="0.3">
      <c r="A38" s="20"/>
      <c r="B38" s="71">
        <v>74850</v>
      </c>
      <c r="C38" s="24" t="s">
        <v>23</v>
      </c>
      <c r="D38" s="24" t="s">
        <v>25</v>
      </c>
      <c r="E38" s="49" t="s">
        <v>405</v>
      </c>
      <c r="F38" s="49" t="s">
        <v>404</v>
      </c>
      <c r="G38" s="25">
        <v>100</v>
      </c>
      <c r="H38" s="29">
        <v>-3000</v>
      </c>
      <c r="I38" s="20"/>
    </row>
    <row r="39" spans="1:9" x14ac:dyDescent="0.3">
      <c r="A39" s="20"/>
      <c r="B39" s="71">
        <v>74853</v>
      </c>
      <c r="C39" s="24" t="s">
        <v>23</v>
      </c>
      <c r="D39" s="24" t="s">
        <v>25</v>
      </c>
      <c r="E39" s="83" t="s">
        <v>406</v>
      </c>
      <c r="F39" s="49" t="s">
        <v>407</v>
      </c>
      <c r="G39" s="25">
        <v>100</v>
      </c>
      <c r="H39" s="29">
        <v>4000</v>
      </c>
      <c r="I39" s="20"/>
    </row>
    <row r="40" spans="1:9" x14ac:dyDescent="0.3">
      <c r="A40" s="20"/>
      <c r="B40" s="71">
        <v>74854</v>
      </c>
      <c r="C40" s="24" t="s">
        <v>23</v>
      </c>
      <c r="D40" s="24" t="s">
        <v>25</v>
      </c>
      <c r="E40" s="49" t="s">
        <v>408</v>
      </c>
      <c r="F40" s="49" t="s">
        <v>409</v>
      </c>
      <c r="G40" s="25">
        <v>100</v>
      </c>
      <c r="H40" s="29">
        <v>6000</v>
      </c>
      <c r="I40" s="20"/>
    </row>
    <row r="41" spans="1:9" x14ac:dyDescent="0.3">
      <c r="A41" s="20"/>
      <c r="B41" s="71">
        <v>74855</v>
      </c>
      <c r="C41" s="24" t="s">
        <v>23</v>
      </c>
      <c r="D41" s="24" t="s">
        <v>25</v>
      </c>
      <c r="E41" s="49" t="s">
        <v>410</v>
      </c>
      <c r="F41" s="49" t="s">
        <v>411</v>
      </c>
      <c r="G41" s="25">
        <v>100</v>
      </c>
      <c r="H41" s="29">
        <v>6000</v>
      </c>
      <c r="I41" s="20"/>
    </row>
    <row r="42" spans="1:9" x14ac:dyDescent="0.3">
      <c r="A42" s="20"/>
      <c r="B42" s="71">
        <v>74856</v>
      </c>
      <c r="C42" s="24" t="s">
        <v>23</v>
      </c>
      <c r="D42" s="24" t="s">
        <v>25</v>
      </c>
      <c r="E42" s="49" t="s">
        <v>411</v>
      </c>
      <c r="F42" s="49" t="s">
        <v>412</v>
      </c>
      <c r="G42" s="25">
        <v>100</v>
      </c>
      <c r="H42" s="29">
        <v>-3000</v>
      </c>
      <c r="I42" s="20"/>
    </row>
    <row r="43" spans="1:9" x14ac:dyDescent="0.3">
      <c r="A43" s="20"/>
      <c r="B43" s="71">
        <v>74857</v>
      </c>
      <c r="C43" s="24" t="s">
        <v>23</v>
      </c>
      <c r="D43" s="24" t="s">
        <v>25</v>
      </c>
      <c r="E43" s="49" t="s">
        <v>413</v>
      </c>
      <c r="F43" s="49" t="s">
        <v>414</v>
      </c>
      <c r="G43" s="25">
        <v>100</v>
      </c>
      <c r="H43" s="29">
        <v>-3000</v>
      </c>
      <c r="I43" s="20"/>
    </row>
    <row r="44" spans="1:9" x14ac:dyDescent="0.3">
      <c r="A44" s="20"/>
      <c r="B44" s="71">
        <v>74860</v>
      </c>
      <c r="C44" s="24" t="s">
        <v>23</v>
      </c>
      <c r="D44" s="24" t="s">
        <v>25</v>
      </c>
      <c r="E44" s="49" t="s">
        <v>424</v>
      </c>
      <c r="F44" s="49" t="s">
        <v>425</v>
      </c>
      <c r="G44" s="25">
        <v>100</v>
      </c>
      <c r="H44" s="29">
        <v>6500</v>
      </c>
      <c r="I44" s="20"/>
    </row>
    <row r="45" spans="1:9" x14ac:dyDescent="0.3">
      <c r="A45" s="20"/>
      <c r="B45" s="71">
        <v>74861</v>
      </c>
      <c r="C45" s="24" t="s">
        <v>23</v>
      </c>
      <c r="D45" s="24" t="s">
        <v>25</v>
      </c>
      <c r="E45" s="49" t="s">
        <v>422</v>
      </c>
      <c r="F45" s="49" t="s">
        <v>423</v>
      </c>
      <c r="G45" s="25">
        <v>100</v>
      </c>
      <c r="H45" s="29">
        <v>2500</v>
      </c>
      <c r="I45" s="20"/>
    </row>
    <row r="46" spans="1:9" x14ac:dyDescent="0.3">
      <c r="A46" s="20"/>
      <c r="B46" s="71">
        <v>74862</v>
      </c>
      <c r="C46" s="24" t="s">
        <v>23</v>
      </c>
      <c r="D46" s="24" t="s">
        <v>25</v>
      </c>
      <c r="E46" s="49" t="s">
        <v>420</v>
      </c>
      <c r="F46" s="49" t="s">
        <v>421</v>
      </c>
      <c r="G46" s="25">
        <v>100</v>
      </c>
      <c r="H46" s="29">
        <v>3500</v>
      </c>
      <c r="I46" s="20"/>
    </row>
    <row r="47" spans="1:9" x14ac:dyDescent="0.3">
      <c r="A47" s="20"/>
      <c r="B47" s="71">
        <v>74863</v>
      </c>
      <c r="C47" s="24" t="s">
        <v>23</v>
      </c>
      <c r="D47" s="24" t="s">
        <v>25</v>
      </c>
      <c r="E47" s="49" t="s">
        <v>419</v>
      </c>
      <c r="F47" s="49" t="s">
        <v>440</v>
      </c>
      <c r="G47" s="25">
        <v>100</v>
      </c>
      <c r="H47" s="29">
        <v>-4300</v>
      </c>
      <c r="I47" s="20"/>
    </row>
    <row r="48" spans="1:9" x14ac:dyDescent="0.3">
      <c r="A48" s="20"/>
      <c r="B48" s="71">
        <v>74863</v>
      </c>
      <c r="C48" s="24" t="s">
        <v>23</v>
      </c>
      <c r="D48" s="24" t="s">
        <v>25</v>
      </c>
      <c r="E48" s="49" t="s">
        <v>417</v>
      </c>
      <c r="F48" s="49" t="s">
        <v>418</v>
      </c>
      <c r="G48" s="25">
        <v>100</v>
      </c>
      <c r="H48" s="29">
        <v>7000</v>
      </c>
      <c r="I48" s="20"/>
    </row>
    <row r="49" spans="1:9" x14ac:dyDescent="0.3">
      <c r="A49" s="20"/>
      <c r="B49" s="71">
        <v>74864</v>
      </c>
      <c r="C49" s="24" t="s">
        <v>23</v>
      </c>
      <c r="D49" s="24" t="s">
        <v>25</v>
      </c>
      <c r="E49" s="49" t="s">
        <v>415</v>
      </c>
      <c r="F49" s="49" t="s">
        <v>416</v>
      </c>
      <c r="G49" s="25">
        <v>100</v>
      </c>
      <c r="H49" s="29">
        <v>-4000</v>
      </c>
      <c r="I49" s="20"/>
    </row>
    <row r="50" spans="1:9" x14ac:dyDescent="0.3">
      <c r="A50" s="20"/>
      <c r="B50" s="71">
        <v>74867</v>
      </c>
      <c r="C50" s="24" t="s">
        <v>23</v>
      </c>
      <c r="D50" s="24" t="s">
        <v>25</v>
      </c>
      <c r="E50" s="49" t="s">
        <v>424</v>
      </c>
      <c r="F50" s="49" t="s">
        <v>430</v>
      </c>
      <c r="G50" s="25">
        <v>100</v>
      </c>
      <c r="H50" s="29">
        <v>6000</v>
      </c>
      <c r="I50" s="20"/>
    </row>
    <row r="51" spans="1:9" x14ac:dyDescent="0.3">
      <c r="A51" s="20"/>
      <c r="B51" s="71">
        <v>74868</v>
      </c>
      <c r="C51" s="24" t="s">
        <v>23</v>
      </c>
      <c r="D51" s="24" t="s">
        <v>25</v>
      </c>
      <c r="E51" s="49" t="s">
        <v>428</v>
      </c>
      <c r="F51" s="49" t="s">
        <v>429</v>
      </c>
      <c r="G51" s="25">
        <v>100</v>
      </c>
      <c r="H51" s="29">
        <v>4000</v>
      </c>
      <c r="I51" s="20"/>
    </row>
    <row r="52" spans="1:9" x14ac:dyDescent="0.3">
      <c r="A52" s="20"/>
      <c r="B52" s="71">
        <v>74869</v>
      </c>
      <c r="C52" s="24" t="s">
        <v>23</v>
      </c>
      <c r="D52" s="24" t="s">
        <v>25</v>
      </c>
      <c r="E52" s="49" t="s">
        <v>426</v>
      </c>
      <c r="F52" s="49" t="s">
        <v>427</v>
      </c>
      <c r="G52" s="25">
        <v>100</v>
      </c>
      <c r="H52" s="29">
        <v>3000</v>
      </c>
      <c r="I52" s="20"/>
    </row>
    <row r="53" spans="1:9" x14ac:dyDescent="0.3">
      <c r="A53" s="20"/>
      <c r="B53" s="71">
        <v>74871</v>
      </c>
      <c r="C53" s="24" t="s">
        <v>23</v>
      </c>
      <c r="D53" s="24" t="s">
        <v>25</v>
      </c>
      <c r="E53" s="49" t="s">
        <v>431</v>
      </c>
      <c r="F53" s="49" t="s">
        <v>432</v>
      </c>
      <c r="G53" s="25">
        <v>100</v>
      </c>
      <c r="H53" s="29">
        <v>4500</v>
      </c>
      <c r="I53" s="20"/>
    </row>
    <row r="54" spans="1:9" x14ac:dyDescent="0.3">
      <c r="A54" s="20"/>
      <c r="B54" s="71">
        <v>74874</v>
      </c>
      <c r="C54" s="24" t="s">
        <v>55</v>
      </c>
      <c r="D54" s="24" t="s">
        <v>25</v>
      </c>
      <c r="E54" s="49" t="s">
        <v>433</v>
      </c>
      <c r="F54" s="49" t="s">
        <v>434</v>
      </c>
      <c r="G54" s="25">
        <v>100</v>
      </c>
      <c r="H54" s="29">
        <v>-3000</v>
      </c>
      <c r="I54" s="20"/>
    </row>
    <row r="55" spans="1:9" x14ac:dyDescent="0.3">
      <c r="A55" s="20"/>
      <c r="B55" s="71">
        <v>74875</v>
      </c>
      <c r="C55" s="97" t="s">
        <v>23</v>
      </c>
      <c r="D55" s="24" t="s">
        <v>25</v>
      </c>
      <c r="E55" s="97">
        <v>3400</v>
      </c>
      <c r="F55" s="97">
        <v>3435</v>
      </c>
      <c r="G55" s="97">
        <v>100</v>
      </c>
      <c r="H55" s="29">
        <v>-3500</v>
      </c>
      <c r="I55" s="20"/>
    </row>
    <row r="56" spans="1:9" x14ac:dyDescent="0.3">
      <c r="A56" s="20"/>
      <c r="B56" s="71">
        <v>74876</v>
      </c>
      <c r="C56" s="97" t="s">
        <v>23</v>
      </c>
      <c r="D56" s="24" t="s">
        <v>25</v>
      </c>
      <c r="E56" s="97">
        <v>3395</v>
      </c>
      <c r="F56" s="97">
        <v>3350</v>
      </c>
      <c r="G56" s="97">
        <v>100</v>
      </c>
      <c r="H56" s="69">
        <v>4500</v>
      </c>
      <c r="I56" s="20"/>
    </row>
    <row r="57" spans="1:9" ht="15.6" x14ac:dyDescent="0.3">
      <c r="A57" s="20"/>
      <c r="C57" s="24"/>
      <c r="D57" s="24"/>
      <c r="E57" s="97"/>
      <c r="F57" s="97"/>
      <c r="G57" s="97"/>
      <c r="H57" s="46">
        <v>40000</v>
      </c>
      <c r="I57" s="20"/>
    </row>
    <row r="58" spans="1:9" x14ac:dyDescent="0.3">
      <c r="A58" s="20"/>
      <c r="C58" s="29"/>
      <c r="D58" s="24"/>
      <c r="E58" s="97"/>
      <c r="F58" s="97"/>
      <c r="G58" s="97"/>
      <c r="H58" s="69"/>
      <c r="I58" s="67"/>
    </row>
    <row r="59" spans="1:9" x14ac:dyDescent="0.3">
      <c r="A59" s="20"/>
      <c r="B59" s="71"/>
      <c r="C59" s="29"/>
      <c r="D59" s="97"/>
      <c r="E59" s="97"/>
      <c r="F59" s="97"/>
      <c r="G59" s="97"/>
      <c r="H59" s="69"/>
      <c r="I59" s="67"/>
    </row>
    <row r="60" spans="1:9" ht="15.6" x14ac:dyDescent="0.3">
      <c r="A60" s="20"/>
      <c r="B60" s="71"/>
      <c r="C60" s="29"/>
      <c r="D60" s="36"/>
      <c r="E60" s="29"/>
      <c r="F60" s="29"/>
      <c r="G60" s="29"/>
      <c r="H60" s="70"/>
      <c r="I60" s="67"/>
    </row>
    <row r="61" spans="1:9" x14ac:dyDescent="0.3">
      <c r="A61" s="20"/>
      <c r="B61" s="71"/>
      <c r="C61" s="29"/>
      <c r="D61" s="36"/>
      <c r="E61" s="29"/>
      <c r="F61" s="29"/>
      <c r="G61" s="29"/>
      <c r="H61" s="29"/>
      <c r="I61" s="67"/>
    </row>
    <row r="62" spans="1:9" x14ac:dyDescent="0.3">
      <c r="A62" s="20"/>
      <c r="B62" s="71"/>
      <c r="C62" s="29"/>
      <c r="D62" s="36"/>
      <c r="E62" s="29"/>
      <c r="F62" s="29"/>
      <c r="G62" s="29"/>
      <c r="H62" s="29"/>
      <c r="I62" s="67"/>
    </row>
    <row r="63" spans="1:9" ht="15.6" x14ac:dyDescent="0.3">
      <c r="A63" s="20"/>
      <c r="B63" s="61" t="s">
        <v>394</v>
      </c>
      <c r="C63" s="62"/>
      <c r="D63" s="63"/>
      <c r="E63" s="62"/>
      <c r="F63" s="62"/>
      <c r="G63" s="62"/>
      <c r="H63" s="64"/>
      <c r="I63" s="67"/>
    </row>
    <row r="64" spans="1:9" x14ac:dyDescent="0.3">
      <c r="A64" s="20"/>
      <c r="B64" s="71">
        <v>74846</v>
      </c>
      <c r="C64" s="24" t="s">
        <v>23</v>
      </c>
      <c r="D64" s="24" t="s">
        <v>27</v>
      </c>
      <c r="E64" s="29">
        <v>126</v>
      </c>
      <c r="F64" s="29">
        <v>126.5</v>
      </c>
      <c r="G64" s="29">
        <v>5000</v>
      </c>
      <c r="H64" s="29">
        <v>-2500</v>
      </c>
      <c r="I64" s="67"/>
    </row>
    <row r="65" spans="1:9" x14ac:dyDescent="0.3">
      <c r="A65" s="20"/>
      <c r="B65" s="71">
        <v>74847</v>
      </c>
      <c r="C65" s="24" t="s">
        <v>23</v>
      </c>
      <c r="D65" s="24" t="s">
        <v>28</v>
      </c>
      <c r="E65" s="29">
        <v>138.15</v>
      </c>
      <c r="F65" s="29">
        <v>137.30000000000001</v>
      </c>
      <c r="G65" s="29">
        <v>5000</v>
      </c>
      <c r="H65" s="29">
        <v>4100</v>
      </c>
      <c r="I65" s="67"/>
    </row>
    <row r="66" spans="1:9" x14ac:dyDescent="0.3">
      <c r="A66" s="20"/>
      <c r="B66" s="71">
        <v>74848</v>
      </c>
      <c r="C66" s="24" t="s">
        <v>23</v>
      </c>
      <c r="D66" s="24" t="s">
        <v>28</v>
      </c>
      <c r="E66" s="29">
        <v>136.69999999999999</v>
      </c>
      <c r="F66" s="29">
        <v>135.85</v>
      </c>
      <c r="G66" s="29">
        <v>5000</v>
      </c>
      <c r="H66" s="29">
        <v>4100</v>
      </c>
      <c r="I66" s="67"/>
    </row>
    <row r="67" spans="1:9" x14ac:dyDescent="0.3">
      <c r="A67" s="20"/>
      <c r="B67" s="71">
        <v>74849</v>
      </c>
      <c r="C67" s="24" t="s">
        <v>23</v>
      </c>
      <c r="D67" s="24" t="s">
        <v>28</v>
      </c>
      <c r="E67" s="29">
        <v>138.30000000000001</v>
      </c>
      <c r="F67" s="29">
        <v>137.69999999999999</v>
      </c>
      <c r="G67" s="29">
        <v>5000</v>
      </c>
      <c r="H67" s="29">
        <v>3000</v>
      </c>
      <c r="I67" s="67"/>
    </row>
    <row r="68" spans="1:9" x14ac:dyDescent="0.3">
      <c r="A68" s="20"/>
      <c r="B68" s="71">
        <v>74850</v>
      </c>
      <c r="C68" s="24" t="s">
        <v>16</v>
      </c>
      <c r="D68" s="24" t="s">
        <v>28</v>
      </c>
      <c r="E68" s="29">
        <v>138.69999999999999</v>
      </c>
      <c r="F68" s="29">
        <v>139.69999999999999</v>
      </c>
      <c r="G68" s="29">
        <v>5000</v>
      </c>
      <c r="H68" s="29">
        <v>5000</v>
      </c>
      <c r="I68" s="67"/>
    </row>
    <row r="69" spans="1:9" x14ac:dyDescent="0.3">
      <c r="A69" s="20"/>
      <c r="B69" s="71">
        <v>74853</v>
      </c>
      <c r="C69" s="24" t="s">
        <v>23</v>
      </c>
      <c r="D69" s="24" t="s">
        <v>28</v>
      </c>
      <c r="E69" s="29">
        <v>138.19999999999999</v>
      </c>
      <c r="F69" s="29">
        <v>137.69999999999999</v>
      </c>
      <c r="G69" s="29">
        <v>5000</v>
      </c>
      <c r="H69" s="29">
        <v>2500</v>
      </c>
      <c r="I69" s="67"/>
    </row>
    <row r="70" spans="1:9" x14ac:dyDescent="0.3">
      <c r="A70" s="20"/>
      <c r="B70" s="71">
        <v>74854</v>
      </c>
      <c r="C70" s="24" t="s">
        <v>23</v>
      </c>
      <c r="D70" s="24" t="s">
        <v>28</v>
      </c>
      <c r="E70" s="29">
        <v>136.80000000000001</v>
      </c>
      <c r="F70" s="29">
        <v>136</v>
      </c>
      <c r="G70" s="29">
        <v>5000</v>
      </c>
      <c r="H70" s="29">
        <v>4000</v>
      </c>
      <c r="I70" s="67"/>
    </row>
    <row r="71" spans="1:9" x14ac:dyDescent="0.3">
      <c r="A71" s="20"/>
      <c r="B71" s="71">
        <v>74855</v>
      </c>
      <c r="C71" s="24" t="s">
        <v>23</v>
      </c>
      <c r="D71" s="24" t="s">
        <v>28</v>
      </c>
      <c r="E71" s="29">
        <v>137.35</v>
      </c>
      <c r="F71" s="29">
        <v>136.35</v>
      </c>
      <c r="G71" s="29">
        <v>5000</v>
      </c>
      <c r="H71" s="29">
        <v>5000</v>
      </c>
      <c r="I71" s="67"/>
    </row>
    <row r="72" spans="1:9" x14ac:dyDescent="0.3">
      <c r="A72" s="20"/>
      <c r="B72" s="71">
        <v>74856</v>
      </c>
      <c r="C72" s="24" t="s">
        <v>23</v>
      </c>
      <c r="D72" s="26" t="s">
        <v>28</v>
      </c>
      <c r="E72" s="29">
        <v>135.6</v>
      </c>
      <c r="F72" s="29">
        <v>134.80000000000001</v>
      </c>
      <c r="G72" s="29">
        <v>5000</v>
      </c>
      <c r="H72" s="29">
        <v>4000</v>
      </c>
      <c r="I72" s="67"/>
    </row>
    <row r="73" spans="1:9" x14ac:dyDescent="0.3">
      <c r="A73" s="20"/>
      <c r="B73" s="71">
        <v>74857</v>
      </c>
      <c r="C73" s="24" t="s">
        <v>23</v>
      </c>
      <c r="D73" s="24" t="s">
        <v>28</v>
      </c>
      <c r="E73" s="29">
        <v>135.69999999999999</v>
      </c>
      <c r="F73" s="29">
        <v>136.5</v>
      </c>
      <c r="G73" s="29">
        <v>5000</v>
      </c>
      <c r="H73" s="29">
        <v>-3500</v>
      </c>
      <c r="I73" s="67"/>
    </row>
    <row r="74" spans="1:9" x14ac:dyDescent="0.3">
      <c r="A74" s="20"/>
      <c r="B74" s="71">
        <v>74860</v>
      </c>
      <c r="C74" s="24" t="s">
        <v>23</v>
      </c>
      <c r="D74" s="24" t="s">
        <v>28</v>
      </c>
      <c r="E74" s="29">
        <v>137.6</v>
      </c>
      <c r="F74" s="29">
        <v>138.4</v>
      </c>
      <c r="G74" s="29">
        <v>5000</v>
      </c>
      <c r="H74" s="29">
        <v>-4000</v>
      </c>
      <c r="I74" s="67"/>
    </row>
    <row r="75" spans="1:9" x14ac:dyDescent="0.3">
      <c r="A75" s="20"/>
      <c r="B75" s="71">
        <v>74861</v>
      </c>
      <c r="C75" s="24" t="s">
        <v>23</v>
      </c>
      <c r="D75" s="24" t="s">
        <v>28</v>
      </c>
      <c r="E75" s="29">
        <v>137.19999999999999</v>
      </c>
      <c r="F75" s="29">
        <v>136.69999999999999</v>
      </c>
      <c r="G75" s="29">
        <v>5000</v>
      </c>
      <c r="H75" s="29">
        <v>2500</v>
      </c>
      <c r="I75" s="67"/>
    </row>
    <row r="76" spans="1:9" x14ac:dyDescent="0.3">
      <c r="A76" s="20"/>
      <c r="B76" s="71">
        <v>74862</v>
      </c>
      <c r="C76" s="24" t="s">
        <v>23</v>
      </c>
      <c r="D76" s="24" t="s">
        <v>28</v>
      </c>
      <c r="E76" s="26">
        <v>135.5</v>
      </c>
      <c r="F76" s="26">
        <v>134.69999999999999</v>
      </c>
      <c r="G76" s="29">
        <v>5000</v>
      </c>
      <c r="H76" s="29">
        <v>4000</v>
      </c>
      <c r="I76" s="67"/>
    </row>
    <row r="77" spans="1:9" x14ac:dyDescent="0.3">
      <c r="A77" s="20"/>
      <c r="B77" s="71">
        <v>74863</v>
      </c>
      <c r="C77" s="24" t="s">
        <v>23</v>
      </c>
      <c r="D77" s="24" t="s">
        <v>28</v>
      </c>
      <c r="E77" s="26">
        <v>133.30000000000001</v>
      </c>
      <c r="F77" s="26">
        <v>134.19999999999999</v>
      </c>
      <c r="G77" s="29">
        <v>5000</v>
      </c>
      <c r="H77" s="29">
        <v>-4500</v>
      </c>
      <c r="I77" s="99"/>
    </row>
    <row r="78" spans="1:9" x14ac:dyDescent="0.3">
      <c r="A78" s="57"/>
      <c r="B78" s="71">
        <v>74864</v>
      </c>
      <c r="C78" s="24" t="s">
        <v>16</v>
      </c>
      <c r="D78" s="24" t="s">
        <v>27</v>
      </c>
      <c r="E78" s="26">
        <v>118.8</v>
      </c>
      <c r="F78" s="26">
        <v>119.3</v>
      </c>
      <c r="G78" s="29">
        <v>5000</v>
      </c>
      <c r="H78" s="29">
        <v>2500</v>
      </c>
      <c r="I78" s="57"/>
    </row>
    <row r="79" spans="1:9" x14ac:dyDescent="0.3">
      <c r="A79" s="57"/>
      <c r="B79" s="71">
        <v>74864</v>
      </c>
      <c r="C79" s="24" t="s">
        <v>23</v>
      </c>
      <c r="D79" s="24" t="s">
        <v>35</v>
      </c>
      <c r="E79" s="26">
        <v>988</v>
      </c>
      <c r="F79" s="26">
        <v>975</v>
      </c>
      <c r="G79" s="29">
        <v>250</v>
      </c>
      <c r="H79" s="29">
        <v>3250</v>
      </c>
      <c r="I79" s="57"/>
    </row>
    <row r="80" spans="1:9" x14ac:dyDescent="0.3">
      <c r="A80" s="57"/>
      <c r="B80" s="71">
        <v>74867</v>
      </c>
      <c r="C80" s="24" t="s">
        <v>16</v>
      </c>
      <c r="D80" s="24" t="s">
        <v>56</v>
      </c>
      <c r="E80" s="26">
        <v>120</v>
      </c>
      <c r="F80" s="26">
        <v>119.2</v>
      </c>
      <c r="G80" s="29">
        <v>5000</v>
      </c>
      <c r="H80" s="29">
        <v>-4000</v>
      </c>
      <c r="I80" s="57"/>
    </row>
    <row r="81" spans="1:9" x14ac:dyDescent="0.3">
      <c r="A81" s="57"/>
      <c r="B81" s="71">
        <v>74868</v>
      </c>
      <c r="C81" s="24" t="s">
        <v>23</v>
      </c>
      <c r="D81" s="24" t="s">
        <v>27</v>
      </c>
      <c r="E81" s="26">
        <v>118.6</v>
      </c>
      <c r="F81" s="26">
        <v>117.6</v>
      </c>
      <c r="G81" s="29">
        <v>5000</v>
      </c>
      <c r="H81" s="29">
        <v>5000</v>
      </c>
      <c r="I81" s="57"/>
    </row>
    <row r="82" spans="1:9" x14ac:dyDescent="0.3">
      <c r="A82" s="57"/>
      <c r="B82" s="71">
        <v>74869</v>
      </c>
      <c r="C82" s="24" t="s">
        <v>23</v>
      </c>
      <c r="D82" s="24" t="s">
        <v>27</v>
      </c>
      <c r="E82" s="29">
        <v>117.55</v>
      </c>
      <c r="F82" s="29">
        <v>117.05</v>
      </c>
      <c r="G82" s="29">
        <v>5000</v>
      </c>
      <c r="H82" s="29">
        <v>2500</v>
      </c>
      <c r="I82" s="57"/>
    </row>
    <row r="83" spans="1:9" x14ac:dyDescent="0.3">
      <c r="A83" s="57"/>
      <c r="B83" s="71">
        <v>74871</v>
      </c>
      <c r="C83" s="75" t="s">
        <v>23</v>
      </c>
      <c r="D83" s="75" t="s">
        <v>28</v>
      </c>
      <c r="E83" s="45">
        <v>137.5</v>
      </c>
      <c r="F83" s="75">
        <v>137</v>
      </c>
      <c r="G83" s="29">
        <v>5000</v>
      </c>
      <c r="H83" s="29">
        <v>2500</v>
      </c>
      <c r="I83" s="57"/>
    </row>
    <row r="84" spans="1:9" x14ac:dyDescent="0.3">
      <c r="A84" s="57"/>
      <c r="B84" s="71">
        <v>74874</v>
      </c>
      <c r="C84" s="75" t="s">
        <v>23</v>
      </c>
      <c r="D84" s="75" t="s">
        <v>28</v>
      </c>
      <c r="E84" s="75">
        <v>137.80000000000001</v>
      </c>
      <c r="F84" s="75">
        <v>136.9</v>
      </c>
      <c r="G84" s="29">
        <v>5000</v>
      </c>
      <c r="H84" s="29">
        <v>4000</v>
      </c>
      <c r="I84" s="57"/>
    </row>
    <row r="85" spans="1:9" x14ac:dyDescent="0.3">
      <c r="A85" s="57"/>
      <c r="B85" s="71">
        <v>74875</v>
      </c>
      <c r="C85" s="75" t="s">
        <v>23</v>
      </c>
      <c r="D85" s="75" t="s">
        <v>28</v>
      </c>
      <c r="E85" s="75">
        <v>136.19999999999999</v>
      </c>
      <c r="F85" s="75">
        <v>135.85</v>
      </c>
      <c r="G85" s="29">
        <v>5000</v>
      </c>
      <c r="H85" s="45">
        <v>1750</v>
      </c>
      <c r="I85" s="57"/>
    </row>
    <row r="86" spans="1:9" x14ac:dyDescent="0.3">
      <c r="A86" s="57"/>
      <c r="B86" s="71">
        <v>74876</v>
      </c>
      <c r="C86" s="75" t="s">
        <v>23</v>
      </c>
      <c r="D86" s="75" t="s">
        <v>27</v>
      </c>
      <c r="E86" s="75">
        <v>117.2</v>
      </c>
      <c r="F86" s="75">
        <v>117.2</v>
      </c>
      <c r="G86" s="29">
        <v>5000</v>
      </c>
      <c r="H86" s="75">
        <v>0</v>
      </c>
      <c r="I86" s="57"/>
    </row>
    <row r="87" spans="1:9" ht="15.6" x14ac:dyDescent="0.3">
      <c r="A87" s="57"/>
      <c r="C87" s="18"/>
      <c r="D87" s="18"/>
      <c r="E87" s="18"/>
      <c r="F87" s="18"/>
      <c r="G87" s="18"/>
      <c r="H87" s="46">
        <v>41200</v>
      </c>
      <c r="I87" s="57"/>
    </row>
    <row r="88" spans="1:9" x14ac:dyDescent="0.3">
      <c r="A88" s="57"/>
      <c r="C88" s="18"/>
      <c r="D88" s="18"/>
      <c r="E88" s="18"/>
      <c r="F88" s="18"/>
      <c r="G88" s="18"/>
      <c r="H88" s="18"/>
      <c r="I88" s="57"/>
    </row>
    <row r="89" spans="1:9" x14ac:dyDescent="0.3">
      <c r="A89" s="57"/>
      <c r="B89" s="18"/>
      <c r="C89" s="18"/>
      <c r="D89" s="18"/>
      <c r="E89" s="18"/>
      <c r="F89" s="18"/>
      <c r="G89" s="18"/>
      <c r="H89" s="18"/>
      <c r="I89" s="57"/>
    </row>
    <row r="90" spans="1:9" x14ac:dyDescent="0.3">
      <c r="A90" s="57"/>
      <c r="B90" s="18"/>
      <c r="C90" s="18"/>
      <c r="D90" s="18"/>
      <c r="E90" s="18"/>
      <c r="F90" s="18"/>
      <c r="G90" s="18"/>
      <c r="H90" s="18"/>
      <c r="I90" s="57"/>
    </row>
    <row r="91" spans="1:9" x14ac:dyDescent="0.3">
      <c r="A91" s="57"/>
      <c r="B91" s="18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B92" s="18"/>
      <c r="C92" s="18"/>
      <c r="D92" s="18"/>
      <c r="E92" s="18"/>
      <c r="F92" s="18"/>
      <c r="G92" s="18"/>
      <c r="H92" s="18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800-000000000000}"/>
  </hyperlinks>
  <pageMargins left="0.7" right="0.7" top="0.75" bottom="0.75" header="0.3" footer="0.3"/>
  <pageSetup orientation="portrait" horizontalDpi="300" verticalDpi="0" r:id="rId1"/>
  <ignoredErrors>
    <ignoredError sqref="E34:F37 E38:F42 E43:F43 E44:F46 K8:N11 E47 E48:F49 E50:F52 F47 E53:F55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443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42005</v>
      </c>
      <c r="C5" s="24"/>
      <c r="D5" s="26"/>
      <c r="E5" s="29"/>
      <c r="F5" s="29"/>
      <c r="G5" s="29"/>
      <c r="H5" s="29"/>
      <c r="I5" s="20"/>
      <c r="J5" s="34"/>
    </row>
    <row r="6" spans="1:14" x14ac:dyDescent="0.3">
      <c r="A6" s="20"/>
      <c r="B6" s="71">
        <v>42006</v>
      </c>
      <c r="C6" s="24" t="s">
        <v>23</v>
      </c>
      <c r="D6" s="26" t="s">
        <v>24</v>
      </c>
      <c r="E6" s="29">
        <v>26680</v>
      </c>
      <c r="F6" s="29">
        <v>26500</v>
      </c>
      <c r="G6" s="29">
        <v>100</v>
      </c>
      <c r="H6" s="29">
        <v>18000</v>
      </c>
      <c r="I6" s="20"/>
      <c r="J6" s="34"/>
    </row>
    <row r="7" spans="1:14" x14ac:dyDescent="0.3">
      <c r="A7" s="20"/>
      <c r="B7" s="71">
        <v>42009</v>
      </c>
      <c r="C7" s="24" t="s">
        <v>23</v>
      </c>
      <c r="D7" s="26" t="s">
        <v>24</v>
      </c>
      <c r="E7" s="29" t="s">
        <v>444</v>
      </c>
      <c r="F7" s="29" t="s">
        <v>445</v>
      </c>
      <c r="G7" s="29" t="s">
        <v>446</v>
      </c>
      <c r="H7" s="29" t="s">
        <v>447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42010</v>
      </c>
      <c r="C8" s="24" t="s">
        <v>23</v>
      </c>
      <c r="D8" s="26" t="s">
        <v>24</v>
      </c>
      <c r="E8" s="29" t="s">
        <v>448</v>
      </c>
      <c r="F8" s="29" t="s">
        <v>449</v>
      </c>
      <c r="G8" s="29" t="s">
        <v>446</v>
      </c>
      <c r="H8" s="29" t="s">
        <v>450</v>
      </c>
      <c r="I8" s="20"/>
      <c r="J8" s="100" t="s">
        <v>257</v>
      </c>
      <c r="K8" s="49" t="s">
        <v>265</v>
      </c>
      <c r="L8" s="101" t="s">
        <v>291</v>
      </c>
      <c r="M8" s="101" t="s">
        <v>264</v>
      </c>
      <c r="N8" s="101" t="s">
        <v>262</v>
      </c>
    </row>
    <row r="9" spans="1:14" x14ac:dyDescent="0.3">
      <c r="A9" s="20"/>
      <c r="B9" s="71">
        <v>42011</v>
      </c>
      <c r="C9" s="24" t="s">
        <v>23</v>
      </c>
      <c r="D9" s="26" t="s">
        <v>24</v>
      </c>
      <c r="E9" s="29" t="s">
        <v>451</v>
      </c>
      <c r="F9" s="29" t="s">
        <v>448</v>
      </c>
      <c r="G9" s="29" t="s">
        <v>446</v>
      </c>
      <c r="H9" s="29" t="s">
        <v>452</v>
      </c>
      <c r="I9" s="20"/>
      <c r="J9" s="100" t="s">
        <v>258</v>
      </c>
      <c r="K9" s="101" t="s">
        <v>491</v>
      </c>
      <c r="L9" s="101" t="s">
        <v>265</v>
      </c>
      <c r="M9" s="101" t="s">
        <v>261</v>
      </c>
      <c r="N9" s="101" t="s">
        <v>262</v>
      </c>
    </row>
    <row r="10" spans="1:14" x14ac:dyDescent="0.3">
      <c r="A10" s="20"/>
      <c r="B10" s="71">
        <v>42012</v>
      </c>
      <c r="C10" s="24" t="s">
        <v>23</v>
      </c>
      <c r="D10" s="78" t="s">
        <v>24</v>
      </c>
      <c r="E10" s="29" t="s">
        <v>453</v>
      </c>
      <c r="F10" s="29" t="s">
        <v>454</v>
      </c>
      <c r="G10" s="29" t="s">
        <v>446</v>
      </c>
      <c r="H10" s="29" t="s">
        <v>455</v>
      </c>
      <c r="I10" s="20"/>
      <c r="J10" s="100" t="s">
        <v>259</v>
      </c>
      <c r="K10" s="101" t="s">
        <v>491</v>
      </c>
      <c r="L10" s="101" t="s">
        <v>265</v>
      </c>
      <c r="M10" s="101" t="s">
        <v>261</v>
      </c>
      <c r="N10" s="101" t="s">
        <v>262</v>
      </c>
    </row>
    <row r="11" spans="1:14" x14ac:dyDescent="0.3">
      <c r="A11" s="20"/>
      <c r="B11" s="71">
        <v>42013</v>
      </c>
      <c r="C11" s="91" t="s">
        <v>23</v>
      </c>
      <c r="D11" s="92" t="s">
        <v>24</v>
      </c>
      <c r="E11" s="93" t="s">
        <v>456</v>
      </c>
      <c r="F11" s="93" t="s">
        <v>457</v>
      </c>
      <c r="G11" s="93" t="s">
        <v>446</v>
      </c>
      <c r="H11" s="93" t="s">
        <v>458</v>
      </c>
      <c r="I11" s="20"/>
      <c r="J11" s="100" t="s">
        <v>300</v>
      </c>
      <c r="K11" s="101" t="s">
        <v>492</v>
      </c>
      <c r="L11" s="101" t="s">
        <v>303</v>
      </c>
      <c r="M11" s="101" t="s">
        <v>436</v>
      </c>
      <c r="N11" s="101" t="s">
        <v>262</v>
      </c>
    </row>
    <row r="12" spans="1:14" x14ac:dyDescent="0.3">
      <c r="A12" s="20"/>
      <c r="B12" s="71">
        <v>42016</v>
      </c>
      <c r="C12" s="24" t="s">
        <v>23</v>
      </c>
      <c r="D12" s="26" t="s">
        <v>24</v>
      </c>
      <c r="E12" s="29">
        <v>26970</v>
      </c>
      <c r="F12" s="29">
        <v>26850</v>
      </c>
      <c r="G12" s="29">
        <v>100</v>
      </c>
      <c r="H12" s="29">
        <v>12000</v>
      </c>
      <c r="I12" s="20"/>
      <c r="J12" s="34"/>
    </row>
    <row r="13" spans="1:14" x14ac:dyDescent="0.3">
      <c r="A13" s="20"/>
      <c r="B13" s="71">
        <v>42017</v>
      </c>
      <c r="C13" s="24" t="s">
        <v>23</v>
      </c>
      <c r="D13" s="24" t="s">
        <v>24</v>
      </c>
      <c r="E13" s="29">
        <v>27190</v>
      </c>
      <c r="F13" s="29">
        <v>27120</v>
      </c>
      <c r="G13" s="29">
        <v>100</v>
      </c>
      <c r="H13" s="29">
        <v>7000</v>
      </c>
      <c r="I13" s="20"/>
      <c r="J13" s="34"/>
      <c r="K13" s="87" t="s">
        <v>493</v>
      </c>
      <c r="L13" s="88"/>
      <c r="M13" s="89"/>
    </row>
    <row r="14" spans="1:14" x14ac:dyDescent="0.3">
      <c r="A14" s="20"/>
      <c r="B14" s="71">
        <v>42018</v>
      </c>
      <c r="C14" s="24"/>
      <c r="D14" s="26"/>
      <c r="E14" s="29"/>
      <c r="F14" s="29"/>
      <c r="G14" s="29"/>
      <c r="H14" s="69"/>
      <c r="I14" s="20"/>
      <c r="J14" s="34"/>
    </row>
    <row r="15" spans="1:14" x14ac:dyDescent="0.3">
      <c r="A15" s="20"/>
      <c r="B15" s="71">
        <v>42019</v>
      </c>
      <c r="C15" s="24"/>
      <c r="D15" s="26"/>
      <c r="E15" s="29"/>
      <c r="F15" s="29"/>
      <c r="G15" s="29"/>
      <c r="H15" s="69"/>
      <c r="I15" s="20"/>
      <c r="J15" s="34"/>
    </row>
    <row r="16" spans="1:14" x14ac:dyDescent="0.3">
      <c r="A16" s="20"/>
      <c r="B16" s="71">
        <v>42020</v>
      </c>
      <c r="C16" s="24" t="s">
        <v>23</v>
      </c>
      <c r="D16" s="26" t="s">
        <v>24</v>
      </c>
      <c r="E16" s="29">
        <v>27430</v>
      </c>
      <c r="F16" s="29">
        <v>27530</v>
      </c>
      <c r="G16" s="29">
        <v>100</v>
      </c>
      <c r="H16" s="69">
        <v>-10000</v>
      </c>
      <c r="I16" s="20"/>
      <c r="J16" s="34"/>
    </row>
    <row r="17" spans="1:10" x14ac:dyDescent="0.3">
      <c r="A17" s="20"/>
      <c r="B17" s="71">
        <v>42023</v>
      </c>
      <c r="C17" s="24" t="s">
        <v>23</v>
      </c>
      <c r="D17" s="26" t="s">
        <v>24</v>
      </c>
      <c r="E17" s="29">
        <v>27690</v>
      </c>
      <c r="F17" s="29">
        <v>27650</v>
      </c>
      <c r="G17" s="29">
        <v>100</v>
      </c>
      <c r="H17" s="69">
        <v>4000</v>
      </c>
      <c r="I17" s="20"/>
      <c r="J17" s="34"/>
    </row>
    <row r="18" spans="1:10" x14ac:dyDescent="0.3">
      <c r="A18" s="20"/>
      <c r="B18" s="71">
        <v>42024</v>
      </c>
      <c r="C18" s="24" t="s">
        <v>55</v>
      </c>
      <c r="D18" s="26" t="s">
        <v>22</v>
      </c>
      <c r="E18" s="29">
        <v>39150</v>
      </c>
      <c r="F18" s="29">
        <v>39550</v>
      </c>
      <c r="G18" s="29">
        <v>30</v>
      </c>
      <c r="H18" s="69">
        <v>12000</v>
      </c>
      <c r="I18" s="20"/>
      <c r="J18" s="34"/>
    </row>
    <row r="19" spans="1:10" x14ac:dyDescent="0.3">
      <c r="A19" s="20"/>
      <c r="B19" s="71">
        <v>42025</v>
      </c>
      <c r="C19" s="24" t="s">
        <v>23</v>
      </c>
      <c r="D19" s="26" t="s">
        <v>24</v>
      </c>
      <c r="E19" s="29">
        <v>28140</v>
      </c>
      <c r="F19" s="29">
        <v>28240</v>
      </c>
      <c r="G19" s="29">
        <v>100</v>
      </c>
      <c r="H19" s="69">
        <v>-10000</v>
      </c>
      <c r="I19" s="20"/>
      <c r="J19" s="34"/>
    </row>
    <row r="20" spans="1:10" x14ac:dyDescent="0.3">
      <c r="A20" s="20"/>
      <c r="B20" s="71">
        <v>42026</v>
      </c>
      <c r="C20" s="24" t="s">
        <v>23</v>
      </c>
      <c r="D20" s="26" t="s">
        <v>24</v>
      </c>
      <c r="E20" s="29">
        <v>27880</v>
      </c>
      <c r="F20" s="29">
        <v>27760</v>
      </c>
      <c r="G20" s="29">
        <v>100</v>
      </c>
      <c r="H20" s="69">
        <v>12000</v>
      </c>
      <c r="I20" s="20"/>
      <c r="J20" s="34"/>
    </row>
    <row r="21" spans="1:10" x14ac:dyDescent="0.3">
      <c r="A21" s="20"/>
      <c r="B21" s="71">
        <v>42027</v>
      </c>
      <c r="C21" s="24" t="s">
        <v>23</v>
      </c>
      <c r="D21" s="26" t="s">
        <v>24</v>
      </c>
      <c r="E21" s="29">
        <v>28010</v>
      </c>
      <c r="F21" s="29">
        <v>27940</v>
      </c>
      <c r="G21" s="29">
        <v>100</v>
      </c>
      <c r="H21" s="69">
        <v>7000</v>
      </c>
      <c r="I21" s="20"/>
      <c r="J21" s="34"/>
    </row>
    <row r="22" spans="1:10" x14ac:dyDescent="0.3">
      <c r="A22" s="20"/>
      <c r="B22" s="71">
        <v>42031</v>
      </c>
      <c r="C22" s="24" t="s">
        <v>23</v>
      </c>
      <c r="D22" s="26" t="s">
        <v>24</v>
      </c>
      <c r="E22" s="29">
        <v>27670</v>
      </c>
      <c r="F22" s="29">
        <v>27600</v>
      </c>
      <c r="G22" s="29">
        <v>100</v>
      </c>
      <c r="H22" s="69">
        <v>7000</v>
      </c>
      <c r="I22" s="20"/>
      <c r="J22" s="34"/>
    </row>
    <row r="23" spans="1:10" ht="15.6" x14ac:dyDescent="0.3">
      <c r="A23" s="20"/>
      <c r="B23" s="71">
        <v>42032</v>
      </c>
      <c r="C23" s="24" t="s">
        <v>16</v>
      </c>
      <c r="D23" s="26" t="s">
        <v>24</v>
      </c>
      <c r="E23" s="29">
        <v>27840</v>
      </c>
      <c r="F23" s="29">
        <v>27910</v>
      </c>
      <c r="G23" s="29">
        <v>100</v>
      </c>
      <c r="H23" s="79">
        <v>7000</v>
      </c>
      <c r="I23" s="20"/>
      <c r="J23" s="34"/>
    </row>
    <row r="24" spans="1:10" x14ac:dyDescent="0.3">
      <c r="A24" s="20"/>
      <c r="B24" s="71">
        <v>42033</v>
      </c>
      <c r="C24" s="24" t="s">
        <v>23</v>
      </c>
      <c r="D24" s="26" t="s">
        <v>24</v>
      </c>
      <c r="E24" s="29">
        <v>27740</v>
      </c>
      <c r="F24" s="29">
        <v>27670</v>
      </c>
      <c r="G24" s="29">
        <v>100</v>
      </c>
      <c r="H24" s="69">
        <v>7000</v>
      </c>
      <c r="I24" s="20"/>
      <c r="J24" s="34"/>
    </row>
    <row r="25" spans="1:10" x14ac:dyDescent="0.3">
      <c r="A25" s="20"/>
      <c r="B25" s="71">
        <v>42034</v>
      </c>
      <c r="C25" s="24" t="s">
        <v>23</v>
      </c>
      <c r="D25" s="26" t="s">
        <v>24</v>
      </c>
      <c r="E25" s="29">
        <v>27580</v>
      </c>
      <c r="F25" s="29">
        <v>27680</v>
      </c>
      <c r="G25" s="29">
        <v>100</v>
      </c>
      <c r="H25" s="69">
        <v>-10000</v>
      </c>
      <c r="I25" s="20"/>
      <c r="J25" s="34"/>
    </row>
    <row r="26" spans="1:10" ht="15.6" x14ac:dyDescent="0.3">
      <c r="A26" s="20"/>
      <c r="B26" s="71"/>
      <c r="C26" s="24"/>
      <c r="D26" s="26"/>
      <c r="E26" s="26"/>
      <c r="F26" s="26"/>
      <c r="G26" s="25"/>
      <c r="H26" s="96">
        <v>95000</v>
      </c>
      <c r="I26" s="20"/>
    </row>
    <row r="27" spans="1:10" ht="15.6" x14ac:dyDescent="0.3">
      <c r="A27" s="20"/>
      <c r="C27" s="24"/>
      <c r="D27" s="26"/>
      <c r="E27" s="26"/>
      <c r="F27" s="26"/>
      <c r="G27" s="25"/>
      <c r="H27" s="46"/>
      <c r="I27" s="20"/>
    </row>
    <row r="28" spans="1:10" x14ac:dyDescent="0.3">
      <c r="A28" s="20"/>
      <c r="C28" s="29"/>
      <c r="D28" s="36"/>
      <c r="E28" s="36"/>
      <c r="F28" s="29"/>
      <c r="G28" s="29"/>
      <c r="H28" s="29"/>
      <c r="I28" s="20"/>
    </row>
    <row r="29" spans="1:10" x14ac:dyDescent="0.3">
      <c r="A29" s="20"/>
      <c r="B29" s="71"/>
      <c r="C29" s="29"/>
      <c r="D29" s="36"/>
      <c r="E29" s="36"/>
      <c r="F29" s="29"/>
      <c r="G29" s="29"/>
      <c r="H29" s="29"/>
      <c r="I29" s="20"/>
    </row>
    <row r="30" spans="1:10" x14ac:dyDescent="0.3">
      <c r="A30" s="20"/>
      <c r="B30" s="71"/>
      <c r="C30" s="29"/>
      <c r="D30" s="36"/>
      <c r="E30" s="36"/>
      <c r="F30" s="29"/>
      <c r="G30" s="29"/>
      <c r="H30" s="29"/>
      <c r="I30" s="20"/>
    </row>
    <row r="31" spans="1:10" x14ac:dyDescent="0.3">
      <c r="A31" s="20"/>
      <c r="B31" s="71"/>
      <c r="C31" s="29"/>
      <c r="D31" s="36"/>
      <c r="E31" s="36"/>
      <c r="F31" s="29"/>
      <c r="G31" s="29"/>
      <c r="H31" s="29"/>
      <c r="I31" s="20"/>
    </row>
    <row r="32" spans="1:10" x14ac:dyDescent="0.3">
      <c r="A32" s="20"/>
      <c r="B32" s="71"/>
      <c r="C32" s="29"/>
      <c r="D32" s="36"/>
      <c r="E32" s="36"/>
      <c r="F32" s="29"/>
      <c r="G32" s="29"/>
      <c r="H32" s="29"/>
      <c r="I32" s="20"/>
    </row>
    <row r="33" spans="1:9" ht="15.6" x14ac:dyDescent="0.3">
      <c r="A33" s="20"/>
      <c r="B33" s="61" t="s">
        <v>442</v>
      </c>
      <c r="C33" s="62"/>
      <c r="D33" s="63"/>
      <c r="E33" s="62"/>
      <c r="F33" s="62"/>
      <c r="G33" s="62"/>
      <c r="H33" s="62"/>
      <c r="I33" s="20"/>
    </row>
    <row r="34" spans="1:9" x14ac:dyDescent="0.3">
      <c r="A34" s="20"/>
      <c r="B34" s="71">
        <v>42005</v>
      </c>
      <c r="C34" s="24"/>
      <c r="D34" s="24" t="s">
        <v>25</v>
      </c>
      <c r="E34" s="49"/>
      <c r="F34" s="49"/>
      <c r="G34" s="25">
        <v>100</v>
      </c>
      <c r="H34" s="29"/>
      <c r="I34" s="20"/>
    </row>
    <row r="35" spans="1:9" x14ac:dyDescent="0.3">
      <c r="A35" s="20"/>
      <c r="B35" s="71">
        <v>42006</v>
      </c>
      <c r="C35" s="24" t="s">
        <v>23</v>
      </c>
      <c r="D35" s="24" t="s">
        <v>25</v>
      </c>
      <c r="E35" s="83" t="s">
        <v>468</v>
      </c>
      <c r="F35" s="49" t="s">
        <v>469</v>
      </c>
      <c r="G35" s="25">
        <v>100</v>
      </c>
      <c r="H35" s="29">
        <v>7000</v>
      </c>
      <c r="I35" s="20"/>
    </row>
    <row r="36" spans="1:9" x14ac:dyDescent="0.3">
      <c r="A36" s="20"/>
      <c r="B36" s="71">
        <v>42009</v>
      </c>
      <c r="C36" s="24" t="s">
        <v>23</v>
      </c>
      <c r="D36" s="24" t="s">
        <v>25</v>
      </c>
      <c r="E36" s="49" t="s">
        <v>466</v>
      </c>
      <c r="F36" s="49" t="s">
        <v>467</v>
      </c>
      <c r="G36" s="25">
        <v>100</v>
      </c>
      <c r="H36" s="29">
        <v>5500</v>
      </c>
      <c r="I36" s="20"/>
    </row>
    <row r="37" spans="1:9" x14ac:dyDescent="0.3">
      <c r="A37" s="20"/>
      <c r="B37" s="71">
        <v>42010</v>
      </c>
      <c r="C37" s="24" t="s">
        <v>23</v>
      </c>
      <c r="D37" s="24" t="s">
        <v>25</v>
      </c>
      <c r="E37" s="49" t="s">
        <v>464</v>
      </c>
      <c r="F37" s="49" t="s">
        <v>465</v>
      </c>
      <c r="G37" s="25">
        <v>100</v>
      </c>
      <c r="H37" s="29">
        <v>4000</v>
      </c>
      <c r="I37" s="20"/>
    </row>
    <row r="38" spans="1:9" x14ac:dyDescent="0.3">
      <c r="A38" s="20"/>
      <c r="B38" s="71">
        <v>42011</v>
      </c>
      <c r="C38" s="24" t="s">
        <v>23</v>
      </c>
      <c r="D38" s="24" t="s">
        <v>25</v>
      </c>
      <c r="E38" s="49" t="s">
        <v>462</v>
      </c>
      <c r="F38" s="49" t="s">
        <v>463</v>
      </c>
      <c r="G38" s="25">
        <v>100</v>
      </c>
      <c r="H38" s="29">
        <v>2000</v>
      </c>
      <c r="I38" s="20"/>
    </row>
    <row r="39" spans="1:9" x14ac:dyDescent="0.3">
      <c r="A39" s="20"/>
      <c r="B39" s="71">
        <v>42012</v>
      </c>
      <c r="C39" s="24" t="s">
        <v>23</v>
      </c>
      <c r="D39" s="24" t="s">
        <v>25</v>
      </c>
      <c r="E39" s="83" t="s">
        <v>459</v>
      </c>
      <c r="F39" s="49" t="s">
        <v>461</v>
      </c>
      <c r="G39" s="25">
        <v>100</v>
      </c>
      <c r="H39" s="29">
        <v>2500</v>
      </c>
      <c r="I39" s="20"/>
    </row>
    <row r="40" spans="1:9" x14ac:dyDescent="0.3">
      <c r="A40" s="20"/>
      <c r="B40" s="71">
        <v>42013</v>
      </c>
      <c r="C40" s="24" t="s">
        <v>23</v>
      </c>
      <c r="D40" s="24" t="s">
        <v>25</v>
      </c>
      <c r="E40" s="49" t="s">
        <v>459</v>
      </c>
      <c r="F40" s="49" t="s">
        <v>460</v>
      </c>
      <c r="G40" s="25">
        <v>100</v>
      </c>
      <c r="H40" s="29">
        <v>5500</v>
      </c>
      <c r="I40" s="20"/>
    </row>
    <row r="41" spans="1:9" x14ac:dyDescent="0.3">
      <c r="A41" s="20"/>
      <c r="B41" s="71">
        <v>42016</v>
      </c>
      <c r="C41" s="24" t="s">
        <v>23</v>
      </c>
      <c r="D41" s="24" t="s">
        <v>25</v>
      </c>
      <c r="E41" s="49" t="s">
        <v>476</v>
      </c>
      <c r="F41" s="49" t="s">
        <v>477</v>
      </c>
      <c r="G41" s="25">
        <v>100</v>
      </c>
      <c r="H41" s="29">
        <v>6000</v>
      </c>
      <c r="I41" s="20"/>
    </row>
    <row r="42" spans="1:9" x14ac:dyDescent="0.3">
      <c r="A42" s="20"/>
      <c r="B42" s="71">
        <v>42017</v>
      </c>
      <c r="C42" s="24" t="s">
        <v>23</v>
      </c>
      <c r="D42" s="24" t="s">
        <v>25</v>
      </c>
      <c r="E42" s="49" t="s">
        <v>474</v>
      </c>
      <c r="F42" s="49" t="s">
        <v>475</v>
      </c>
      <c r="G42" s="25">
        <v>100</v>
      </c>
      <c r="H42" s="29">
        <v>2500</v>
      </c>
      <c r="I42" s="20"/>
    </row>
    <row r="43" spans="1:9" x14ac:dyDescent="0.3">
      <c r="A43" s="20"/>
      <c r="B43" s="71">
        <v>42018</v>
      </c>
      <c r="C43" s="24"/>
      <c r="D43" s="24" t="s">
        <v>25</v>
      </c>
      <c r="E43" s="49"/>
      <c r="F43" s="49"/>
      <c r="G43" s="25">
        <v>100</v>
      </c>
      <c r="H43" s="29"/>
      <c r="I43" s="20"/>
    </row>
    <row r="44" spans="1:9" x14ac:dyDescent="0.3">
      <c r="A44" s="20"/>
      <c r="B44" s="71">
        <v>42019</v>
      </c>
      <c r="C44" s="24"/>
      <c r="D44" s="24" t="s">
        <v>25</v>
      </c>
      <c r="E44" s="49"/>
      <c r="F44" s="49"/>
      <c r="G44" s="25">
        <v>100</v>
      </c>
      <c r="H44" s="29"/>
      <c r="I44" s="20"/>
    </row>
    <row r="45" spans="1:9" x14ac:dyDescent="0.3">
      <c r="A45" s="20"/>
      <c r="B45" s="71">
        <v>42020</v>
      </c>
      <c r="C45" s="24" t="s">
        <v>23</v>
      </c>
      <c r="D45" s="24" t="s">
        <v>25</v>
      </c>
      <c r="E45" s="49" t="s">
        <v>472</v>
      </c>
      <c r="F45" s="49" t="s">
        <v>473</v>
      </c>
      <c r="G45" s="25">
        <v>100</v>
      </c>
      <c r="H45" s="29">
        <v>-3000</v>
      </c>
      <c r="I45" s="20"/>
    </row>
    <row r="46" spans="1:9" x14ac:dyDescent="0.3">
      <c r="A46" s="20"/>
      <c r="B46" s="71">
        <v>42023</v>
      </c>
      <c r="C46" s="24" t="s">
        <v>23</v>
      </c>
      <c r="D46" s="24" t="s">
        <v>25</v>
      </c>
      <c r="E46" s="49" t="s">
        <v>460</v>
      </c>
      <c r="F46" s="49" t="s">
        <v>471</v>
      </c>
      <c r="G46" s="25">
        <v>100</v>
      </c>
      <c r="H46" s="29">
        <v>3500</v>
      </c>
      <c r="I46" s="20"/>
    </row>
    <row r="47" spans="1:9" x14ac:dyDescent="0.3">
      <c r="A47" s="20"/>
      <c r="B47" s="71">
        <v>42024</v>
      </c>
      <c r="C47" s="24" t="s">
        <v>23</v>
      </c>
      <c r="D47" s="24" t="s">
        <v>25</v>
      </c>
      <c r="E47" s="49" t="s">
        <v>470</v>
      </c>
      <c r="F47" s="49" t="s">
        <v>479</v>
      </c>
      <c r="G47" s="25">
        <v>100</v>
      </c>
      <c r="H47" s="29">
        <v>5500</v>
      </c>
      <c r="I47" s="20"/>
    </row>
    <row r="48" spans="1:9" x14ac:dyDescent="0.3">
      <c r="A48" s="20"/>
      <c r="B48" s="71">
        <v>42025</v>
      </c>
      <c r="C48" s="24" t="s">
        <v>23</v>
      </c>
      <c r="D48" s="24" t="s">
        <v>25</v>
      </c>
      <c r="E48" s="49" t="s">
        <v>473</v>
      </c>
      <c r="F48" s="49" t="s">
        <v>478</v>
      </c>
      <c r="G48" s="25">
        <v>100</v>
      </c>
      <c r="H48" s="29">
        <v>-3000</v>
      </c>
      <c r="I48" s="20"/>
    </row>
    <row r="49" spans="1:9" x14ac:dyDescent="0.3">
      <c r="A49" s="20"/>
      <c r="B49" s="71">
        <v>42026</v>
      </c>
      <c r="C49" s="24" t="s">
        <v>23</v>
      </c>
      <c r="D49" s="24" t="s">
        <v>25</v>
      </c>
      <c r="E49" s="49" t="s">
        <v>471</v>
      </c>
      <c r="F49" s="49" t="s">
        <v>480</v>
      </c>
      <c r="G49" s="25">
        <v>100</v>
      </c>
      <c r="H49" s="29">
        <v>6000</v>
      </c>
      <c r="I49" s="20"/>
    </row>
    <row r="50" spans="1:9" x14ac:dyDescent="0.3">
      <c r="A50" s="20"/>
      <c r="B50" s="71">
        <v>42027</v>
      </c>
      <c r="C50" s="24" t="s">
        <v>23</v>
      </c>
      <c r="D50" s="24" t="s">
        <v>25</v>
      </c>
      <c r="E50" s="49" t="s">
        <v>489</v>
      </c>
      <c r="F50" s="49" t="s">
        <v>490</v>
      </c>
      <c r="G50" s="25">
        <v>100</v>
      </c>
      <c r="H50" s="29">
        <v>2500</v>
      </c>
      <c r="I50" s="20"/>
    </row>
    <row r="51" spans="1:9" x14ac:dyDescent="0.3">
      <c r="A51" s="20"/>
      <c r="B51" s="71">
        <v>42031</v>
      </c>
      <c r="C51" s="24" t="s">
        <v>23</v>
      </c>
      <c r="D51" s="24" t="s">
        <v>25</v>
      </c>
      <c r="E51" s="49" t="s">
        <v>487</v>
      </c>
      <c r="F51" s="49" t="s">
        <v>488</v>
      </c>
      <c r="G51" s="25">
        <v>100</v>
      </c>
      <c r="H51" s="29">
        <v>1500</v>
      </c>
      <c r="I51" s="20"/>
    </row>
    <row r="52" spans="1:9" x14ac:dyDescent="0.3">
      <c r="A52" s="20"/>
      <c r="B52" s="71">
        <v>42032</v>
      </c>
      <c r="C52" s="24" t="s">
        <v>23</v>
      </c>
      <c r="D52" s="24" t="s">
        <v>25</v>
      </c>
      <c r="E52" s="49" t="s">
        <v>485</v>
      </c>
      <c r="F52" s="49" t="s">
        <v>486</v>
      </c>
      <c r="G52" s="25">
        <v>100</v>
      </c>
      <c r="H52" s="29">
        <v>4000</v>
      </c>
      <c r="I52" s="20"/>
    </row>
    <row r="53" spans="1:9" x14ac:dyDescent="0.3">
      <c r="A53" s="20"/>
      <c r="B53" s="71">
        <v>42033</v>
      </c>
      <c r="C53" s="24" t="s">
        <v>23</v>
      </c>
      <c r="D53" s="24" t="s">
        <v>25</v>
      </c>
      <c r="E53" s="49" t="s">
        <v>483</v>
      </c>
      <c r="F53" s="49" t="s">
        <v>484</v>
      </c>
      <c r="G53" s="25">
        <v>100</v>
      </c>
      <c r="H53" s="29">
        <v>4000</v>
      </c>
      <c r="I53" s="20"/>
    </row>
    <row r="54" spans="1:9" x14ac:dyDescent="0.3">
      <c r="A54" s="20"/>
      <c r="B54" s="71">
        <v>42034</v>
      </c>
      <c r="C54" s="24" t="s">
        <v>23</v>
      </c>
      <c r="D54" s="24" t="s">
        <v>26</v>
      </c>
      <c r="E54" s="49" t="s">
        <v>481</v>
      </c>
      <c r="F54" s="49" t="s">
        <v>482</v>
      </c>
      <c r="G54" s="25">
        <v>1250</v>
      </c>
      <c r="H54" s="29">
        <v>2500</v>
      </c>
      <c r="I54" s="20"/>
    </row>
    <row r="55" spans="1:9" ht="15.6" x14ac:dyDescent="0.3">
      <c r="A55" s="20"/>
      <c r="B55" s="71"/>
      <c r="C55" s="97"/>
      <c r="D55" s="24"/>
      <c r="E55" s="97"/>
      <c r="F55" s="97"/>
      <c r="G55" s="97"/>
      <c r="H55" s="96">
        <v>58500</v>
      </c>
      <c r="I55" s="20"/>
    </row>
    <row r="56" spans="1:9" x14ac:dyDescent="0.3">
      <c r="A56" s="20"/>
      <c r="B56" s="71"/>
      <c r="C56" s="97"/>
      <c r="D56" s="24"/>
      <c r="E56" s="97"/>
      <c r="F56" s="97"/>
      <c r="G56" s="97"/>
      <c r="H56" s="69"/>
      <c r="I56" s="20"/>
    </row>
    <row r="57" spans="1:9" ht="15.6" x14ac:dyDescent="0.3">
      <c r="A57" s="20"/>
      <c r="C57" s="24"/>
      <c r="D57" s="24"/>
      <c r="E57" s="97"/>
      <c r="F57" s="97"/>
      <c r="G57" s="97"/>
      <c r="H57" s="46"/>
      <c r="I57" s="20"/>
    </row>
    <row r="58" spans="1:9" x14ac:dyDescent="0.3">
      <c r="A58" s="20"/>
      <c r="C58" s="29"/>
      <c r="D58" s="24"/>
      <c r="E58" s="97"/>
      <c r="F58" s="97"/>
      <c r="G58" s="97"/>
      <c r="H58" s="69"/>
      <c r="I58" s="67"/>
    </row>
    <row r="59" spans="1:9" x14ac:dyDescent="0.3">
      <c r="A59" s="20"/>
      <c r="B59" s="71"/>
      <c r="C59" s="29"/>
      <c r="D59" s="97"/>
      <c r="E59" s="97"/>
      <c r="F59" s="97"/>
      <c r="G59" s="97"/>
      <c r="H59" s="69"/>
      <c r="I59" s="67"/>
    </row>
    <row r="60" spans="1:9" ht="15.6" x14ac:dyDescent="0.3">
      <c r="A60" s="20"/>
      <c r="B60" s="71"/>
      <c r="C60" s="29"/>
      <c r="D60" s="36"/>
      <c r="E60" s="29"/>
      <c r="F60" s="29"/>
      <c r="G60" s="29"/>
      <c r="H60" s="70"/>
      <c r="I60" s="67"/>
    </row>
    <row r="61" spans="1:9" x14ac:dyDescent="0.3">
      <c r="A61" s="20"/>
      <c r="B61" s="71"/>
      <c r="C61" s="29"/>
      <c r="D61" s="36"/>
      <c r="E61" s="29"/>
      <c r="F61" s="29"/>
      <c r="G61" s="29"/>
      <c r="H61" s="29"/>
      <c r="I61" s="67"/>
    </row>
    <row r="62" spans="1:9" x14ac:dyDescent="0.3">
      <c r="A62" s="20"/>
      <c r="B62" s="71"/>
      <c r="C62" s="29"/>
      <c r="D62" s="36"/>
      <c r="E62" s="29"/>
      <c r="F62" s="29"/>
      <c r="G62" s="29"/>
      <c r="H62" s="29"/>
      <c r="I62" s="67"/>
    </row>
    <row r="63" spans="1:9" ht="15.6" x14ac:dyDescent="0.3">
      <c r="A63" s="20"/>
      <c r="B63" s="61" t="s">
        <v>441</v>
      </c>
      <c r="C63" s="62"/>
      <c r="D63" s="63"/>
      <c r="E63" s="62"/>
      <c r="F63" s="62"/>
      <c r="G63" s="62"/>
      <c r="H63" s="64"/>
      <c r="I63" s="67"/>
    </row>
    <row r="64" spans="1:9" x14ac:dyDescent="0.3">
      <c r="A64" s="20"/>
      <c r="B64" s="71">
        <v>42005</v>
      </c>
      <c r="C64" s="24"/>
      <c r="D64" s="24"/>
      <c r="E64" s="29"/>
      <c r="F64" s="29"/>
      <c r="G64" s="29"/>
      <c r="H64" s="29"/>
      <c r="I64" s="67"/>
    </row>
    <row r="65" spans="1:9" x14ac:dyDescent="0.3">
      <c r="A65" s="20"/>
      <c r="B65" s="71">
        <v>42006</v>
      </c>
      <c r="C65" s="24" t="s">
        <v>23</v>
      </c>
      <c r="D65" s="24" t="s">
        <v>28</v>
      </c>
      <c r="E65" s="29">
        <v>137.4</v>
      </c>
      <c r="F65" s="29">
        <v>138</v>
      </c>
      <c r="G65" s="29">
        <v>5000</v>
      </c>
      <c r="H65" s="29">
        <v>-3000</v>
      </c>
      <c r="I65" s="67"/>
    </row>
    <row r="66" spans="1:9" x14ac:dyDescent="0.3">
      <c r="A66" s="20"/>
      <c r="B66" s="71">
        <v>42009</v>
      </c>
      <c r="C66" s="24" t="s">
        <v>23</v>
      </c>
      <c r="D66" s="24" t="s">
        <v>29</v>
      </c>
      <c r="E66" s="29">
        <v>396</v>
      </c>
      <c r="F66" s="29">
        <v>389</v>
      </c>
      <c r="G66" s="29">
        <v>1000</v>
      </c>
      <c r="H66" s="29">
        <v>7000</v>
      </c>
      <c r="I66" s="67"/>
    </row>
    <row r="67" spans="1:9" x14ac:dyDescent="0.3">
      <c r="A67" s="20"/>
      <c r="B67" s="71">
        <v>42010</v>
      </c>
      <c r="C67" s="24" t="s">
        <v>23</v>
      </c>
      <c r="D67" s="24" t="s">
        <v>56</v>
      </c>
      <c r="E67" s="29">
        <v>114.1</v>
      </c>
      <c r="F67" s="29">
        <v>112.6</v>
      </c>
      <c r="G67" s="29">
        <v>5000</v>
      </c>
      <c r="H67" s="29">
        <v>7500</v>
      </c>
      <c r="I67" s="67"/>
    </row>
    <row r="68" spans="1:9" x14ac:dyDescent="0.3">
      <c r="A68" s="20"/>
      <c r="B68" s="71">
        <v>42011</v>
      </c>
      <c r="C68" s="24" t="s">
        <v>23</v>
      </c>
      <c r="D68" s="24" t="s">
        <v>27</v>
      </c>
      <c r="E68" s="29">
        <v>116.7</v>
      </c>
      <c r="F68" s="29">
        <v>115.8</v>
      </c>
      <c r="G68" s="29">
        <v>5000</v>
      </c>
      <c r="H68" s="29">
        <v>4500</v>
      </c>
      <c r="I68" s="67"/>
    </row>
    <row r="69" spans="1:9" x14ac:dyDescent="0.3">
      <c r="A69" s="20"/>
      <c r="B69" s="71">
        <v>42012</v>
      </c>
      <c r="C69" s="24" t="s">
        <v>23</v>
      </c>
      <c r="D69" s="24" t="s">
        <v>27</v>
      </c>
      <c r="E69" s="29">
        <v>116.6</v>
      </c>
      <c r="F69" s="29">
        <v>116</v>
      </c>
      <c r="G69" s="29">
        <v>5000</v>
      </c>
      <c r="H69" s="29">
        <v>2500</v>
      </c>
      <c r="I69" s="67"/>
    </row>
    <row r="70" spans="1:9" x14ac:dyDescent="0.3">
      <c r="A70" s="20"/>
      <c r="B70" s="71">
        <v>42013</v>
      </c>
      <c r="C70" s="24" t="s">
        <v>23</v>
      </c>
      <c r="D70" s="24" t="s">
        <v>27</v>
      </c>
      <c r="E70" s="29">
        <v>115.1</v>
      </c>
      <c r="F70" s="29">
        <v>114.3</v>
      </c>
      <c r="G70" s="29">
        <v>5000</v>
      </c>
      <c r="H70" s="29">
        <v>3500</v>
      </c>
      <c r="I70" s="67"/>
    </row>
    <row r="71" spans="1:9" x14ac:dyDescent="0.3">
      <c r="A71" s="20"/>
      <c r="B71" s="71">
        <v>42016</v>
      </c>
      <c r="C71" s="24" t="s">
        <v>23</v>
      </c>
      <c r="D71" s="24" t="s">
        <v>29</v>
      </c>
      <c r="E71" s="29">
        <v>382</v>
      </c>
      <c r="F71" s="29">
        <v>376</v>
      </c>
      <c r="G71" s="29">
        <v>1000</v>
      </c>
      <c r="H71" s="29">
        <v>6000</v>
      </c>
      <c r="I71" s="67"/>
    </row>
    <row r="72" spans="1:9" x14ac:dyDescent="0.3">
      <c r="A72" s="20"/>
      <c r="B72" s="71">
        <v>42017</v>
      </c>
      <c r="C72" s="24" t="s">
        <v>23</v>
      </c>
      <c r="D72" s="24" t="s">
        <v>27</v>
      </c>
      <c r="E72" s="29">
        <v>132</v>
      </c>
      <c r="F72" s="29">
        <v>131</v>
      </c>
      <c r="G72" s="29">
        <v>5000</v>
      </c>
      <c r="H72" s="29">
        <v>5000</v>
      </c>
      <c r="I72" s="67"/>
    </row>
    <row r="73" spans="1:9" x14ac:dyDescent="0.3">
      <c r="A73" s="20"/>
      <c r="B73" s="71">
        <v>42017</v>
      </c>
      <c r="C73" s="24" t="s">
        <v>23</v>
      </c>
      <c r="D73" s="26" t="s">
        <v>29</v>
      </c>
      <c r="E73" s="29">
        <v>372</v>
      </c>
      <c r="F73" s="29">
        <v>366</v>
      </c>
      <c r="G73" s="29">
        <v>1000</v>
      </c>
      <c r="H73" s="29">
        <v>6000</v>
      </c>
      <c r="I73" s="67"/>
    </row>
    <row r="74" spans="1:9" x14ac:dyDescent="0.3">
      <c r="A74" s="20"/>
      <c r="B74" s="71">
        <v>42018</v>
      </c>
      <c r="C74" s="24"/>
      <c r="D74" s="24"/>
      <c r="E74" s="29"/>
      <c r="F74" s="29"/>
      <c r="G74" s="29"/>
      <c r="H74" s="29"/>
      <c r="I74" s="67"/>
    </row>
    <row r="75" spans="1:9" x14ac:dyDescent="0.3">
      <c r="A75" s="20"/>
      <c r="B75" s="71">
        <v>42019</v>
      </c>
      <c r="C75" s="24"/>
      <c r="D75" s="24"/>
      <c r="E75" s="29"/>
      <c r="F75" s="29"/>
      <c r="G75" s="29"/>
      <c r="H75" s="29"/>
      <c r="I75" s="67"/>
    </row>
    <row r="76" spans="1:9" x14ac:dyDescent="0.3">
      <c r="A76" s="20"/>
      <c r="B76" s="71">
        <v>42020</v>
      </c>
      <c r="C76" s="24" t="s">
        <v>23</v>
      </c>
      <c r="D76" s="24" t="s">
        <v>28</v>
      </c>
      <c r="E76" s="29">
        <v>127.2</v>
      </c>
      <c r="F76" s="29">
        <v>126.7</v>
      </c>
      <c r="G76" s="29">
        <v>5000</v>
      </c>
      <c r="H76" s="29">
        <v>2500</v>
      </c>
      <c r="I76" s="67"/>
    </row>
    <row r="77" spans="1:9" x14ac:dyDescent="0.3">
      <c r="A77" s="20"/>
      <c r="B77" s="71">
        <v>42023</v>
      </c>
      <c r="C77" s="24" t="s">
        <v>23</v>
      </c>
      <c r="D77" s="24" t="s">
        <v>27</v>
      </c>
      <c r="E77" s="29">
        <v>113.5</v>
      </c>
      <c r="F77" s="29">
        <v>113</v>
      </c>
      <c r="G77" s="29">
        <v>5000</v>
      </c>
      <c r="H77" s="29">
        <v>2500</v>
      </c>
      <c r="I77" s="99"/>
    </row>
    <row r="78" spans="1:9" x14ac:dyDescent="0.3">
      <c r="A78" s="57"/>
      <c r="B78" s="71">
        <v>42023</v>
      </c>
      <c r="C78" s="24" t="s">
        <v>23</v>
      </c>
      <c r="D78" s="24" t="s">
        <v>29</v>
      </c>
      <c r="E78" s="26">
        <v>360</v>
      </c>
      <c r="F78" s="26">
        <v>352</v>
      </c>
      <c r="G78" s="29">
        <v>1000</v>
      </c>
      <c r="H78" s="29">
        <v>8000</v>
      </c>
      <c r="I78" s="57"/>
    </row>
    <row r="79" spans="1:9" x14ac:dyDescent="0.3">
      <c r="A79" s="57"/>
      <c r="B79" s="71">
        <v>42024</v>
      </c>
      <c r="C79" s="24" t="s">
        <v>16</v>
      </c>
      <c r="D79" s="24" t="s">
        <v>28</v>
      </c>
      <c r="E79" s="29">
        <v>129.30000000000001</v>
      </c>
      <c r="F79" s="29">
        <v>130.1</v>
      </c>
      <c r="G79" s="29">
        <v>5000</v>
      </c>
      <c r="H79" s="29">
        <v>4000</v>
      </c>
      <c r="I79" s="57"/>
    </row>
    <row r="80" spans="1:9" x14ac:dyDescent="0.3">
      <c r="A80" s="57"/>
      <c r="B80" s="71">
        <v>42025</v>
      </c>
      <c r="C80" s="24" t="s">
        <v>16</v>
      </c>
      <c r="D80" s="24" t="s">
        <v>27</v>
      </c>
      <c r="E80" s="26">
        <v>116.8</v>
      </c>
      <c r="F80" s="26">
        <v>117.3</v>
      </c>
      <c r="G80" s="29">
        <v>5000</v>
      </c>
      <c r="H80" s="29">
        <v>2500</v>
      </c>
      <c r="I80" s="57"/>
    </row>
    <row r="81" spans="1:9" x14ac:dyDescent="0.3">
      <c r="A81" s="57"/>
      <c r="B81" s="71">
        <v>42026</v>
      </c>
      <c r="C81" s="24" t="s">
        <v>23</v>
      </c>
      <c r="D81" s="24" t="s">
        <v>27</v>
      </c>
      <c r="E81" s="26">
        <v>116.8</v>
      </c>
      <c r="F81" s="26">
        <v>115.9</v>
      </c>
      <c r="G81" s="29">
        <v>5000</v>
      </c>
      <c r="H81" s="29">
        <v>4000</v>
      </c>
      <c r="I81" s="57"/>
    </row>
    <row r="82" spans="1:9" x14ac:dyDescent="0.3">
      <c r="A82" s="57"/>
      <c r="B82" s="71">
        <v>42027</v>
      </c>
      <c r="C82" s="24" t="s">
        <v>16</v>
      </c>
      <c r="D82" s="24" t="s">
        <v>29</v>
      </c>
      <c r="E82" s="26">
        <v>348</v>
      </c>
      <c r="F82" s="26">
        <v>344</v>
      </c>
      <c r="G82" s="29">
        <v>1000</v>
      </c>
      <c r="H82" s="29">
        <v>-4000</v>
      </c>
      <c r="I82" s="57"/>
    </row>
    <row r="83" spans="1:9" x14ac:dyDescent="0.3">
      <c r="A83" s="57"/>
      <c r="B83" s="71">
        <v>42031</v>
      </c>
      <c r="C83" s="24" t="s">
        <v>23</v>
      </c>
      <c r="D83" s="24" t="s">
        <v>29</v>
      </c>
      <c r="E83" s="26">
        <v>344</v>
      </c>
      <c r="F83" s="26">
        <v>336</v>
      </c>
      <c r="G83" s="29">
        <v>1000</v>
      </c>
      <c r="H83" s="29">
        <v>8000</v>
      </c>
      <c r="I83" s="57"/>
    </row>
    <row r="84" spans="1:9" x14ac:dyDescent="0.3">
      <c r="A84" s="57"/>
      <c r="B84" s="71">
        <v>42032</v>
      </c>
      <c r="C84" s="24" t="s">
        <v>16</v>
      </c>
      <c r="D84" s="24" t="s">
        <v>27</v>
      </c>
      <c r="E84" s="29">
        <v>114</v>
      </c>
      <c r="F84" s="29">
        <v>114.5</v>
      </c>
      <c r="G84" s="29">
        <v>5000</v>
      </c>
      <c r="H84" s="29">
        <v>2500</v>
      </c>
      <c r="I84" s="57"/>
    </row>
    <row r="85" spans="1:9" x14ac:dyDescent="0.3">
      <c r="A85" s="57"/>
      <c r="B85" s="71">
        <v>42033</v>
      </c>
      <c r="C85" s="75" t="s">
        <v>23</v>
      </c>
      <c r="D85" s="75" t="s">
        <v>27</v>
      </c>
      <c r="E85" s="45">
        <v>113.2</v>
      </c>
      <c r="F85" s="75">
        <v>112.7</v>
      </c>
      <c r="G85" s="29">
        <v>5000</v>
      </c>
      <c r="H85" s="29">
        <v>2500</v>
      </c>
      <c r="I85" s="57"/>
    </row>
    <row r="86" spans="1:9" x14ac:dyDescent="0.3">
      <c r="A86" s="57"/>
      <c r="B86" s="71">
        <v>42034</v>
      </c>
      <c r="C86" s="75" t="s">
        <v>23</v>
      </c>
      <c r="D86" s="75" t="s">
        <v>27</v>
      </c>
      <c r="E86" s="75">
        <v>115.75</v>
      </c>
      <c r="F86" s="75">
        <v>115</v>
      </c>
      <c r="G86" s="29">
        <v>5000</v>
      </c>
      <c r="H86" s="29">
        <v>3500</v>
      </c>
      <c r="I86" s="57"/>
    </row>
    <row r="87" spans="1:9" ht="15.6" x14ac:dyDescent="0.3">
      <c r="A87" s="57"/>
      <c r="B87" s="71"/>
      <c r="C87" s="75"/>
      <c r="D87" s="75"/>
      <c r="E87" s="75"/>
      <c r="F87" s="75"/>
      <c r="G87" s="29"/>
      <c r="H87" s="96">
        <v>75000</v>
      </c>
      <c r="I87" s="57"/>
    </row>
    <row r="88" spans="1:9" x14ac:dyDescent="0.3">
      <c r="A88" s="57"/>
      <c r="B88" s="71"/>
      <c r="C88" s="75"/>
      <c r="D88" s="75"/>
      <c r="E88" s="75"/>
      <c r="F88" s="75"/>
      <c r="G88" s="29"/>
      <c r="H88" s="75"/>
      <c r="I88" s="57"/>
    </row>
    <row r="89" spans="1:9" ht="15.6" x14ac:dyDescent="0.3">
      <c r="A89" s="57"/>
      <c r="C89" s="18"/>
      <c r="D89" s="18"/>
      <c r="E89" s="18"/>
      <c r="F89" s="18"/>
      <c r="G89" s="18"/>
      <c r="H89" s="46"/>
      <c r="I89" s="57"/>
    </row>
    <row r="90" spans="1:9" x14ac:dyDescent="0.3">
      <c r="A90" s="57"/>
      <c r="C90" s="18"/>
      <c r="D90" s="18"/>
      <c r="E90" s="18"/>
      <c r="F90" s="18"/>
      <c r="G90" s="18"/>
      <c r="H90" s="18"/>
      <c r="I90" s="57"/>
    </row>
    <row r="91" spans="1:9" x14ac:dyDescent="0.3">
      <c r="A91" s="57"/>
      <c r="B91" s="18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B92" s="18"/>
      <c r="C92" s="18"/>
      <c r="D92" s="18"/>
      <c r="E92" s="18"/>
      <c r="F92" s="18"/>
      <c r="G92" s="18"/>
      <c r="H92" s="18"/>
      <c r="I92" s="57"/>
    </row>
    <row r="93" spans="1:9" x14ac:dyDescent="0.3">
      <c r="A93" s="57"/>
      <c r="B93" s="18"/>
      <c r="C93" s="18"/>
      <c r="D93" s="18"/>
      <c r="E93" s="18"/>
      <c r="F93" s="18"/>
      <c r="G93" s="18"/>
      <c r="H93" s="18"/>
      <c r="I93" s="57"/>
    </row>
    <row r="94" spans="1:9" x14ac:dyDescent="0.3">
      <c r="A94" s="57"/>
      <c r="B94" s="18"/>
      <c r="C94" s="18"/>
      <c r="D94" s="18"/>
      <c r="E94" s="18"/>
      <c r="F94" s="18"/>
      <c r="G94" s="18"/>
      <c r="H94" s="18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900-000000000000}"/>
  </hyperlinks>
  <pageMargins left="0.7" right="0.7" top="0.75" bottom="0.75" header="0.3" footer="0.3"/>
  <pageSetup orientation="portrait" horizontalDpi="300" verticalDpi="0" r:id="rId1"/>
  <ignoredErrors>
    <ignoredError sqref="E7:H11 E35:F40 E41:F46 E47 E48:F54 F47 K8:N11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496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42037</v>
      </c>
      <c r="C5" s="24" t="s">
        <v>23</v>
      </c>
      <c r="D5" s="26" t="s">
        <v>24</v>
      </c>
      <c r="E5" s="29">
        <v>27810</v>
      </c>
      <c r="F5" s="29">
        <v>27700</v>
      </c>
      <c r="G5" s="29">
        <v>100</v>
      </c>
      <c r="H5" s="29">
        <v>11000</v>
      </c>
      <c r="I5" s="20"/>
      <c r="J5" s="34"/>
    </row>
    <row r="6" spans="1:14" x14ac:dyDescent="0.3">
      <c r="A6" s="20"/>
      <c r="B6" s="71">
        <v>42038</v>
      </c>
      <c r="C6" s="24" t="s">
        <v>55</v>
      </c>
      <c r="D6" s="26" t="s">
        <v>24</v>
      </c>
      <c r="E6" s="29">
        <v>27730</v>
      </c>
      <c r="F6" s="29">
        <v>27800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42039</v>
      </c>
      <c r="C7" s="24" t="s">
        <v>23</v>
      </c>
      <c r="D7" s="26" t="s">
        <v>24</v>
      </c>
      <c r="E7" s="29">
        <v>27490</v>
      </c>
      <c r="F7" s="29">
        <v>27590</v>
      </c>
      <c r="G7" s="29">
        <v>100</v>
      </c>
      <c r="H7" s="29">
        <v>-10000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42040</v>
      </c>
      <c r="C8" s="24" t="s">
        <v>23</v>
      </c>
      <c r="D8" s="26" t="s">
        <v>24</v>
      </c>
      <c r="E8" s="29">
        <v>27480</v>
      </c>
      <c r="F8" s="29">
        <v>27300</v>
      </c>
      <c r="G8" s="29">
        <v>100</v>
      </c>
      <c r="H8" s="29">
        <v>18000</v>
      </c>
      <c r="I8" s="20"/>
      <c r="J8" s="100" t="s">
        <v>257</v>
      </c>
      <c r="K8" s="49" t="s">
        <v>298</v>
      </c>
      <c r="L8" s="101" t="s">
        <v>335</v>
      </c>
      <c r="M8" s="101" t="s">
        <v>261</v>
      </c>
      <c r="N8" s="101" t="s">
        <v>290</v>
      </c>
    </row>
    <row r="9" spans="1:14" x14ac:dyDescent="0.3">
      <c r="A9" s="20"/>
      <c r="B9" s="71">
        <v>42041</v>
      </c>
      <c r="C9" s="24" t="s">
        <v>23</v>
      </c>
      <c r="D9" s="26" t="s">
        <v>24</v>
      </c>
      <c r="E9" s="29">
        <v>27400</v>
      </c>
      <c r="F9" s="29">
        <v>27290</v>
      </c>
      <c r="G9" s="29">
        <v>100</v>
      </c>
      <c r="H9" s="29">
        <v>11000</v>
      </c>
      <c r="I9" s="20"/>
      <c r="J9" s="100" t="s">
        <v>258</v>
      </c>
      <c r="K9" s="101" t="s">
        <v>298</v>
      </c>
      <c r="L9" s="101" t="s">
        <v>291</v>
      </c>
      <c r="M9" s="101" t="s">
        <v>261</v>
      </c>
      <c r="N9" s="101" t="s">
        <v>262</v>
      </c>
    </row>
    <row r="10" spans="1:14" x14ac:dyDescent="0.3">
      <c r="A10" s="20"/>
      <c r="B10" s="71">
        <v>42047</v>
      </c>
      <c r="C10" s="24" t="s">
        <v>23</v>
      </c>
      <c r="D10" s="24" t="s">
        <v>24</v>
      </c>
      <c r="E10" s="29">
        <v>27670</v>
      </c>
      <c r="F10" s="29">
        <v>27540</v>
      </c>
      <c r="G10" s="29">
        <v>100</v>
      </c>
      <c r="H10" s="29">
        <v>13000</v>
      </c>
      <c r="I10" s="20"/>
      <c r="J10" s="100" t="s">
        <v>259</v>
      </c>
      <c r="K10" s="101" t="s">
        <v>267</v>
      </c>
      <c r="L10" s="101" t="s">
        <v>392</v>
      </c>
      <c r="M10" s="101" t="s">
        <v>261</v>
      </c>
      <c r="N10" s="101" t="s">
        <v>262</v>
      </c>
    </row>
    <row r="11" spans="1:14" x14ac:dyDescent="0.3">
      <c r="A11" s="20"/>
      <c r="B11" s="71">
        <v>42048</v>
      </c>
      <c r="C11" s="24" t="s">
        <v>23</v>
      </c>
      <c r="D11" s="26" t="s">
        <v>24</v>
      </c>
      <c r="E11" s="29">
        <v>26670</v>
      </c>
      <c r="F11" s="29">
        <v>26620</v>
      </c>
      <c r="G11" s="29">
        <v>100</v>
      </c>
      <c r="H11" s="69">
        <v>5000</v>
      </c>
      <c r="I11" s="20"/>
      <c r="J11" s="100" t="s">
        <v>300</v>
      </c>
      <c r="K11" s="101" t="s">
        <v>520</v>
      </c>
      <c r="L11" s="101" t="s">
        <v>301</v>
      </c>
      <c r="M11" s="101" t="s">
        <v>522</v>
      </c>
      <c r="N11" s="101" t="s">
        <v>290</v>
      </c>
    </row>
    <row r="12" spans="1:14" x14ac:dyDescent="0.3">
      <c r="A12" s="20"/>
      <c r="B12" s="71">
        <v>42051</v>
      </c>
      <c r="C12" s="24" t="s">
        <v>23</v>
      </c>
      <c r="D12" s="26" t="s">
        <v>24</v>
      </c>
      <c r="E12" s="29">
        <v>26800</v>
      </c>
      <c r="F12" s="29">
        <v>26730</v>
      </c>
      <c r="G12" s="29">
        <v>100</v>
      </c>
      <c r="H12" s="69">
        <v>7000</v>
      </c>
      <c r="I12" s="20"/>
      <c r="J12" s="34"/>
    </row>
    <row r="13" spans="1:14" x14ac:dyDescent="0.3">
      <c r="A13" s="20"/>
      <c r="B13" s="71">
        <v>42053</v>
      </c>
      <c r="C13" s="24" t="s">
        <v>23</v>
      </c>
      <c r="D13" s="26" t="s">
        <v>24</v>
      </c>
      <c r="E13" s="29">
        <v>26310</v>
      </c>
      <c r="F13" s="29">
        <v>26240</v>
      </c>
      <c r="G13" s="29">
        <v>100</v>
      </c>
      <c r="H13" s="69">
        <v>7000</v>
      </c>
      <c r="I13" s="20"/>
      <c r="J13" s="34"/>
      <c r="K13" s="87" t="s">
        <v>523</v>
      </c>
      <c r="L13" s="88"/>
      <c r="M13" s="89"/>
    </row>
    <row r="14" spans="1:14" x14ac:dyDescent="0.3">
      <c r="A14" s="20"/>
      <c r="B14" s="71">
        <v>42054</v>
      </c>
      <c r="C14" s="24" t="s">
        <v>16</v>
      </c>
      <c r="D14" s="26" t="s">
        <v>24</v>
      </c>
      <c r="E14" s="29">
        <v>26420</v>
      </c>
      <c r="F14" s="29">
        <v>26490</v>
      </c>
      <c r="G14" s="29">
        <v>100</v>
      </c>
      <c r="H14" s="69">
        <v>7000</v>
      </c>
      <c r="I14" s="20"/>
      <c r="J14" s="34"/>
    </row>
    <row r="15" spans="1:14" x14ac:dyDescent="0.3">
      <c r="A15" s="20"/>
      <c r="B15" s="71">
        <v>42055</v>
      </c>
      <c r="C15" s="24" t="s">
        <v>16</v>
      </c>
      <c r="D15" s="26" t="s">
        <v>24</v>
      </c>
      <c r="E15" s="29">
        <v>26280</v>
      </c>
      <c r="F15" s="29">
        <v>26260</v>
      </c>
      <c r="G15" s="29">
        <v>100</v>
      </c>
      <c r="H15" s="69">
        <v>-2000</v>
      </c>
      <c r="I15" s="20"/>
      <c r="J15" s="34"/>
    </row>
    <row r="16" spans="1:14" x14ac:dyDescent="0.3">
      <c r="A16" s="20"/>
      <c r="B16" s="71">
        <v>42058</v>
      </c>
      <c r="C16" s="24" t="s">
        <v>23</v>
      </c>
      <c r="D16" s="26" t="s">
        <v>24</v>
      </c>
      <c r="E16" s="29">
        <v>26180</v>
      </c>
      <c r="F16" s="29">
        <v>26000</v>
      </c>
      <c r="G16" s="29">
        <v>100</v>
      </c>
      <c r="H16" s="69">
        <v>18000</v>
      </c>
      <c r="I16" s="20"/>
      <c r="J16" s="34"/>
    </row>
    <row r="17" spans="1:10" x14ac:dyDescent="0.3">
      <c r="A17" s="20"/>
      <c r="B17" s="71">
        <v>42059</v>
      </c>
      <c r="C17" s="24" t="s">
        <v>23</v>
      </c>
      <c r="D17" s="26" t="s">
        <v>24</v>
      </c>
      <c r="E17" s="29">
        <v>26160</v>
      </c>
      <c r="F17" s="29">
        <v>26090</v>
      </c>
      <c r="G17" s="29">
        <v>100</v>
      </c>
      <c r="H17" s="69">
        <v>7000</v>
      </c>
      <c r="I17" s="20"/>
      <c r="J17" s="34"/>
    </row>
    <row r="18" spans="1:10" x14ac:dyDescent="0.3">
      <c r="A18" s="20"/>
      <c r="B18" s="71">
        <v>42060</v>
      </c>
      <c r="C18" s="24" t="s">
        <v>23</v>
      </c>
      <c r="D18" s="26" t="s">
        <v>24</v>
      </c>
      <c r="E18" s="29">
        <v>26250</v>
      </c>
      <c r="F18" s="29">
        <v>26130</v>
      </c>
      <c r="G18" s="29">
        <v>100</v>
      </c>
      <c r="H18" s="69">
        <v>12000</v>
      </c>
      <c r="I18" s="20"/>
      <c r="J18" s="34"/>
    </row>
    <row r="19" spans="1:10" ht="15.6" x14ac:dyDescent="0.3">
      <c r="A19" s="20"/>
      <c r="B19" s="71">
        <v>42061</v>
      </c>
      <c r="C19" s="24" t="s">
        <v>23</v>
      </c>
      <c r="D19" s="26" t="s">
        <v>24</v>
      </c>
      <c r="E19" s="29">
        <v>26300</v>
      </c>
      <c r="F19" s="29">
        <v>26180</v>
      </c>
      <c r="G19" s="29">
        <v>100</v>
      </c>
      <c r="H19" s="79">
        <v>12000</v>
      </c>
      <c r="I19" s="20"/>
      <c r="J19" s="34"/>
    </row>
    <row r="20" spans="1:10" x14ac:dyDescent="0.3">
      <c r="A20" s="20"/>
      <c r="B20" s="71">
        <v>42062</v>
      </c>
      <c r="C20" s="24" t="s">
        <v>23</v>
      </c>
      <c r="D20" s="26" t="s">
        <v>24</v>
      </c>
      <c r="E20" s="29">
        <v>26150</v>
      </c>
      <c r="F20" s="29">
        <v>26250</v>
      </c>
      <c r="G20" s="29">
        <v>100</v>
      </c>
      <c r="H20" s="69">
        <v>-10000</v>
      </c>
      <c r="I20" s="20"/>
      <c r="J20" s="34"/>
    </row>
    <row r="21" spans="1:10" ht="15.6" x14ac:dyDescent="0.3">
      <c r="A21" s="20"/>
      <c r="B21" s="71"/>
      <c r="C21" s="24"/>
      <c r="D21" s="26"/>
      <c r="E21" s="29"/>
      <c r="F21" s="29"/>
      <c r="G21" s="29"/>
      <c r="H21" s="96">
        <v>113000</v>
      </c>
      <c r="I21" s="20"/>
      <c r="J21" s="34"/>
    </row>
    <row r="22" spans="1:10" ht="15.6" x14ac:dyDescent="0.3">
      <c r="A22" s="20"/>
      <c r="B22" s="71"/>
      <c r="C22" s="24"/>
      <c r="D22" s="26"/>
      <c r="E22" s="26"/>
      <c r="F22" s="26"/>
      <c r="G22" s="25"/>
      <c r="H22" s="96"/>
      <c r="I22" s="20"/>
      <c r="J22" s="34"/>
    </row>
    <row r="23" spans="1:10" ht="15.6" x14ac:dyDescent="0.3">
      <c r="A23" s="20"/>
      <c r="C23" s="24"/>
      <c r="D23" s="26"/>
      <c r="E23" s="26"/>
      <c r="F23" s="26"/>
      <c r="G23" s="25"/>
      <c r="H23" s="46"/>
      <c r="I23" s="20"/>
      <c r="J23" s="34"/>
    </row>
    <row r="24" spans="1:10" x14ac:dyDescent="0.3">
      <c r="A24" s="20"/>
      <c r="C24" s="29"/>
      <c r="D24" s="36"/>
      <c r="E24" s="36"/>
      <c r="F24" s="29"/>
      <c r="G24" s="29"/>
      <c r="H24" s="29"/>
      <c r="I24" s="20"/>
      <c r="J24" s="34"/>
    </row>
    <row r="25" spans="1:10" x14ac:dyDescent="0.3">
      <c r="A25" s="20"/>
      <c r="B25" s="71"/>
      <c r="C25" s="29"/>
      <c r="D25" s="36"/>
      <c r="E25" s="36"/>
      <c r="F25" s="29"/>
      <c r="G25" s="29"/>
      <c r="H25" s="29"/>
      <c r="I25" s="20"/>
      <c r="J25" s="34"/>
    </row>
    <row r="26" spans="1:10" x14ac:dyDescent="0.3">
      <c r="A26" s="20"/>
      <c r="B26" s="71"/>
      <c r="C26" s="29"/>
      <c r="D26" s="36"/>
      <c r="E26" s="36"/>
      <c r="F26" s="29"/>
      <c r="G26" s="29"/>
      <c r="H26" s="29"/>
      <c r="I26" s="20"/>
    </row>
    <row r="27" spans="1:10" x14ac:dyDescent="0.3">
      <c r="A27" s="20"/>
      <c r="B27" s="71"/>
      <c r="C27" s="29"/>
      <c r="D27" s="36"/>
      <c r="E27" s="36"/>
      <c r="F27" s="29"/>
      <c r="G27" s="29"/>
      <c r="H27" s="29"/>
      <c r="I27" s="20"/>
    </row>
    <row r="28" spans="1:10" x14ac:dyDescent="0.3">
      <c r="A28" s="20"/>
      <c r="B28" s="71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494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42037</v>
      </c>
      <c r="C30" s="24" t="s">
        <v>23</v>
      </c>
      <c r="D30" s="24" t="s">
        <v>26</v>
      </c>
      <c r="E30" s="49" t="s">
        <v>497</v>
      </c>
      <c r="F30" s="49" t="s">
        <v>498</v>
      </c>
      <c r="G30" s="25">
        <v>1250</v>
      </c>
      <c r="H30" s="29">
        <v>3125</v>
      </c>
      <c r="I30" s="20"/>
    </row>
    <row r="31" spans="1:10" x14ac:dyDescent="0.3">
      <c r="A31" s="20"/>
      <c r="B31" s="71">
        <v>42038</v>
      </c>
      <c r="C31" s="24" t="s">
        <v>23</v>
      </c>
      <c r="D31" s="24" t="s">
        <v>26</v>
      </c>
      <c r="E31" s="83" t="s">
        <v>481</v>
      </c>
      <c r="F31" s="49" t="s">
        <v>482</v>
      </c>
      <c r="G31" s="25">
        <v>1250</v>
      </c>
      <c r="H31" s="29">
        <v>2500</v>
      </c>
      <c r="I31" s="20"/>
    </row>
    <row r="32" spans="1:10" x14ac:dyDescent="0.3">
      <c r="A32" s="20"/>
      <c r="B32" s="71">
        <v>42039</v>
      </c>
      <c r="C32" s="24" t="s">
        <v>23</v>
      </c>
      <c r="D32" s="24" t="s">
        <v>25</v>
      </c>
      <c r="E32" s="49" t="s">
        <v>467</v>
      </c>
      <c r="F32" s="49" t="s">
        <v>499</v>
      </c>
      <c r="G32" s="25">
        <v>100</v>
      </c>
      <c r="H32" s="29">
        <v>5000</v>
      </c>
      <c r="I32" s="20"/>
    </row>
    <row r="33" spans="1:9" x14ac:dyDescent="0.3">
      <c r="A33" s="20"/>
      <c r="B33" s="71">
        <v>42040</v>
      </c>
      <c r="C33" s="24" t="s">
        <v>23</v>
      </c>
      <c r="D33" s="24" t="s">
        <v>26</v>
      </c>
      <c r="E33" s="49" t="s">
        <v>482</v>
      </c>
      <c r="F33" s="49" t="s">
        <v>500</v>
      </c>
      <c r="G33" s="25">
        <v>1250</v>
      </c>
      <c r="H33" s="29">
        <v>5000</v>
      </c>
      <c r="I33" s="20"/>
    </row>
    <row r="34" spans="1:9" x14ac:dyDescent="0.3">
      <c r="A34" s="20"/>
      <c r="B34" s="71">
        <v>42041</v>
      </c>
      <c r="C34" s="24" t="s">
        <v>23</v>
      </c>
      <c r="D34" s="24" t="s">
        <v>26</v>
      </c>
      <c r="E34" s="49" t="s">
        <v>501</v>
      </c>
      <c r="F34" s="49" t="s">
        <v>500</v>
      </c>
      <c r="G34" s="25">
        <v>1250</v>
      </c>
      <c r="H34" s="29">
        <v>2500</v>
      </c>
      <c r="I34" s="20"/>
    </row>
    <row r="35" spans="1:9" x14ac:dyDescent="0.3">
      <c r="A35" s="20"/>
      <c r="B35" s="71">
        <v>42047</v>
      </c>
      <c r="C35" s="24" t="s">
        <v>16</v>
      </c>
      <c r="D35" s="24" t="s">
        <v>25</v>
      </c>
      <c r="E35" s="49" t="s">
        <v>502</v>
      </c>
      <c r="F35" s="49" t="s">
        <v>503</v>
      </c>
      <c r="G35" s="25">
        <v>100</v>
      </c>
      <c r="H35" s="29">
        <v>2500</v>
      </c>
      <c r="I35" s="20"/>
    </row>
    <row r="36" spans="1:9" x14ac:dyDescent="0.3">
      <c r="A36" s="20"/>
      <c r="B36" s="71">
        <v>42048</v>
      </c>
      <c r="C36" s="24" t="s">
        <v>16</v>
      </c>
      <c r="D36" s="24" t="s">
        <v>25</v>
      </c>
      <c r="E36" s="49" t="s">
        <v>504</v>
      </c>
      <c r="F36" s="49" t="s">
        <v>505</v>
      </c>
      <c r="G36" s="25">
        <v>100</v>
      </c>
      <c r="H36" s="29">
        <v>5500</v>
      </c>
      <c r="I36" s="20"/>
    </row>
    <row r="37" spans="1:9" x14ac:dyDescent="0.3">
      <c r="A37" s="20"/>
      <c r="B37" s="71">
        <v>42051</v>
      </c>
      <c r="C37" s="24" t="s">
        <v>23</v>
      </c>
      <c r="D37" s="24" t="s">
        <v>25</v>
      </c>
      <c r="E37" s="49" t="s">
        <v>506</v>
      </c>
      <c r="F37" s="49" t="s">
        <v>466</v>
      </c>
      <c r="G37" s="25">
        <v>100</v>
      </c>
      <c r="H37" s="29">
        <v>-3000</v>
      </c>
      <c r="I37" s="20"/>
    </row>
    <row r="38" spans="1:9" x14ac:dyDescent="0.3">
      <c r="A38" s="20"/>
      <c r="B38" s="71">
        <v>42053</v>
      </c>
      <c r="C38" s="24" t="s">
        <v>23</v>
      </c>
      <c r="D38" s="24" t="s">
        <v>26</v>
      </c>
      <c r="E38" s="49" t="s">
        <v>507</v>
      </c>
      <c r="F38" s="49" t="s">
        <v>508</v>
      </c>
      <c r="G38" s="25">
        <v>1250</v>
      </c>
      <c r="H38" s="29">
        <v>2500</v>
      </c>
      <c r="I38" s="20"/>
    </row>
    <row r="39" spans="1:9" x14ac:dyDescent="0.3">
      <c r="A39" s="20"/>
      <c r="B39" s="71">
        <v>42054</v>
      </c>
      <c r="C39" s="24" t="s">
        <v>23</v>
      </c>
      <c r="D39" s="24" t="s">
        <v>25</v>
      </c>
      <c r="E39" s="49" t="s">
        <v>509</v>
      </c>
      <c r="F39" s="49" t="s">
        <v>465</v>
      </c>
      <c r="G39" s="25">
        <v>100</v>
      </c>
      <c r="H39" s="29">
        <v>5000</v>
      </c>
      <c r="I39" s="20"/>
    </row>
    <row r="40" spans="1:9" x14ac:dyDescent="0.3">
      <c r="A40" s="20"/>
      <c r="B40" s="71">
        <v>42055</v>
      </c>
      <c r="C40" s="24" t="s">
        <v>23</v>
      </c>
      <c r="D40" s="24" t="s">
        <v>25</v>
      </c>
      <c r="E40" s="49" t="s">
        <v>510</v>
      </c>
      <c r="F40" s="49" t="s">
        <v>511</v>
      </c>
      <c r="G40" s="25">
        <v>100</v>
      </c>
      <c r="H40" s="29">
        <v>5500</v>
      </c>
      <c r="I40" s="20"/>
    </row>
    <row r="41" spans="1:9" x14ac:dyDescent="0.3">
      <c r="A41" s="20"/>
      <c r="B41" s="71">
        <v>42058</v>
      </c>
      <c r="C41" s="24" t="s">
        <v>23</v>
      </c>
      <c r="D41" s="24" t="s">
        <v>25</v>
      </c>
      <c r="E41" s="49" t="s">
        <v>512</v>
      </c>
      <c r="F41" s="49" t="s">
        <v>513</v>
      </c>
      <c r="G41" s="25">
        <v>100</v>
      </c>
      <c r="H41" s="29">
        <v>5500</v>
      </c>
      <c r="I41" s="20"/>
    </row>
    <row r="42" spans="1:9" x14ac:dyDescent="0.3">
      <c r="A42" s="20"/>
      <c r="B42" s="71">
        <v>42059</v>
      </c>
      <c r="C42" s="24" t="s">
        <v>23</v>
      </c>
      <c r="D42" s="24" t="s">
        <v>25</v>
      </c>
      <c r="E42" s="49" t="s">
        <v>514</v>
      </c>
      <c r="F42" s="49" t="s">
        <v>502</v>
      </c>
      <c r="G42" s="25">
        <v>100</v>
      </c>
      <c r="H42" s="29">
        <v>-4000</v>
      </c>
      <c r="I42" s="20"/>
    </row>
    <row r="43" spans="1:9" x14ac:dyDescent="0.3">
      <c r="A43" s="20"/>
      <c r="B43" s="71">
        <v>42060</v>
      </c>
      <c r="C43" s="24" t="s">
        <v>23</v>
      </c>
      <c r="D43" s="24" t="s">
        <v>26</v>
      </c>
      <c r="E43" s="49" t="s">
        <v>515</v>
      </c>
      <c r="F43" s="49" t="s">
        <v>516</v>
      </c>
      <c r="G43" s="25">
        <v>1250</v>
      </c>
      <c r="H43" s="29">
        <v>3125</v>
      </c>
      <c r="I43" s="20"/>
    </row>
    <row r="44" spans="1:9" x14ac:dyDescent="0.3">
      <c r="A44" s="20"/>
      <c r="B44" s="71">
        <v>42061</v>
      </c>
      <c r="C44" s="24" t="s">
        <v>23</v>
      </c>
      <c r="D44" s="24" t="s">
        <v>26</v>
      </c>
      <c r="E44" s="49" t="s">
        <v>517</v>
      </c>
      <c r="F44" s="49" t="s">
        <v>518</v>
      </c>
      <c r="G44" s="25">
        <v>1250</v>
      </c>
      <c r="H44" s="29">
        <v>7500</v>
      </c>
      <c r="I44" s="20"/>
    </row>
    <row r="45" spans="1:9" x14ac:dyDescent="0.3">
      <c r="A45" s="20"/>
      <c r="B45" s="71">
        <v>42062</v>
      </c>
      <c r="C45" s="24" t="s">
        <v>23</v>
      </c>
      <c r="D45" s="24" t="s">
        <v>25</v>
      </c>
      <c r="E45" s="49" t="s">
        <v>519</v>
      </c>
      <c r="F45" s="49" t="s">
        <v>521</v>
      </c>
      <c r="G45" s="25">
        <v>100</v>
      </c>
      <c r="H45" s="29">
        <v>2500</v>
      </c>
      <c r="I45" s="20"/>
    </row>
    <row r="46" spans="1:9" ht="15.6" x14ac:dyDescent="0.3">
      <c r="A46" s="20"/>
      <c r="B46" s="71"/>
      <c r="C46" s="24"/>
      <c r="D46" s="24"/>
      <c r="E46" s="49"/>
      <c r="F46" s="49"/>
      <c r="G46" s="25"/>
      <c r="H46" s="80">
        <v>50750</v>
      </c>
      <c r="I46" s="20"/>
    </row>
    <row r="47" spans="1:9" ht="15.6" x14ac:dyDescent="0.3">
      <c r="A47" s="20"/>
      <c r="B47" s="71"/>
      <c r="C47" s="97"/>
      <c r="D47" s="24"/>
      <c r="E47" s="97"/>
      <c r="F47" s="97"/>
      <c r="G47" s="97"/>
      <c r="H47" s="96"/>
      <c r="I47" s="20"/>
    </row>
    <row r="48" spans="1:9" x14ac:dyDescent="0.3">
      <c r="A48" s="20"/>
      <c r="B48" s="71"/>
      <c r="C48" s="97"/>
      <c r="D48" s="24"/>
      <c r="E48" s="97"/>
      <c r="F48" s="97"/>
      <c r="G48" s="97"/>
      <c r="H48" s="69"/>
      <c r="I48" s="20"/>
    </row>
    <row r="49" spans="1:9" ht="15.6" x14ac:dyDescent="0.3">
      <c r="A49" s="20"/>
      <c r="C49" s="24"/>
      <c r="D49" s="24"/>
      <c r="E49" s="97"/>
      <c r="F49" s="97"/>
      <c r="G49" s="97"/>
      <c r="H49" s="46"/>
      <c r="I49" s="20"/>
    </row>
    <row r="50" spans="1:9" x14ac:dyDescent="0.3">
      <c r="A50" s="20"/>
      <c r="C50" s="29"/>
      <c r="D50" s="24"/>
      <c r="E50" s="97"/>
      <c r="F50" s="97"/>
      <c r="G50" s="97"/>
      <c r="H50" s="69"/>
      <c r="I50" s="20"/>
    </row>
    <row r="51" spans="1:9" x14ac:dyDescent="0.3">
      <c r="A51" s="20"/>
      <c r="B51" s="71"/>
      <c r="C51" s="29"/>
      <c r="D51" s="97"/>
      <c r="E51" s="97"/>
      <c r="F51" s="97"/>
      <c r="G51" s="97"/>
      <c r="H51" s="69"/>
      <c r="I51" s="20"/>
    </row>
    <row r="52" spans="1:9" ht="15.6" x14ac:dyDescent="0.3">
      <c r="A52" s="20"/>
      <c r="B52" s="71"/>
      <c r="C52" s="29"/>
      <c r="D52" s="36"/>
      <c r="E52" s="29"/>
      <c r="F52" s="29"/>
      <c r="G52" s="29"/>
      <c r="H52" s="70"/>
      <c r="I52" s="20"/>
    </row>
    <row r="53" spans="1:9" x14ac:dyDescent="0.3">
      <c r="A53" s="20"/>
      <c r="B53" s="71"/>
      <c r="C53" s="29"/>
      <c r="D53" s="36"/>
      <c r="E53" s="29"/>
      <c r="F53" s="29"/>
      <c r="G53" s="29"/>
      <c r="H53" s="29"/>
      <c r="I53" s="20"/>
    </row>
    <row r="54" spans="1:9" x14ac:dyDescent="0.3">
      <c r="A54" s="20"/>
      <c r="B54" s="71"/>
      <c r="C54" s="29"/>
      <c r="D54" s="36"/>
      <c r="E54" s="29"/>
      <c r="F54" s="29"/>
      <c r="G54" s="29"/>
      <c r="H54" s="29"/>
      <c r="I54" s="20"/>
    </row>
    <row r="55" spans="1:9" ht="15.6" x14ac:dyDescent="0.3">
      <c r="A55" s="20"/>
      <c r="B55" s="61" t="s">
        <v>495</v>
      </c>
      <c r="C55" s="62"/>
      <c r="D55" s="63"/>
      <c r="E55" s="62"/>
      <c r="F55" s="62"/>
      <c r="G55" s="62"/>
      <c r="H55" s="64"/>
      <c r="I55" s="20"/>
    </row>
    <row r="56" spans="1:9" x14ac:dyDescent="0.3">
      <c r="A56" s="20"/>
      <c r="B56" s="71">
        <v>42037</v>
      </c>
      <c r="C56" s="24" t="s">
        <v>23</v>
      </c>
      <c r="D56" s="24" t="s">
        <v>27</v>
      </c>
      <c r="E56" s="29">
        <v>115.3</v>
      </c>
      <c r="F56" s="29">
        <v>114.2</v>
      </c>
      <c r="G56" s="29">
        <v>5000</v>
      </c>
      <c r="H56" s="29">
        <v>5250</v>
      </c>
      <c r="I56" s="20"/>
    </row>
    <row r="57" spans="1:9" x14ac:dyDescent="0.3">
      <c r="A57" s="20"/>
      <c r="B57" s="71">
        <v>42038</v>
      </c>
      <c r="C57" s="24" t="s">
        <v>55</v>
      </c>
      <c r="D57" s="24" t="s">
        <v>56</v>
      </c>
      <c r="E57" s="29">
        <v>115.5</v>
      </c>
      <c r="F57" s="29">
        <v>116.5</v>
      </c>
      <c r="G57" s="29">
        <v>5000</v>
      </c>
      <c r="H57" s="29">
        <v>5000</v>
      </c>
      <c r="I57" s="20"/>
    </row>
    <row r="58" spans="1:9" x14ac:dyDescent="0.3">
      <c r="A58" s="20"/>
      <c r="B58" s="71">
        <v>42039</v>
      </c>
      <c r="C58" s="24" t="s">
        <v>23</v>
      </c>
      <c r="D58" s="24" t="s">
        <v>27</v>
      </c>
      <c r="E58" s="29">
        <v>114.3</v>
      </c>
      <c r="F58" s="29">
        <v>113.8</v>
      </c>
      <c r="G58" s="29">
        <v>5000</v>
      </c>
      <c r="H58" s="29">
        <v>2500</v>
      </c>
      <c r="I58" s="67"/>
    </row>
    <row r="59" spans="1:9" x14ac:dyDescent="0.3">
      <c r="A59" s="20"/>
      <c r="B59" s="71">
        <v>42040</v>
      </c>
      <c r="C59" s="24" t="s">
        <v>23</v>
      </c>
      <c r="D59" s="24" t="s">
        <v>28</v>
      </c>
      <c r="E59" s="29">
        <v>131.9</v>
      </c>
      <c r="F59" s="29">
        <v>130.80000000000001</v>
      </c>
      <c r="G59" s="29">
        <v>5000</v>
      </c>
      <c r="H59" s="29">
        <v>5250</v>
      </c>
      <c r="I59" s="67"/>
    </row>
    <row r="60" spans="1:9" x14ac:dyDescent="0.3">
      <c r="A60" s="20"/>
      <c r="B60" s="71">
        <v>42041</v>
      </c>
      <c r="C60" s="24" t="s">
        <v>23</v>
      </c>
      <c r="D60" s="24" t="s">
        <v>29</v>
      </c>
      <c r="E60" s="29">
        <v>353</v>
      </c>
      <c r="F60" s="29">
        <v>350</v>
      </c>
      <c r="G60" s="29">
        <v>1000</v>
      </c>
      <c r="H60" s="29">
        <v>3000</v>
      </c>
      <c r="I60" s="67"/>
    </row>
    <row r="61" spans="1:9" x14ac:dyDescent="0.3">
      <c r="A61" s="20"/>
      <c r="B61" s="71">
        <v>42041</v>
      </c>
      <c r="C61" s="24" t="s">
        <v>55</v>
      </c>
      <c r="D61" s="24" t="s">
        <v>27</v>
      </c>
      <c r="E61" s="29">
        <v>114.8</v>
      </c>
      <c r="F61" s="29">
        <v>115.3</v>
      </c>
      <c r="G61" s="29">
        <v>5000</v>
      </c>
      <c r="H61" s="29">
        <v>2500</v>
      </c>
      <c r="I61" s="67"/>
    </row>
    <row r="62" spans="1:9" x14ac:dyDescent="0.3">
      <c r="A62" s="20"/>
      <c r="B62" s="71">
        <v>42047</v>
      </c>
      <c r="C62" s="24" t="s">
        <v>23</v>
      </c>
      <c r="D62" s="24" t="s">
        <v>56</v>
      </c>
      <c r="E62" s="29">
        <v>113.4</v>
      </c>
      <c r="F62" s="29">
        <v>114</v>
      </c>
      <c r="G62" s="29">
        <v>5000</v>
      </c>
      <c r="H62" s="29">
        <v>-3000</v>
      </c>
      <c r="I62" s="67"/>
    </row>
    <row r="63" spans="1:9" x14ac:dyDescent="0.3">
      <c r="A63" s="20"/>
      <c r="B63" s="71">
        <v>42048</v>
      </c>
      <c r="C63" s="24" t="s">
        <v>23</v>
      </c>
      <c r="D63" s="26" t="s">
        <v>28</v>
      </c>
      <c r="E63" s="29">
        <v>133.19999999999999</v>
      </c>
      <c r="F63" s="29">
        <v>134</v>
      </c>
      <c r="G63" s="29">
        <v>5000</v>
      </c>
      <c r="H63" s="29">
        <v>-4000</v>
      </c>
      <c r="I63" s="67"/>
    </row>
    <row r="64" spans="1:9" x14ac:dyDescent="0.3">
      <c r="A64" s="20"/>
      <c r="B64" s="71">
        <v>42051</v>
      </c>
      <c r="C64" s="24" t="s">
        <v>23</v>
      </c>
      <c r="D64" s="24" t="s">
        <v>27</v>
      </c>
      <c r="E64" s="29">
        <v>114.3</v>
      </c>
      <c r="F64" s="29">
        <v>113.8</v>
      </c>
      <c r="G64" s="29">
        <v>5000</v>
      </c>
      <c r="H64" s="29">
        <v>2500</v>
      </c>
      <c r="I64" s="67"/>
    </row>
    <row r="65" spans="1:9" x14ac:dyDescent="0.3">
      <c r="A65" s="20"/>
      <c r="B65" s="71">
        <v>42053</v>
      </c>
      <c r="C65" s="24" t="s">
        <v>23</v>
      </c>
      <c r="D65" s="24" t="s">
        <v>28</v>
      </c>
      <c r="E65" s="29">
        <v>130.6</v>
      </c>
      <c r="F65" s="29">
        <v>129.6</v>
      </c>
      <c r="G65" s="29">
        <v>5000</v>
      </c>
      <c r="H65" s="29">
        <v>5000</v>
      </c>
      <c r="I65" s="67"/>
    </row>
    <row r="66" spans="1:9" x14ac:dyDescent="0.3">
      <c r="A66" s="20"/>
      <c r="B66" s="71">
        <v>42054</v>
      </c>
      <c r="C66" s="24" t="s">
        <v>23</v>
      </c>
      <c r="D66" s="24" t="s">
        <v>27</v>
      </c>
      <c r="E66" s="29">
        <v>111.6</v>
      </c>
      <c r="F66" s="29">
        <v>110.8</v>
      </c>
      <c r="G66" s="29">
        <v>5000</v>
      </c>
      <c r="H66" s="29">
        <v>4000</v>
      </c>
      <c r="I66" s="67"/>
    </row>
    <row r="67" spans="1:9" x14ac:dyDescent="0.3">
      <c r="A67" s="20"/>
      <c r="B67" s="71">
        <v>42055</v>
      </c>
      <c r="C67" s="24" t="s">
        <v>23</v>
      </c>
      <c r="D67" s="24" t="s">
        <v>29</v>
      </c>
      <c r="E67" s="26">
        <v>359</v>
      </c>
      <c r="F67" s="26">
        <v>356</v>
      </c>
      <c r="G67" s="29">
        <v>1000</v>
      </c>
      <c r="H67" s="29">
        <v>3000</v>
      </c>
      <c r="I67" s="67"/>
    </row>
    <row r="68" spans="1:9" x14ac:dyDescent="0.3">
      <c r="A68" s="20"/>
      <c r="B68" s="71">
        <v>42058</v>
      </c>
      <c r="C68" s="24" t="s">
        <v>23</v>
      </c>
      <c r="D68" s="24" t="s">
        <v>28</v>
      </c>
      <c r="E68" s="29">
        <v>127.7</v>
      </c>
      <c r="F68" s="29">
        <v>126.8</v>
      </c>
      <c r="G68" s="29">
        <v>5000</v>
      </c>
      <c r="H68" s="29">
        <v>4500</v>
      </c>
      <c r="I68" s="67"/>
    </row>
    <row r="69" spans="1:9" x14ac:dyDescent="0.3">
      <c r="A69" s="20"/>
      <c r="B69" s="71">
        <v>42059</v>
      </c>
      <c r="C69" s="24" t="s">
        <v>23</v>
      </c>
      <c r="D69" s="24" t="s">
        <v>28</v>
      </c>
      <c r="E69" s="26">
        <v>126.85</v>
      </c>
      <c r="F69" s="26">
        <v>126.5</v>
      </c>
      <c r="G69" s="29">
        <v>5000</v>
      </c>
      <c r="H69" s="29">
        <v>2000</v>
      </c>
      <c r="I69" s="67"/>
    </row>
    <row r="70" spans="1:9" x14ac:dyDescent="0.3">
      <c r="A70" s="20"/>
      <c r="B70" s="71">
        <v>42060</v>
      </c>
      <c r="C70" s="24" t="s">
        <v>23</v>
      </c>
      <c r="D70" s="24" t="s">
        <v>28</v>
      </c>
      <c r="E70" s="26">
        <v>129</v>
      </c>
      <c r="F70" s="26">
        <v>127.5</v>
      </c>
      <c r="G70" s="29">
        <v>5000</v>
      </c>
      <c r="H70" s="29">
        <v>7500</v>
      </c>
      <c r="I70" s="67"/>
    </row>
    <row r="71" spans="1:9" x14ac:dyDescent="0.3">
      <c r="A71" s="20"/>
      <c r="B71" s="71">
        <v>42061</v>
      </c>
      <c r="C71" s="24" t="s">
        <v>23</v>
      </c>
      <c r="D71" s="24" t="s">
        <v>28</v>
      </c>
      <c r="E71" s="26">
        <v>128.5</v>
      </c>
      <c r="F71" s="26">
        <v>127.5</v>
      </c>
      <c r="G71" s="29">
        <v>5000</v>
      </c>
      <c r="H71" s="29">
        <v>5000</v>
      </c>
      <c r="I71" s="67"/>
    </row>
    <row r="72" spans="1:9" x14ac:dyDescent="0.3">
      <c r="A72" s="20"/>
      <c r="B72" s="71">
        <v>42062</v>
      </c>
      <c r="C72" s="24" t="s">
        <v>23</v>
      </c>
      <c r="D72" s="24" t="s">
        <v>28</v>
      </c>
      <c r="E72" s="26">
        <v>127.7</v>
      </c>
      <c r="F72" s="26">
        <v>127.2</v>
      </c>
      <c r="G72" s="29">
        <v>5000</v>
      </c>
      <c r="H72" s="29">
        <v>2500</v>
      </c>
      <c r="I72" s="67"/>
    </row>
    <row r="73" spans="1:9" ht="15.6" x14ac:dyDescent="0.3">
      <c r="A73" s="20"/>
      <c r="B73" s="71"/>
      <c r="C73" s="24"/>
      <c r="D73" s="24"/>
      <c r="E73" s="29"/>
      <c r="F73" s="29"/>
      <c r="G73" s="29"/>
      <c r="H73" s="80">
        <v>52500</v>
      </c>
      <c r="I73" s="67"/>
    </row>
    <row r="74" spans="1:9" x14ac:dyDescent="0.3">
      <c r="A74" s="20"/>
      <c r="B74" s="71"/>
      <c r="C74" s="75"/>
      <c r="D74" s="75"/>
      <c r="E74" s="45"/>
      <c r="F74" s="75"/>
      <c r="G74" s="29"/>
      <c r="H74" s="29"/>
      <c r="I74" s="67"/>
    </row>
    <row r="75" spans="1:9" x14ac:dyDescent="0.3">
      <c r="A75" s="20"/>
      <c r="B75" s="71"/>
      <c r="C75" s="75"/>
      <c r="D75" s="75"/>
      <c r="E75" s="75"/>
      <c r="F75" s="75"/>
      <c r="G75" s="29"/>
      <c r="H75" s="29"/>
      <c r="I75" s="67"/>
    </row>
    <row r="76" spans="1:9" ht="15.6" x14ac:dyDescent="0.3">
      <c r="A76" s="20"/>
      <c r="B76" s="71"/>
      <c r="C76" s="75"/>
      <c r="D76" s="75"/>
      <c r="E76" s="75"/>
      <c r="F76" s="75"/>
      <c r="G76" s="29"/>
      <c r="H76" s="96"/>
      <c r="I76" s="67"/>
    </row>
    <row r="77" spans="1:9" x14ac:dyDescent="0.3">
      <c r="A77" s="20"/>
      <c r="B77" s="71"/>
      <c r="C77" s="75"/>
      <c r="D77" s="75"/>
      <c r="E77" s="75"/>
      <c r="F77" s="75"/>
      <c r="G77" s="29"/>
      <c r="H77" s="75"/>
      <c r="I77" s="99"/>
    </row>
    <row r="78" spans="1:9" ht="15.6" x14ac:dyDescent="0.3">
      <c r="A78" s="57"/>
      <c r="C78" s="18"/>
      <c r="D78" s="18"/>
      <c r="E78" s="18"/>
      <c r="F78" s="18"/>
      <c r="G78" s="18"/>
      <c r="H78" s="46"/>
      <c r="I78" s="57"/>
    </row>
    <row r="79" spans="1:9" x14ac:dyDescent="0.3">
      <c r="A79" s="57"/>
      <c r="C79" s="18"/>
      <c r="D79" s="18"/>
      <c r="E79" s="18"/>
      <c r="F79" s="18"/>
      <c r="G79" s="18"/>
      <c r="H79" s="18"/>
      <c r="I79" s="57"/>
    </row>
    <row r="80" spans="1:9" x14ac:dyDescent="0.3">
      <c r="A80" s="57"/>
      <c r="B80" s="18"/>
      <c r="C80" s="18"/>
      <c r="D80" s="18"/>
      <c r="E80" s="18"/>
      <c r="F80" s="18"/>
      <c r="G80" s="18"/>
      <c r="H80" s="18"/>
      <c r="I80" s="57"/>
    </row>
    <row r="81" spans="1:9" x14ac:dyDescent="0.3">
      <c r="A81" s="57"/>
      <c r="B81" s="18"/>
      <c r="C81" s="18"/>
      <c r="D81" s="18"/>
      <c r="E81" s="18"/>
      <c r="F81" s="18"/>
      <c r="G81" s="18"/>
      <c r="H81" s="18"/>
      <c r="I81" s="57"/>
    </row>
    <row r="82" spans="1:9" x14ac:dyDescent="0.3">
      <c r="A82" s="57"/>
      <c r="B82" s="18"/>
      <c r="C82" s="18"/>
      <c r="D82" s="18"/>
      <c r="E82" s="18"/>
      <c r="F82" s="18"/>
      <c r="G82" s="18"/>
      <c r="H82" s="18"/>
      <c r="I82" s="57"/>
    </row>
    <row r="83" spans="1:9" x14ac:dyDescent="0.3">
      <c r="A83" s="57"/>
      <c r="B83" s="18"/>
      <c r="C83" s="18"/>
      <c r="D83" s="18"/>
      <c r="E83" s="18"/>
      <c r="F83" s="18"/>
      <c r="G83" s="18"/>
      <c r="H83" s="18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A00-000000000000}"/>
  </hyperlinks>
  <pageMargins left="0.7" right="0.7" top="0.75" bottom="0.75" header="0.3" footer="0.3"/>
  <pageSetup orientation="portrait" horizontalDpi="300" verticalDpi="0" r:id="rId1"/>
  <ignoredErrors>
    <ignoredError sqref="E30:F33 E34 E35:F38 F34 E39:F43 E44:F44 K8:K11 E45:F45 L8:N10 L11:N11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104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526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42065</v>
      </c>
      <c r="C5" s="24" t="s">
        <v>23</v>
      </c>
      <c r="D5" s="26" t="s">
        <v>24</v>
      </c>
      <c r="E5" s="29">
        <v>26700</v>
      </c>
      <c r="F5" s="29">
        <v>26500</v>
      </c>
      <c r="G5" s="29">
        <v>100</v>
      </c>
      <c r="H5" s="29">
        <v>20000</v>
      </c>
      <c r="I5" s="20"/>
      <c r="J5" s="34"/>
    </row>
    <row r="6" spans="1:14" x14ac:dyDescent="0.3">
      <c r="A6" s="20"/>
      <c r="B6" s="71">
        <v>42066</v>
      </c>
      <c r="C6" s="24" t="s">
        <v>23</v>
      </c>
      <c r="D6" s="26" t="s">
        <v>24</v>
      </c>
      <c r="E6" s="29">
        <v>26490</v>
      </c>
      <c r="F6" s="29">
        <v>26415</v>
      </c>
      <c r="G6" s="29">
        <v>100</v>
      </c>
      <c r="H6" s="29">
        <v>7500</v>
      </c>
      <c r="I6" s="20"/>
      <c r="J6" s="34"/>
    </row>
    <row r="7" spans="1:14" x14ac:dyDescent="0.3">
      <c r="A7" s="20"/>
      <c r="B7" s="71">
        <v>42067</v>
      </c>
      <c r="C7" s="24" t="s">
        <v>23</v>
      </c>
      <c r="D7" s="26" t="s">
        <v>24</v>
      </c>
      <c r="E7" s="29">
        <v>26450</v>
      </c>
      <c r="F7" s="29">
        <v>26500</v>
      </c>
      <c r="G7" s="29">
        <v>100</v>
      </c>
      <c r="H7" s="29">
        <v>-5000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42068</v>
      </c>
      <c r="C8" s="24" t="s">
        <v>23</v>
      </c>
      <c r="D8" s="26" t="s">
        <v>24</v>
      </c>
      <c r="E8" s="29">
        <v>26550</v>
      </c>
      <c r="F8" s="29">
        <v>26480</v>
      </c>
      <c r="G8" s="29">
        <v>100</v>
      </c>
      <c r="H8" s="29">
        <v>7000</v>
      </c>
      <c r="I8" s="20"/>
      <c r="J8" s="100" t="s">
        <v>257</v>
      </c>
      <c r="K8" s="49" t="s">
        <v>553</v>
      </c>
      <c r="L8" s="101" t="s">
        <v>267</v>
      </c>
      <c r="M8" s="101" t="s">
        <v>299</v>
      </c>
      <c r="N8" s="101" t="s">
        <v>290</v>
      </c>
    </row>
    <row r="9" spans="1:14" x14ac:dyDescent="0.3">
      <c r="A9" s="20"/>
      <c r="B9" s="71">
        <v>42072</v>
      </c>
      <c r="C9" s="24" t="s">
        <v>55</v>
      </c>
      <c r="D9" s="26" t="s">
        <v>24</v>
      </c>
      <c r="E9" s="29">
        <v>26080</v>
      </c>
      <c r="F9" s="29">
        <v>26050</v>
      </c>
      <c r="G9" s="29">
        <v>100</v>
      </c>
      <c r="H9" s="29">
        <v>-3000</v>
      </c>
      <c r="I9" s="20"/>
      <c r="J9" s="100" t="s">
        <v>258</v>
      </c>
      <c r="K9" s="101" t="s">
        <v>491</v>
      </c>
      <c r="L9" s="101" t="s">
        <v>265</v>
      </c>
      <c r="M9" s="101" t="s">
        <v>261</v>
      </c>
      <c r="N9" s="101" t="s">
        <v>262</v>
      </c>
    </row>
    <row r="10" spans="1:14" x14ac:dyDescent="0.3">
      <c r="A10" s="20"/>
      <c r="B10" s="71">
        <v>42073</v>
      </c>
      <c r="C10" s="24" t="s">
        <v>23</v>
      </c>
      <c r="D10" s="24" t="s">
        <v>24</v>
      </c>
      <c r="E10" s="29">
        <v>25870</v>
      </c>
      <c r="F10" s="29">
        <v>25800</v>
      </c>
      <c r="G10" s="29">
        <v>100</v>
      </c>
      <c r="H10" s="29">
        <v>7000</v>
      </c>
      <c r="I10" s="20"/>
      <c r="J10" s="100" t="s">
        <v>259</v>
      </c>
      <c r="K10" s="101" t="s">
        <v>553</v>
      </c>
      <c r="L10" s="101" t="s">
        <v>267</v>
      </c>
      <c r="M10" s="101" t="s">
        <v>264</v>
      </c>
      <c r="N10" s="101" t="s">
        <v>262</v>
      </c>
    </row>
    <row r="11" spans="1:14" x14ac:dyDescent="0.3">
      <c r="A11" s="20"/>
      <c r="B11" s="71">
        <v>42074</v>
      </c>
      <c r="C11" s="24" t="s">
        <v>23</v>
      </c>
      <c r="D11" s="26" t="s">
        <v>24</v>
      </c>
      <c r="E11" s="29">
        <v>25900</v>
      </c>
      <c r="F11" s="29">
        <v>25830</v>
      </c>
      <c r="G11" s="29">
        <v>100</v>
      </c>
      <c r="H11" s="69">
        <v>7000</v>
      </c>
      <c r="I11" s="20"/>
      <c r="J11" s="100" t="s">
        <v>300</v>
      </c>
      <c r="K11" s="101" t="s">
        <v>554</v>
      </c>
      <c r="L11" s="101" t="s">
        <v>334</v>
      </c>
      <c r="M11" s="101" t="s">
        <v>436</v>
      </c>
      <c r="N11" s="101" t="s">
        <v>290</v>
      </c>
    </row>
    <row r="12" spans="1:14" x14ac:dyDescent="0.3">
      <c r="A12" s="20"/>
      <c r="B12" s="71">
        <v>42075</v>
      </c>
      <c r="C12" s="24" t="s">
        <v>23</v>
      </c>
      <c r="D12" s="26" t="s">
        <v>24</v>
      </c>
      <c r="E12" s="29">
        <v>25750</v>
      </c>
      <c r="F12" s="29">
        <v>25600</v>
      </c>
      <c r="G12" s="29">
        <v>100</v>
      </c>
      <c r="H12" s="69">
        <v>15000</v>
      </c>
      <c r="I12" s="20"/>
      <c r="J12" s="34"/>
    </row>
    <row r="13" spans="1:14" x14ac:dyDescent="0.3">
      <c r="A13" s="20"/>
      <c r="B13" s="71">
        <v>42076</v>
      </c>
      <c r="C13" s="24" t="s">
        <v>16</v>
      </c>
      <c r="D13" s="26" t="s">
        <v>24</v>
      </c>
      <c r="E13" s="29">
        <v>25825</v>
      </c>
      <c r="F13" s="29">
        <v>25895</v>
      </c>
      <c r="G13" s="29">
        <v>100</v>
      </c>
      <c r="H13" s="69">
        <v>7000</v>
      </c>
      <c r="I13" s="20"/>
      <c r="J13" s="34"/>
      <c r="K13" s="87" t="s">
        <v>304</v>
      </c>
      <c r="L13" s="88"/>
      <c r="M13" s="89"/>
    </row>
    <row r="14" spans="1:14" x14ac:dyDescent="0.3">
      <c r="A14" s="20"/>
      <c r="B14" s="71">
        <v>42079</v>
      </c>
      <c r="C14" s="24" t="s">
        <v>23</v>
      </c>
      <c r="D14" s="26" t="s">
        <v>24</v>
      </c>
      <c r="E14" s="29">
        <v>25860</v>
      </c>
      <c r="F14" s="29">
        <v>25750</v>
      </c>
      <c r="G14" s="29">
        <v>100</v>
      </c>
      <c r="H14" s="69">
        <v>11000</v>
      </c>
      <c r="I14" s="20"/>
      <c r="J14" s="34"/>
    </row>
    <row r="15" spans="1:14" x14ac:dyDescent="0.3">
      <c r="A15" s="20"/>
      <c r="B15" s="71">
        <v>42080</v>
      </c>
      <c r="C15" s="24" t="s">
        <v>23</v>
      </c>
      <c r="D15" s="26" t="s">
        <v>24</v>
      </c>
      <c r="E15" s="29">
        <v>25700</v>
      </c>
      <c r="F15" s="29">
        <v>25530</v>
      </c>
      <c r="G15" s="29">
        <v>100</v>
      </c>
      <c r="H15" s="69">
        <v>17000</v>
      </c>
      <c r="I15" s="20"/>
      <c r="J15" s="34"/>
    </row>
    <row r="16" spans="1:14" x14ac:dyDescent="0.3">
      <c r="A16" s="20"/>
      <c r="B16" s="71">
        <v>42081</v>
      </c>
      <c r="C16" s="24" t="s">
        <v>23</v>
      </c>
      <c r="D16" s="26" t="s">
        <v>24</v>
      </c>
      <c r="E16" s="29">
        <v>25570</v>
      </c>
      <c r="F16" s="29">
        <v>25500</v>
      </c>
      <c r="G16" s="29">
        <v>100</v>
      </c>
      <c r="H16" s="69">
        <v>7000</v>
      </c>
      <c r="I16" s="20"/>
      <c r="J16" s="34"/>
    </row>
    <row r="17" spans="1:10" x14ac:dyDescent="0.3">
      <c r="A17" s="20"/>
      <c r="B17" s="71">
        <v>42082</v>
      </c>
      <c r="C17" s="24" t="s">
        <v>23</v>
      </c>
      <c r="D17" s="26" t="s">
        <v>24</v>
      </c>
      <c r="E17" s="29">
        <v>25850</v>
      </c>
      <c r="F17" s="29">
        <v>25780</v>
      </c>
      <c r="G17" s="29">
        <v>100</v>
      </c>
      <c r="H17" s="69">
        <v>7000</v>
      </c>
      <c r="I17" s="20"/>
      <c r="J17" s="34"/>
    </row>
    <row r="18" spans="1:10" x14ac:dyDescent="0.3">
      <c r="A18" s="20"/>
      <c r="B18" s="71">
        <v>42083</v>
      </c>
      <c r="C18" s="24" t="s">
        <v>23</v>
      </c>
      <c r="D18" s="26" t="s">
        <v>24</v>
      </c>
      <c r="E18" s="29">
        <v>25970</v>
      </c>
      <c r="F18" s="29">
        <v>25920</v>
      </c>
      <c r="G18" s="29">
        <v>100</v>
      </c>
      <c r="H18" s="69">
        <v>5000</v>
      </c>
      <c r="I18" s="20"/>
      <c r="J18" s="34"/>
    </row>
    <row r="19" spans="1:10" ht="15.6" x14ac:dyDescent="0.3">
      <c r="A19" s="20"/>
      <c r="B19" s="71">
        <v>42086</v>
      </c>
      <c r="C19" s="24" t="s">
        <v>23</v>
      </c>
      <c r="D19" s="26" t="s">
        <v>24</v>
      </c>
      <c r="E19" s="29">
        <v>26110</v>
      </c>
      <c r="F19" s="29">
        <v>26150</v>
      </c>
      <c r="G19" s="29">
        <v>100</v>
      </c>
      <c r="H19" s="79">
        <v>-4000</v>
      </c>
      <c r="I19" s="20"/>
      <c r="J19" s="34"/>
    </row>
    <row r="20" spans="1:10" x14ac:dyDescent="0.3">
      <c r="A20" s="20"/>
      <c r="B20" s="71">
        <v>42087</v>
      </c>
      <c r="C20" s="24" t="s">
        <v>16</v>
      </c>
      <c r="D20" s="26" t="s">
        <v>24</v>
      </c>
      <c r="E20" s="29">
        <v>26190</v>
      </c>
      <c r="F20" s="29">
        <v>26300</v>
      </c>
      <c r="G20" s="29">
        <v>100</v>
      </c>
      <c r="H20" s="69">
        <v>11000</v>
      </c>
      <c r="I20" s="20"/>
      <c r="J20" s="34"/>
    </row>
    <row r="21" spans="1:10" ht="15.6" x14ac:dyDescent="0.3">
      <c r="A21" s="20"/>
      <c r="B21" s="71">
        <v>42088</v>
      </c>
      <c r="C21" s="24" t="s">
        <v>16</v>
      </c>
      <c r="D21" s="26" t="s">
        <v>24</v>
      </c>
      <c r="E21" s="29">
        <v>26350</v>
      </c>
      <c r="F21" s="29">
        <v>26420</v>
      </c>
      <c r="G21" s="29">
        <v>100</v>
      </c>
      <c r="H21" s="102">
        <v>7000</v>
      </c>
      <c r="I21" s="20"/>
      <c r="J21" s="34"/>
    </row>
    <row r="22" spans="1:10" ht="15.6" x14ac:dyDescent="0.3">
      <c r="A22" s="20"/>
      <c r="B22" s="71">
        <v>42089</v>
      </c>
      <c r="C22" s="24" t="s">
        <v>16</v>
      </c>
      <c r="D22" s="26" t="s">
        <v>24</v>
      </c>
      <c r="E22" s="26">
        <v>26690</v>
      </c>
      <c r="F22" s="26">
        <v>26860</v>
      </c>
      <c r="G22" s="29">
        <v>100</v>
      </c>
      <c r="H22" s="102">
        <v>17000</v>
      </c>
      <c r="I22" s="20"/>
      <c r="J22" s="34"/>
    </row>
    <row r="23" spans="1:10" ht="15.6" x14ac:dyDescent="0.3">
      <c r="A23" s="20"/>
      <c r="B23" s="71">
        <v>42090</v>
      </c>
      <c r="C23" s="24" t="s">
        <v>23</v>
      </c>
      <c r="D23" s="26" t="s">
        <v>24</v>
      </c>
      <c r="E23" s="26">
        <v>26690</v>
      </c>
      <c r="F23" s="26">
        <v>26530</v>
      </c>
      <c r="G23" s="29">
        <v>100</v>
      </c>
      <c r="H23" s="79">
        <v>16000</v>
      </c>
      <c r="I23" s="20"/>
      <c r="J23" s="34"/>
    </row>
    <row r="24" spans="1:10" x14ac:dyDescent="0.3">
      <c r="A24" s="20"/>
      <c r="B24" s="71">
        <v>42093</v>
      </c>
      <c r="C24" s="29" t="s">
        <v>23</v>
      </c>
      <c r="D24" s="36" t="s">
        <v>24</v>
      </c>
      <c r="E24" s="36">
        <v>26430</v>
      </c>
      <c r="F24" s="29">
        <v>26260</v>
      </c>
      <c r="G24" s="29">
        <v>100</v>
      </c>
      <c r="H24" s="29">
        <v>16000</v>
      </c>
      <c r="I24" s="20"/>
      <c r="J24" s="34"/>
    </row>
    <row r="25" spans="1:10" x14ac:dyDescent="0.3">
      <c r="A25" s="20"/>
      <c r="B25" s="71">
        <v>42094</v>
      </c>
      <c r="C25" s="29" t="s">
        <v>23</v>
      </c>
      <c r="D25" s="36" t="s">
        <v>24</v>
      </c>
      <c r="E25" s="36">
        <v>26210</v>
      </c>
      <c r="F25" s="29">
        <v>26310</v>
      </c>
      <c r="G25" s="29">
        <v>100</v>
      </c>
      <c r="H25" s="29">
        <v>-10000</v>
      </c>
      <c r="I25" s="20"/>
      <c r="J25" s="34"/>
    </row>
    <row r="26" spans="1:10" ht="15.6" x14ac:dyDescent="0.3">
      <c r="A26" s="20"/>
      <c r="B26" s="71"/>
      <c r="C26" s="29"/>
      <c r="D26" s="36"/>
      <c r="E26" s="36"/>
      <c r="F26" s="29"/>
      <c r="G26" s="29"/>
      <c r="H26" s="80">
        <v>162500</v>
      </c>
      <c r="I26" s="20"/>
    </row>
    <row r="27" spans="1:10" x14ac:dyDescent="0.3">
      <c r="A27" s="20"/>
      <c r="B27" s="71"/>
      <c r="C27" s="29"/>
      <c r="D27" s="36"/>
      <c r="E27" s="36"/>
      <c r="F27" s="29"/>
      <c r="G27" s="29"/>
      <c r="H27" s="29"/>
      <c r="I27" s="20"/>
    </row>
    <row r="28" spans="1:10" x14ac:dyDescent="0.3">
      <c r="A28" s="20"/>
      <c r="B28" s="71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525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42065</v>
      </c>
      <c r="C30" s="24" t="s">
        <v>23</v>
      </c>
      <c r="D30" s="24" t="s">
        <v>25</v>
      </c>
      <c r="E30" s="49" t="s">
        <v>519</v>
      </c>
      <c r="F30" s="49" t="s">
        <v>521</v>
      </c>
      <c r="G30" s="25">
        <v>100</v>
      </c>
      <c r="H30" s="29">
        <v>2500</v>
      </c>
      <c r="I30" s="20"/>
    </row>
    <row r="31" spans="1:10" x14ac:dyDescent="0.3">
      <c r="A31" s="20"/>
      <c r="B31" s="71">
        <v>42066</v>
      </c>
      <c r="C31" s="24" t="s">
        <v>23</v>
      </c>
      <c r="D31" s="24" t="s">
        <v>25</v>
      </c>
      <c r="E31" s="83" t="s">
        <v>527</v>
      </c>
      <c r="F31" s="49" t="s">
        <v>464</v>
      </c>
      <c r="G31" s="25">
        <v>100</v>
      </c>
      <c r="H31" s="29">
        <v>-2500</v>
      </c>
      <c r="I31" s="20"/>
    </row>
    <row r="32" spans="1:10" x14ac:dyDescent="0.3">
      <c r="A32" s="20"/>
      <c r="B32" s="71">
        <v>42067</v>
      </c>
      <c r="C32" s="24" t="s">
        <v>16</v>
      </c>
      <c r="D32" s="24" t="s">
        <v>25</v>
      </c>
      <c r="E32" s="49" t="s">
        <v>528</v>
      </c>
      <c r="F32" s="49" t="s">
        <v>529</v>
      </c>
      <c r="G32" s="25">
        <v>100</v>
      </c>
      <c r="H32" s="29">
        <v>2300</v>
      </c>
      <c r="I32" s="20"/>
    </row>
    <row r="33" spans="1:9" x14ac:dyDescent="0.3">
      <c r="A33" s="20"/>
      <c r="B33" s="71">
        <v>42068</v>
      </c>
      <c r="C33" s="24" t="s">
        <v>23</v>
      </c>
      <c r="D33" s="24" t="s">
        <v>26</v>
      </c>
      <c r="E33" s="49" t="s">
        <v>530</v>
      </c>
      <c r="F33" s="49" t="s">
        <v>531</v>
      </c>
      <c r="G33" s="25">
        <v>1250</v>
      </c>
      <c r="H33" s="29">
        <v>3125</v>
      </c>
      <c r="I33" s="20"/>
    </row>
    <row r="34" spans="1:9" x14ac:dyDescent="0.3">
      <c r="A34" s="20"/>
      <c r="B34" s="71">
        <v>42072</v>
      </c>
      <c r="C34" s="24" t="s">
        <v>23</v>
      </c>
      <c r="D34" s="24" t="s">
        <v>26</v>
      </c>
      <c r="E34" s="49" t="s">
        <v>532</v>
      </c>
      <c r="F34" s="49" t="s">
        <v>531</v>
      </c>
      <c r="G34" s="25">
        <v>1250</v>
      </c>
      <c r="H34" s="29">
        <v>2500</v>
      </c>
      <c r="I34" s="20"/>
    </row>
    <row r="35" spans="1:9" x14ac:dyDescent="0.3">
      <c r="A35" s="20"/>
      <c r="B35" s="71">
        <v>42073</v>
      </c>
      <c r="C35" s="24" t="s">
        <v>23</v>
      </c>
      <c r="D35" s="24" t="s">
        <v>25</v>
      </c>
      <c r="E35" s="49" t="s">
        <v>542</v>
      </c>
      <c r="F35" s="49" t="s">
        <v>502</v>
      </c>
      <c r="G35" s="25">
        <v>100</v>
      </c>
      <c r="H35" s="29">
        <v>4000</v>
      </c>
      <c r="I35" s="20"/>
    </row>
    <row r="36" spans="1:9" x14ac:dyDescent="0.3">
      <c r="A36" s="20"/>
      <c r="B36" s="71">
        <v>42074</v>
      </c>
      <c r="C36" s="24" t="s">
        <v>23</v>
      </c>
      <c r="D36" s="24" t="s">
        <v>25</v>
      </c>
      <c r="E36" s="49" t="s">
        <v>541</v>
      </c>
      <c r="F36" s="49" t="s">
        <v>460</v>
      </c>
      <c r="G36" s="25">
        <v>100</v>
      </c>
      <c r="H36" s="29">
        <v>5700</v>
      </c>
      <c r="I36" s="20"/>
    </row>
    <row r="37" spans="1:9" x14ac:dyDescent="0.3">
      <c r="A37" s="20"/>
      <c r="B37" s="71">
        <v>42075</v>
      </c>
      <c r="C37" s="24" t="s">
        <v>23</v>
      </c>
      <c r="D37" s="24" t="s">
        <v>26</v>
      </c>
      <c r="E37" s="49" t="s">
        <v>539</v>
      </c>
      <c r="F37" s="49" t="s">
        <v>540</v>
      </c>
      <c r="G37" s="25">
        <v>1250</v>
      </c>
      <c r="H37" s="29">
        <v>3750</v>
      </c>
      <c r="I37" s="20"/>
    </row>
    <row r="38" spans="1:9" x14ac:dyDescent="0.3">
      <c r="A38" s="20"/>
      <c r="B38" s="71">
        <v>42076</v>
      </c>
      <c r="C38" s="24" t="s">
        <v>23</v>
      </c>
      <c r="D38" s="24" t="s">
        <v>25</v>
      </c>
      <c r="E38" s="49" t="s">
        <v>476</v>
      </c>
      <c r="F38" s="49" t="s">
        <v>538</v>
      </c>
      <c r="G38" s="25">
        <v>100</v>
      </c>
      <c r="H38" s="29">
        <v>5500</v>
      </c>
      <c r="I38" s="20"/>
    </row>
    <row r="39" spans="1:9" x14ac:dyDescent="0.3">
      <c r="A39" s="20"/>
      <c r="B39" s="71">
        <v>42079</v>
      </c>
      <c r="C39" s="24" t="s">
        <v>16</v>
      </c>
      <c r="D39" s="24" t="s">
        <v>25</v>
      </c>
      <c r="E39" s="49" t="s">
        <v>537</v>
      </c>
      <c r="F39" s="49" t="s">
        <v>486</v>
      </c>
      <c r="G39" s="25">
        <v>100</v>
      </c>
      <c r="H39" s="29">
        <v>-3500</v>
      </c>
      <c r="I39" s="20"/>
    </row>
    <row r="40" spans="1:9" x14ac:dyDescent="0.3">
      <c r="A40" s="20"/>
      <c r="B40" s="71">
        <v>42080</v>
      </c>
      <c r="C40" s="24" t="s">
        <v>23</v>
      </c>
      <c r="D40" s="24" t="s">
        <v>25</v>
      </c>
      <c r="E40" s="49" t="s">
        <v>535</v>
      </c>
      <c r="F40" s="49" t="s">
        <v>536</v>
      </c>
      <c r="G40" s="25">
        <v>100</v>
      </c>
      <c r="H40" s="29">
        <v>4500</v>
      </c>
      <c r="I40" s="20"/>
    </row>
    <row r="41" spans="1:9" x14ac:dyDescent="0.3">
      <c r="A41" s="20"/>
      <c r="B41" s="71">
        <v>42081</v>
      </c>
      <c r="C41" s="24" t="s">
        <v>23</v>
      </c>
      <c r="D41" s="24" t="s">
        <v>25</v>
      </c>
      <c r="E41" s="49" t="s">
        <v>533</v>
      </c>
      <c r="F41" s="49" t="s">
        <v>534</v>
      </c>
      <c r="G41" s="25">
        <v>100</v>
      </c>
      <c r="H41" s="29">
        <v>2500</v>
      </c>
      <c r="I41" s="20"/>
    </row>
    <row r="42" spans="1:9" x14ac:dyDescent="0.3">
      <c r="A42" s="20"/>
      <c r="B42" s="71">
        <v>42082</v>
      </c>
      <c r="C42" s="24" t="s">
        <v>23</v>
      </c>
      <c r="D42" s="24" t="s">
        <v>544</v>
      </c>
      <c r="E42" s="49" t="s">
        <v>543</v>
      </c>
      <c r="F42" s="49" t="s">
        <v>545</v>
      </c>
      <c r="G42" s="25">
        <v>100</v>
      </c>
      <c r="H42" s="29">
        <v>1500</v>
      </c>
      <c r="I42" s="20"/>
    </row>
    <row r="43" spans="1:9" x14ac:dyDescent="0.3">
      <c r="A43" s="20"/>
      <c r="B43" s="71">
        <v>42083</v>
      </c>
      <c r="C43" s="24" t="s">
        <v>23</v>
      </c>
      <c r="D43" s="24" t="s">
        <v>25</v>
      </c>
      <c r="E43" s="49" t="s">
        <v>546</v>
      </c>
      <c r="F43" s="49" t="s">
        <v>547</v>
      </c>
      <c r="G43" s="25">
        <v>100</v>
      </c>
      <c r="H43" s="29">
        <v>3700</v>
      </c>
      <c r="I43" s="20"/>
    </row>
    <row r="44" spans="1:9" x14ac:dyDescent="0.3">
      <c r="A44" s="20"/>
      <c r="B44" s="71">
        <v>42086</v>
      </c>
      <c r="C44" s="24" t="s">
        <v>23</v>
      </c>
      <c r="D44" s="24" t="s">
        <v>25</v>
      </c>
      <c r="E44" s="49" t="s">
        <v>551</v>
      </c>
      <c r="F44" s="49" t="s">
        <v>552</v>
      </c>
      <c r="G44" s="25">
        <v>100</v>
      </c>
      <c r="H44" s="29">
        <v>2700</v>
      </c>
      <c r="I44" s="20"/>
    </row>
    <row r="45" spans="1:9" x14ac:dyDescent="0.3">
      <c r="A45" s="20"/>
      <c r="B45" s="71">
        <v>42087</v>
      </c>
      <c r="C45" s="24" t="s">
        <v>23</v>
      </c>
      <c r="D45" s="24" t="s">
        <v>25</v>
      </c>
      <c r="E45" s="49" t="s">
        <v>550</v>
      </c>
      <c r="F45" s="49" t="s">
        <v>463</v>
      </c>
      <c r="G45" s="25">
        <v>100</v>
      </c>
      <c r="H45" s="29">
        <v>1500</v>
      </c>
      <c r="I45" s="20"/>
    </row>
    <row r="46" spans="1:9" x14ac:dyDescent="0.3">
      <c r="A46" s="20"/>
      <c r="B46" s="71">
        <v>42088</v>
      </c>
      <c r="C46" s="24" t="s">
        <v>16</v>
      </c>
      <c r="D46" s="24" t="s">
        <v>25</v>
      </c>
      <c r="E46" s="49" t="s">
        <v>548</v>
      </c>
      <c r="F46" s="49" t="s">
        <v>549</v>
      </c>
      <c r="G46" s="25">
        <v>100</v>
      </c>
      <c r="H46" s="29">
        <v>5800</v>
      </c>
      <c r="I46" s="20"/>
    </row>
    <row r="47" spans="1:9" x14ac:dyDescent="0.3">
      <c r="A47" s="20"/>
      <c r="B47" s="71">
        <v>42090</v>
      </c>
      <c r="C47" s="97" t="s">
        <v>23</v>
      </c>
      <c r="D47" s="24" t="s">
        <v>26</v>
      </c>
      <c r="E47" s="97">
        <v>168.5</v>
      </c>
      <c r="F47" s="97">
        <v>166</v>
      </c>
      <c r="G47" s="25">
        <v>1250</v>
      </c>
      <c r="H47" s="69">
        <v>3125</v>
      </c>
      <c r="I47" s="20"/>
    </row>
    <row r="48" spans="1:9" ht="15.6" x14ac:dyDescent="0.3">
      <c r="A48" s="20"/>
      <c r="B48" s="71">
        <v>42093</v>
      </c>
      <c r="C48" s="24" t="s">
        <v>23</v>
      </c>
      <c r="D48" s="24" t="s">
        <v>25</v>
      </c>
      <c r="E48" s="97">
        <v>3040</v>
      </c>
      <c r="F48" s="97">
        <v>3010</v>
      </c>
      <c r="G48" s="25">
        <v>100</v>
      </c>
      <c r="H48" s="79">
        <v>3000</v>
      </c>
      <c r="I48" s="20"/>
    </row>
    <row r="49" spans="1:9" x14ac:dyDescent="0.3">
      <c r="A49" s="20"/>
      <c r="B49" s="71">
        <v>42094</v>
      </c>
      <c r="C49" s="29" t="s">
        <v>23</v>
      </c>
      <c r="D49" s="24" t="s">
        <v>25</v>
      </c>
      <c r="E49" s="97">
        <v>3025</v>
      </c>
      <c r="F49" s="97">
        <v>2980</v>
      </c>
      <c r="G49" s="97">
        <v>100</v>
      </c>
      <c r="H49" s="69">
        <v>4500</v>
      </c>
      <c r="I49" s="20"/>
    </row>
    <row r="50" spans="1:9" ht="15.6" x14ac:dyDescent="0.3">
      <c r="A50" s="20"/>
      <c r="B50" s="71"/>
      <c r="C50" s="29"/>
      <c r="D50" s="97"/>
      <c r="E50" s="97"/>
      <c r="F50" s="97"/>
      <c r="G50" s="97"/>
      <c r="H50" s="96">
        <v>56200</v>
      </c>
      <c r="I50" s="20"/>
    </row>
    <row r="51" spans="1:9" ht="15.6" x14ac:dyDescent="0.3">
      <c r="A51" s="20"/>
      <c r="B51" s="71"/>
      <c r="C51" s="29"/>
      <c r="D51" s="36"/>
      <c r="E51" s="29"/>
      <c r="F51" s="29"/>
      <c r="G51" s="29"/>
      <c r="H51" s="70"/>
      <c r="I51" s="20"/>
    </row>
    <row r="52" spans="1:9" x14ac:dyDescent="0.3">
      <c r="A52" s="20"/>
      <c r="B52" s="71"/>
      <c r="C52" s="29"/>
      <c r="D52" s="36"/>
      <c r="E52" s="29"/>
      <c r="F52" s="29"/>
      <c r="G52" s="29"/>
      <c r="H52" s="29"/>
      <c r="I52" s="20"/>
    </row>
    <row r="53" spans="1:9" x14ac:dyDescent="0.3">
      <c r="A53" s="20"/>
      <c r="B53" s="71"/>
      <c r="C53" s="29"/>
      <c r="D53" s="36"/>
      <c r="E53" s="29"/>
      <c r="F53" s="29"/>
      <c r="G53" s="29"/>
      <c r="H53" s="29"/>
      <c r="I53" s="20"/>
    </row>
    <row r="54" spans="1:9" ht="15.6" x14ac:dyDescent="0.3">
      <c r="A54" s="20"/>
      <c r="B54" s="61" t="s">
        <v>524</v>
      </c>
      <c r="C54" s="62"/>
      <c r="D54" s="63"/>
      <c r="E54" s="62"/>
      <c r="F54" s="62"/>
      <c r="G54" s="62"/>
      <c r="H54" s="64"/>
      <c r="I54" s="20"/>
    </row>
    <row r="55" spans="1:9" x14ac:dyDescent="0.3">
      <c r="A55" s="20"/>
      <c r="B55" s="71">
        <v>42065</v>
      </c>
      <c r="C55" s="24" t="s">
        <v>23</v>
      </c>
      <c r="D55" s="24" t="s">
        <v>28</v>
      </c>
      <c r="E55" s="29">
        <v>128.1</v>
      </c>
      <c r="F55" s="29">
        <v>127.1</v>
      </c>
      <c r="G55" s="29">
        <v>5000</v>
      </c>
      <c r="H55" s="29">
        <v>5000</v>
      </c>
      <c r="I55" s="20"/>
    </row>
    <row r="56" spans="1:9" x14ac:dyDescent="0.3">
      <c r="A56" s="20"/>
      <c r="B56" s="71">
        <v>42066</v>
      </c>
      <c r="C56" s="24" t="s">
        <v>23</v>
      </c>
      <c r="D56" s="24" t="s">
        <v>27</v>
      </c>
      <c r="E56" s="29">
        <v>108.4</v>
      </c>
      <c r="F56" s="29">
        <v>107.9</v>
      </c>
      <c r="G56" s="29">
        <v>5000</v>
      </c>
      <c r="H56" s="29">
        <v>2500</v>
      </c>
      <c r="I56" s="20"/>
    </row>
    <row r="57" spans="1:9" x14ac:dyDescent="0.3">
      <c r="A57" s="20"/>
      <c r="B57" s="71">
        <v>42067</v>
      </c>
      <c r="C57" s="24" t="s">
        <v>23</v>
      </c>
      <c r="D57" s="24" t="s">
        <v>28</v>
      </c>
      <c r="E57" s="29">
        <v>125.6</v>
      </c>
      <c r="F57" s="29">
        <v>126.5</v>
      </c>
      <c r="G57" s="29">
        <v>5000</v>
      </c>
      <c r="H57" s="29">
        <v>-4500</v>
      </c>
      <c r="I57" s="67"/>
    </row>
    <row r="58" spans="1:9" x14ac:dyDescent="0.3">
      <c r="A58" s="20"/>
      <c r="B58" s="71">
        <v>42068</v>
      </c>
      <c r="C58" s="24" t="s">
        <v>23</v>
      </c>
      <c r="D58" s="24" t="s">
        <v>29</v>
      </c>
      <c r="E58" s="29">
        <v>370</v>
      </c>
      <c r="F58" s="29">
        <v>368.5</v>
      </c>
      <c r="G58" s="29">
        <v>1000</v>
      </c>
      <c r="H58" s="29">
        <v>1500</v>
      </c>
      <c r="I58" s="67"/>
    </row>
    <row r="59" spans="1:9" x14ac:dyDescent="0.3">
      <c r="A59" s="20"/>
      <c r="B59" s="71">
        <v>42072</v>
      </c>
      <c r="C59" s="24" t="s">
        <v>23</v>
      </c>
      <c r="D59" s="24" t="s">
        <v>27</v>
      </c>
      <c r="E59" s="29">
        <v>114</v>
      </c>
      <c r="F59" s="29">
        <v>114.8</v>
      </c>
      <c r="G59" s="29">
        <v>5000</v>
      </c>
      <c r="H59" s="29">
        <v>-4000</v>
      </c>
      <c r="I59" s="67"/>
    </row>
    <row r="60" spans="1:9" x14ac:dyDescent="0.3">
      <c r="A60" s="20"/>
      <c r="B60" s="71">
        <v>42073</v>
      </c>
      <c r="C60" s="24" t="s">
        <v>23</v>
      </c>
      <c r="D60" s="24" t="s">
        <v>28</v>
      </c>
      <c r="E60" s="29">
        <v>127.5</v>
      </c>
      <c r="F60" s="29">
        <v>126.7</v>
      </c>
      <c r="G60" s="29">
        <v>5000</v>
      </c>
      <c r="H60" s="29">
        <v>4000</v>
      </c>
      <c r="I60" s="67"/>
    </row>
    <row r="61" spans="1:9" x14ac:dyDescent="0.3">
      <c r="A61" s="20"/>
      <c r="B61" s="71">
        <v>42074</v>
      </c>
      <c r="C61" s="24" t="s">
        <v>16</v>
      </c>
      <c r="D61" s="24" t="s">
        <v>28</v>
      </c>
      <c r="E61" s="29">
        <v>126.5</v>
      </c>
      <c r="F61" s="29">
        <v>127.5</v>
      </c>
      <c r="G61" s="29">
        <v>5000</v>
      </c>
      <c r="H61" s="29">
        <v>5000</v>
      </c>
      <c r="I61" s="67"/>
    </row>
    <row r="62" spans="1:9" x14ac:dyDescent="0.3">
      <c r="A62" s="20"/>
      <c r="B62" s="71">
        <v>42075</v>
      </c>
      <c r="C62" s="24" t="s">
        <v>16</v>
      </c>
      <c r="D62" s="26" t="s">
        <v>35</v>
      </c>
      <c r="E62" s="29">
        <v>876</v>
      </c>
      <c r="F62" s="29">
        <v>882</v>
      </c>
      <c r="G62" s="29">
        <v>250</v>
      </c>
      <c r="H62" s="29">
        <v>1500</v>
      </c>
      <c r="I62" s="67"/>
    </row>
    <row r="63" spans="1:9" x14ac:dyDescent="0.3">
      <c r="A63" s="20"/>
      <c r="B63" s="71">
        <v>42076</v>
      </c>
      <c r="C63" s="24" t="s">
        <v>23</v>
      </c>
      <c r="D63" s="24" t="s">
        <v>56</v>
      </c>
      <c r="E63" s="29">
        <v>110.2</v>
      </c>
      <c r="F63" s="29">
        <v>111</v>
      </c>
      <c r="G63" s="29">
        <v>5000</v>
      </c>
      <c r="H63" s="29">
        <v>-4000</v>
      </c>
      <c r="I63" s="67"/>
    </row>
    <row r="64" spans="1:9" x14ac:dyDescent="0.3">
      <c r="A64" s="20"/>
      <c r="B64" s="71">
        <v>42079</v>
      </c>
      <c r="C64" s="24" t="s">
        <v>23</v>
      </c>
      <c r="D64" s="24" t="s">
        <v>28</v>
      </c>
      <c r="E64" s="29">
        <v>127.3</v>
      </c>
      <c r="F64" s="29">
        <v>126.4</v>
      </c>
      <c r="G64" s="29">
        <v>5000</v>
      </c>
      <c r="H64" s="29">
        <v>4500</v>
      </c>
      <c r="I64" s="67"/>
    </row>
    <row r="65" spans="1:9" x14ac:dyDescent="0.3">
      <c r="A65" s="20"/>
      <c r="B65" s="71">
        <v>42080</v>
      </c>
      <c r="C65" s="24" t="s">
        <v>23</v>
      </c>
      <c r="D65" s="24" t="s">
        <v>29</v>
      </c>
      <c r="E65" s="29">
        <v>370</v>
      </c>
      <c r="F65" s="29">
        <v>365</v>
      </c>
      <c r="G65" s="29">
        <v>1000</v>
      </c>
      <c r="H65" s="29">
        <v>5000</v>
      </c>
      <c r="I65" s="67"/>
    </row>
    <row r="66" spans="1:9" x14ac:dyDescent="0.3">
      <c r="A66" s="20"/>
      <c r="B66" s="71">
        <v>42081</v>
      </c>
      <c r="C66" s="24" t="s">
        <v>23</v>
      </c>
      <c r="D66" s="24" t="s">
        <v>29</v>
      </c>
      <c r="E66" s="26">
        <v>365</v>
      </c>
      <c r="F66" s="26">
        <v>360</v>
      </c>
      <c r="G66" s="29">
        <v>1000</v>
      </c>
      <c r="H66" s="29">
        <v>5000</v>
      </c>
      <c r="I66" s="67"/>
    </row>
    <row r="67" spans="1:9" x14ac:dyDescent="0.3">
      <c r="A67" s="20"/>
      <c r="B67" s="71">
        <v>42082</v>
      </c>
      <c r="C67" s="24" t="s">
        <v>23</v>
      </c>
      <c r="D67" s="24" t="s">
        <v>28</v>
      </c>
      <c r="E67" s="29">
        <v>125</v>
      </c>
      <c r="F67" s="29">
        <v>125.8</v>
      </c>
      <c r="G67" s="29">
        <v>5000</v>
      </c>
      <c r="H67" s="29">
        <v>-4000</v>
      </c>
      <c r="I67" s="67"/>
    </row>
    <row r="68" spans="1:9" x14ac:dyDescent="0.3">
      <c r="A68" s="20"/>
      <c r="B68" s="71">
        <v>42083</v>
      </c>
      <c r="C68" s="24" t="s">
        <v>23</v>
      </c>
      <c r="D68" s="24" t="s">
        <v>56</v>
      </c>
      <c r="E68" s="26">
        <v>110.9</v>
      </c>
      <c r="F68" s="26">
        <v>110</v>
      </c>
      <c r="G68" s="29">
        <v>5000</v>
      </c>
      <c r="H68" s="29">
        <v>4500</v>
      </c>
      <c r="I68" s="67"/>
    </row>
    <row r="69" spans="1:9" x14ac:dyDescent="0.3">
      <c r="A69" s="20"/>
      <c r="B69" s="71">
        <v>42086</v>
      </c>
      <c r="C69" s="24" t="s">
        <v>23</v>
      </c>
      <c r="D69" s="24" t="s">
        <v>56</v>
      </c>
      <c r="E69" s="26">
        <v>112</v>
      </c>
      <c r="F69" s="26">
        <v>111.5</v>
      </c>
      <c r="G69" s="29">
        <v>5000</v>
      </c>
      <c r="H69" s="29">
        <v>2500</v>
      </c>
      <c r="I69" s="67"/>
    </row>
    <row r="70" spans="1:9" x14ac:dyDescent="0.3">
      <c r="A70" s="20"/>
      <c r="B70" s="71">
        <v>42087</v>
      </c>
      <c r="C70" s="24" t="s">
        <v>23</v>
      </c>
      <c r="D70" s="24" t="s">
        <v>56</v>
      </c>
      <c r="E70" s="26">
        <v>111.55</v>
      </c>
      <c r="F70" s="26">
        <v>111.05</v>
      </c>
      <c r="G70" s="29">
        <v>5000</v>
      </c>
      <c r="H70" s="29">
        <v>2500</v>
      </c>
      <c r="I70" s="67"/>
    </row>
    <row r="71" spans="1:9" x14ac:dyDescent="0.3">
      <c r="A71" s="20"/>
      <c r="B71" s="71">
        <v>42088</v>
      </c>
      <c r="C71" s="24" t="s">
        <v>16</v>
      </c>
      <c r="D71" s="24" t="s">
        <v>29</v>
      </c>
      <c r="E71" s="26">
        <v>386</v>
      </c>
      <c r="F71" s="26">
        <v>378.5</v>
      </c>
      <c r="G71" s="29">
        <v>1000</v>
      </c>
      <c r="H71" s="29">
        <v>1500</v>
      </c>
      <c r="I71" s="67"/>
    </row>
    <row r="72" spans="1:9" ht="15.6" x14ac:dyDescent="0.3">
      <c r="A72" s="20"/>
      <c r="B72" s="71">
        <v>42089</v>
      </c>
      <c r="C72" s="24" t="s">
        <v>16</v>
      </c>
      <c r="D72" s="24" t="s">
        <v>28</v>
      </c>
      <c r="E72" s="29">
        <v>130.35</v>
      </c>
      <c r="F72" s="29">
        <v>131.80000000000001</v>
      </c>
      <c r="G72" s="29">
        <v>5000</v>
      </c>
      <c r="H72" s="103">
        <v>7250</v>
      </c>
      <c r="I72" s="67"/>
    </row>
    <row r="73" spans="1:9" x14ac:dyDescent="0.3">
      <c r="A73" s="20"/>
      <c r="B73" s="71">
        <v>42090</v>
      </c>
      <c r="C73" s="75" t="s">
        <v>23</v>
      </c>
      <c r="D73" s="75" t="s">
        <v>27</v>
      </c>
      <c r="E73" s="45">
        <v>114.7</v>
      </c>
      <c r="F73" s="75">
        <v>113.7</v>
      </c>
      <c r="G73" s="29">
        <v>5000</v>
      </c>
      <c r="H73" s="29">
        <v>5000</v>
      </c>
      <c r="I73" s="67"/>
    </row>
    <row r="74" spans="1:9" x14ac:dyDescent="0.3">
      <c r="A74" s="20"/>
      <c r="B74" s="71">
        <v>42093</v>
      </c>
      <c r="C74" s="75" t="s">
        <v>23</v>
      </c>
      <c r="D74" s="75" t="s">
        <v>28</v>
      </c>
      <c r="E74" s="75">
        <v>129.9</v>
      </c>
      <c r="F74" s="75">
        <v>130.69999999999999</v>
      </c>
      <c r="G74" s="29">
        <v>5000</v>
      </c>
      <c r="H74" s="29">
        <v>-4000</v>
      </c>
      <c r="I74" s="67"/>
    </row>
    <row r="75" spans="1:9" ht="15.6" x14ac:dyDescent="0.3">
      <c r="A75" s="20"/>
      <c r="B75" s="71">
        <v>42094</v>
      </c>
      <c r="C75" s="75" t="s">
        <v>23</v>
      </c>
      <c r="D75" s="75" t="s">
        <v>29</v>
      </c>
      <c r="E75" s="75">
        <v>383.5</v>
      </c>
      <c r="F75" s="75">
        <v>380</v>
      </c>
      <c r="G75" s="29">
        <v>1000</v>
      </c>
      <c r="H75" s="102">
        <v>3500</v>
      </c>
      <c r="I75" s="99"/>
    </row>
    <row r="76" spans="1:9" ht="15.6" x14ac:dyDescent="0.3">
      <c r="A76" s="57"/>
      <c r="B76" s="71"/>
      <c r="C76" s="75"/>
      <c r="D76" s="75"/>
      <c r="E76" s="75"/>
      <c r="F76" s="75"/>
      <c r="G76" s="29"/>
      <c r="H76" s="96">
        <v>40250</v>
      </c>
      <c r="I76" s="57"/>
    </row>
    <row r="77" spans="1:9" ht="15.6" x14ac:dyDescent="0.3">
      <c r="A77" s="57"/>
      <c r="C77" s="18"/>
      <c r="D77" s="18"/>
      <c r="E77" s="18"/>
      <c r="F77" s="18"/>
      <c r="G77" s="18"/>
      <c r="H77" s="46"/>
      <c r="I77" s="57"/>
    </row>
    <row r="78" spans="1:9" x14ac:dyDescent="0.3">
      <c r="A78" s="57"/>
      <c r="C78" s="18"/>
      <c r="D78" s="18"/>
      <c r="E78" s="18"/>
      <c r="F78" s="18"/>
      <c r="G78" s="18"/>
      <c r="H78" s="18"/>
      <c r="I78" s="57"/>
    </row>
    <row r="79" spans="1:9" x14ac:dyDescent="0.3">
      <c r="A79" s="57"/>
      <c r="B79" s="18"/>
      <c r="C79" s="18"/>
      <c r="D79" s="18"/>
      <c r="E79" s="18"/>
      <c r="F79" s="18"/>
      <c r="G79" s="18"/>
      <c r="H79" s="18"/>
      <c r="I79" s="57"/>
    </row>
    <row r="80" spans="1:9" x14ac:dyDescent="0.3">
      <c r="A80" s="57"/>
      <c r="B80" s="18"/>
      <c r="C80" s="18"/>
      <c r="D80" s="18"/>
      <c r="E80" s="18"/>
      <c r="F80" s="18"/>
      <c r="G80" s="18"/>
      <c r="H80" s="18"/>
      <c r="I80" s="57"/>
    </row>
    <row r="81" spans="1:9" x14ac:dyDescent="0.3">
      <c r="A81" s="57"/>
      <c r="B81" s="18"/>
      <c r="C81" s="18"/>
      <c r="D81" s="18"/>
      <c r="E81" s="18"/>
      <c r="F81" s="18"/>
      <c r="G81" s="18"/>
      <c r="H81" s="18"/>
      <c r="I81" s="57"/>
    </row>
    <row r="82" spans="1:9" x14ac:dyDescent="0.3">
      <c r="A82" s="57"/>
      <c r="B82" s="18"/>
      <c r="C82" s="18"/>
      <c r="D82" s="18"/>
      <c r="E82" s="18"/>
      <c r="F82" s="18"/>
      <c r="G82" s="18"/>
      <c r="H82" s="18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</sheetData>
  <mergeCells count="3">
    <mergeCell ref="B1:H1"/>
    <mergeCell ref="B2:H2"/>
    <mergeCell ref="B3:H3"/>
  </mergeCells>
  <hyperlinks>
    <hyperlink ref="J2" location="MASTER!A1" display="Back" xr:uid="{00000000-0004-0000-1B00-000000000000}"/>
  </hyperlinks>
  <pageMargins left="0.7" right="0.7" top="0.75" bottom="0.75" header="0.3" footer="0.3"/>
  <pageSetup orientation="portrait" horizontalDpi="300" verticalDpi="0" r:id="rId1"/>
  <ignoredErrors>
    <ignoredError sqref="E30:F34 E35:F41 E42:F46 E47:F47 K9:N10 K8 N8 L8:M8 K11:L11 M11:N11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04"/>
  <sheetViews>
    <sheetView workbookViewId="0"/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555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42095</v>
      </c>
      <c r="C5" s="24" t="s">
        <v>23</v>
      </c>
      <c r="D5" s="26" t="s">
        <v>24</v>
      </c>
      <c r="E5" s="29">
        <v>26330</v>
      </c>
      <c r="F5" s="29">
        <v>26260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42100</v>
      </c>
      <c r="C6" s="24" t="s">
        <v>55</v>
      </c>
      <c r="D6" s="26" t="s">
        <v>24</v>
      </c>
      <c r="E6" s="29">
        <v>27020</v>
      </c>
      <c r="F6" s="29">
        <v>27090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42101</v>
      </c>
      <c r="C7" s="24" t="s">
        <v>23</v>
      </c>
      <c r="D7" s="26" t="s">
        <v>24</v>
      </c>
      <c r="E7" s="29">
        <v>26875</v>
      </c>
      <c r="F7" s="29">
        <v>26850</v>
      </c>
      <c r="G7" s="29">
        <v>100</v>
      </c>
      <c r="H7" s="29">
        <v>2500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42102</v>
      </c>
      <c r="C8" s="24" t="s">
        <v>23</v>
      </c>
      <c r="D8" s="26" t="s">
        <v>24</v>
      </c>
      <c r="E8" s="29">
        <v>26870</v>
      </c>
      <c r="F8" s="29">
        <v>26770</v>
      </c>
      <c r="G8" s="29">
        <v>100</v>
      </c>
      <c r="H8" s="29">
        <v>10000</v>
      </c>
      <c r="I8" s="20"/>
      <c r="J8" s="100" t="s">
        <v>257</v>
      </c>
      <c r="K8" s="49" t="s">
        <v>553</v>
      </c>
      <c r="L8" s="101" t="s">
        <v>392</v>
      </c>
      <c r="M8" s="101" t="s">
        <v>522</v>
      </c>
      <c r="N8" s="101" t="s">
        <v>262</v>
      </c>
    </row>
    <row r="9" spans="1:14" x14ac:dyDescent="0.3">
      <c r="A9" s="20"/>
      <c r="B9" s="71">
        <v>42103</v>
      </c>
      <c r="C9" s="24" t="s">
        <v>23</v>
      </c>
      <c r="D9" s="26" t="s">
        <v>24</v>
      </c>
      <c r="E9" s="29">
        <v>26550</v>
      </c>
      <c r="F9" s="29">
        <v>26480</v>
      </c>
      <c r="G9" s="29">
        <v>100</v>
      </c>
      <c r="H9" s="29">
        <v>7000</v>
      </c>
      <c r="I9" s="20"/>
      <c r="J9" s="100" t="s">
        <v>258</v>
      </c>
      <c r="K9" s="101" t="s">
        <v>553</v>
      </c>
      <c r="L9" s="101" t="s">
        <v>267</v>
      </c>
      <c r="M9" s="101" t="s">
        <v>264</v>
      </c>
      <c r="N9" s="101" t="s">
        <v>262</v>
      </c>
    </row>
    <row r="10" spans="1:14" x14ac:dyDescent="0.3">
      <c r="A10" s="20"/>
      <c r="B10" s="71">
        <v>42104</v>
      </c>
      <c r="C10" s="24" t="s">
        <v>23</v>
      </c>
      <c r="D10" s="24" t="s">
        <v>24</v>
      </c>
      <c r="E10" s="29">
        <v>26560</v>
      </c>
      <c r="F10" s="29">
        <v>26660</v>
      </c>
      <c r="G10" s="29">
        <v>100</v>
      </c>
      <c r="H10" s="29">
        <v>-10000</v>
      </c>
      <c r="I10" s="20"/>
      <c r="J10" s="100" t="s">
        <v>259</v>
      </c>
      <c r="K10" s="101" t="s">
        <v>263</v>
      </c>
      <c r="L10" s="101" t="s">
        <v>392</v>
      </c>
      <c r="M10" s="101" t="s">
        <v>264</v>
      </c>
      <c r="N10" s="101" t="s">
        <v>262</v>
      </c>
    </row>
    <row r="11" spans="1:14" x14ac:dyDescent="0.3">
      <c r="A11" s="20"/>
      <c r="B11" s="71">
        <v>42107</v>
      </c>
      <c r="C11" s="24" t="s">
        <v>23</v>
      </c>
      <c r="D11" s="26" t="s">
        <v>24</v>
      </c>
      <c r="E11" s="29">
        <v>26730</v>
      </c>
      <c r="F11" s="29">
        <v>26660</v>
      </c>
      <c r="G11" s="29">
        <v>100</v>
      </c>
      <c r="H11" s="69">
        <v>7000</v>
      </c>
      <c r="I11" s="20"/>
      <c r="J11" s="100" t="s">
        <v>300</v>
      </c>
      <c r="K11" s="101" t="s">
        <v>583</v>
      </c>
      <c r="L11" s="101" t="s">
        <v>584</v>
      </c>
      <c r="M11" s="101" t="s">
        <v>291</v>
      </c>
      <c r="N11" s="101" t="s">
        <v>262</v>
      </c>
    </row>
    <row r="12" spans="1:14" x14ac:dyDescent="0.3">
      <c r="A12" s="20"/>
      <c r="B12" s="71">
        <v>42109</v>
      </c>
      <c r="C12" s="24" t="s">
        <v>23</v>
      </c>
      <c r="D12" s="26" t="s">
        <v>24</v>
      </c>
      <c r="E12" s="29">
        <v>26520</v>
      </c>
      <c r="F12" s="29">
        <v>26620</v>
      </c>
      <c r="G12" s="29">
        <v>100</v>
      </c>
      <c r="H12" s="69">
        <v>-10000</v>
      </c>
      <c r="I12" s="20"/>
      <c r="J12" s="34"/>
    </row>
    <row r="13" spans="1:14" x14ac:dyDescent="0.3">
      <c r="A13" s="20"/>
      <c r="B13" s="71">
        <v>42110</v>
      </c>
      <c r="C13" s="24" t="s">
        <v>16</v>
      </c>
      <c r="D13" s="26" t="s">
        <v>24</v>
      </c>
      <c r="E13" s="29">
        <v>26760</v>
      </c>
      <c r="F13" s="29">
        <v>26830</v>
      </c>
      <c r="G13" s="29">
        <v>100</v>
      </c>
      <c r="H13" s="69">
        <v>7000</v>
      </c>
      <c r="I13" s="20"/>
      <c r="J13" s="34"/>
      <c r="K13" s="87" t="s">
        <v>585</v>
      </c>
      <c r="L13" s="88"/>
      <c r="M13" s="89"/>
    </row>
    <row r="14" spans="1:14" x14ac:dyDescent="0.3">
      <c r="A14" s="20"/>
      <c r="B14" s="71">
        <v>42111</v>
      </c>
      <c r="C14" s="24" t="s">
        <v>16</v>
      </c>
      <c r="D14" s="26" t="s">
        <v>24</v>
      </c>
      <c r="E14" s="29">
        <v>26680</v>
      </c>
      <c r="F14" s="29">
        <v>26800</v>
      </c>
      <c r="G14" s="29">
        <v>100</v>
      </c>
      <c r="H14" s="69">
        <v>12000</v>
      </c>
      <c r="I14" s="20"/>
      <c r="J14" s="34"/>
    </row>
    <row r="15" spans="1:14" x14ac:dyDescent="0.3">
      <c r="A15" s="20"/>
      <c r="B15" s="71">
        <v>42114</v>
      </c>
      <c r="C15" s="24" t="s">
        <v>23</v>
      </c>
      <c r="D15" s="26" t="s">
        <v>24</v>
      </c>
      <c r="E15" s="29">
        <v>26870</v>
      </c>
      <c r="F15" s="29">
        <v>26800</v>
      </c>
      <c r="G15" s="29">
        <v>100</v>
      </c>
      <c r="H15" s="69">
        <v>7000</v>
      </c>
      <c r="I15" s="20"/>
      <c r="J15" s="34"/>
    </row>
    <row r="16" spans="1:14" x14ac:dyDescent="0.3">
      <c r="A16" s="20"/>
      <c r="B16" s="71">
        <v>42115</v>
      </c>
      <c r="C16" s="24" t="s">
        <v>23</v>
      </c>
      <c r="D16" s="26" t="s">
        <v>24</v>
      </c>
      <c r="E16" s="29">
        <v>26830</v>
      </c>
      <c r="F16" s="29">
        <v>26760</v>
      </c>
      <c r="G16" s="29">
        <v>100</v>
      </c>
      <c r="H16" s="69">
        <v>7000</v>
      </c>
      <c r="I16" s="20"/>
      <c r="J16" s="34"/>
    </row>
    <row r="17" spans="1:10" x14ac:dyDescent="0.3">
      <c r="A17" s="20"/>
      <c r="B17" s="71">
        <v>42116</v>
      </c>
      <c r="C17" s="24" t="s">
        <v>23</v>
      </c>
      <c r="D17" s="26" t="s">
        <v>24</v>
      </c>
      <c r="E17" s="29">
        <v>26880</v>
      </c>
      <c r="F17" s="29">
        <v>26710</v>
      </c>
      <c r="G17" s="29">
        <v>100</v>
      </c>
      <c r="H17" s="69">
        <v>17000</v>
      </c>
      <c r="I17" s="20"/>
      <c r="J17" s="34"/>
    </row>
    <row r="18" spans="1:10" x14ac:dyDescent="0.3">
      <c r="A18" s="20"/>
      <c r="B18" s="71">
        <v>42117</v>
      </c>
      <c r="C18" s="24" t="s">
        <v>23</v>
      </c>
      <c r="D18" s="26" t="s">
        <v>24</v>
      </c>
      <c r="E18" s="29">
        <v>26700</v>
      </c>
      <c r="F18" s="29">
        <v>26770</v>
      </c>
      <c r="G18" s="29">
        <v>100</v>
      </c>
      <c r="H18" s="69">
        <v>-7000</v>
      </c>
      <c r="I18" s="20"/>
      <c r="J18" s="34"/>
    </row>
    <row r="19" spans="1:10" ht="15.6" x14ac:dyDescent="0.3">
      <c r="A19" s="20"/>
      <c r="B19" s="71">
        <v>42118</v>
      </c>
      <c r="C19" s="24" t="s">
        <v>16</v>
      </c>
      <c r="D19" s="26" t="s">
        <v>24</v>
      </c>
      <c r="E19" s="29">
        <v>26900</v>
      </c>
      <c r="F19" s="29">
        <v>26955</v>
      </c>
      <c r="G19" s="29">
        <v>100</v>
      </c>
      <c r="H19" s="79">
        <v>5500</v>
      </c>
      <c r="I19" s="20"/>
      <c r="J19" s="34"/>
    </row>
    <row r="20" spans="1:10" x14ac:dyDescent="0.3">
      <c r="A20" s="20"/>
      <c r="B20" s="71">
        <v>42121</v>
      </c>
      <c r="C20" s="24" t="s">
        <v>23</v>
      </c>
      <c r="D20" s="26" t="s">
        <v>24</v>
      </c>
      <c r="E20" s="29">
        <v>26720</v>
      </c>
      <c r="F20" s="29">
        <v>26810</v>
      </c>
      <c r="G20" s="29">
        <v>100</v>
      </c>
      <c r="H20" s="69">
        <v>-9000</v>
      </c>
      <c r="I20" s="20"/>
      <c r="J20" s="34"/>
    </row>
    <row r="21" spans="1:10" x14ac:dyDescent="0.3">
      <c r="A21" s="20"/>
      <c r="B21" s="71">
        <v>42122</v>
      </c>
      <c r="C21" s="24" t="s">
        <v>16</v>
      </c>
      <c r="D21" s="26" t="s">
        <v>24</v>
      </c>
      <c r="E21" s="29">
        <v>27030</v>
      </c>
      <c r="F21" s="29">
        <v>27200</v>
      </c>
      <c r="G21" s="29">
        <v>100</v>
      </c>
      <c r="H21" s="69">
        <v>17000</v>
      </c>
      <c r="I21" s="20"/>
      <c r="J21" s="34"/>
    </row>
    <row r="22" spans="1:10" x14ac:dyDescent="0.3">
      <c r="A22" s="20"/>
      <c r="B22" s="71">
        <v>42123</v>
      </c>
      <c r="C22" s="24" t="s">
        <v>23</v>
      </c>
      <c r="D22" s="26" t="s">
        <v>24</v>
      </c>
      <c r="E22" s="29">
        <v>27090</v>
      </c>
      <c r="F22" s="29">
        <v>27040</v>
      </c>
      <c r="G22" s="29">
        <v>100</v>
      </c>
      <c r="H22" s="69">
        <v>-5000</v>
      </c>
      <c r="I22" s="20"/>
      <c r="J22" s="34"/>
    </row>
    <row r="23" spans="1:10" x14ac:dyDescent="0.3">
      <c r="A23" s="20"/>
      <c r="B23" s="71">
        <v>42123</v>
      </c>
      <c r="C23" s="24" t="s">
        <v>16</v>
      </c>
      <c r="D23" s="26" t="s">
        <v>24</v>
      </c>
      <c r="E23" s="26">
        <v>27210</v>
      </c>
      <c r="F23" s="26">
        <v>27270</v>
      </c>
      <c r="G23" s="29">
        <v>100</v>
      </c>
      <c r="H23" s="69">
        <v>6000</v>
      </c>
      <c r="I23" s="20"/>
      <c r="J23" s="34"/>
    </row>
    <row r="24" spans="1:10" x14ac:dyDescent="0.3">
      <c r="A24" s="20"/>
      <c r="B24" s="71">
        <v>42124</v>
      </c>
      <c r="C24" s="24" t="s">
        <v>16</v>
      </c>
      <c r="D24" s="26" t="s">
        <v>24</v>
      </c>
      <c r="E24" s="26">
        <v>27210</v>
      </c>
      <c r="F24" s="26">
        <v>27140</v>
      </c>
      <c r="G24" s="29">
        <v>100</v>
      </c>
      <c r="H24" s="69">
        <v>-7000</v>
      </c>
      <c r="I24" s="20"/>
      <c r="J24" s="34"/>
    </row>
    <row r="25" spans="1:10" x14ac:dyDescent="0.3">
      <c r="A25" s="20"/>
      <c r="B25" s="71">
        <v>42124</v>
      </c>
      <c r="C25" s="29" t="s">
        <v>23</v>
      </c>
      <c r="D25" s="36" t="s">
        <v>24</v>
      </c>
      <c r="E25" s="36">
        <v>27140</v>
      </c>
      <c r="F25" s="29">
        <v>26970</v>
      </c>
      <c r="G25" s="29">
        <v>100</v>
      </c>
      <c r="H25" s="29">
        <v>17000</v>
      </c>
      <c r="I25" s="20"/>
      <c r="J25" s="34"/>
    </row>
    <row r="26" spans="1:10" ht="15.6" x14ac:dyDescent="0.3">
      <c r="A26" s="20"/>
      <c r="B26" s="71"/>
      <c r="C26" s="29"/>
      <c r="D26" s="36"/>
      <c r="E26" s="36"/>
      <c r="F26" s="29"/>
      <c r="G26" s="29"/>
      <c r="H26" s="96">
        <v>88000</v>
      </c>
      <c r="I26" s="20"/>
    </row>
    <row r="27" spans="1:10" ht="15.6" x14ac:dyDescent="0.3">
      <c r="A27" s="20"/>
      <c r="B27" s="71"/>
      <c r="C27" s="29"/>
      <c r="D27" s="36"/>
      <c r="E27" s="36"/>
      <c r="F27" s="29"/>
      <c r="G27" s="29"/>
      <c r="H27" s="80"/>
      <c r="I27" s="20"/>
    </row>
    <row r="28" spans="1:10" x14ac:dyDescent="0.3">
      <c r="A28" s="20"/>
      <c r="B28" s="71"/>
      <c r="C28" s="29"/>
      <c r="D28" s="36"/>
      <c r="E28" s="36"/>
      <c r="F28" s="29"/>
      <c r="G28" s="29"/>
      <c r="H28" s="29"/>
      <c r="I28" s="20"/>
    </row>
    <row r="29" spans="1:10" x14ac:dyDescent="0.3">
      <c r="A29" s="20"/>
      <c r="B29" s="71"/>
      <c r="C29" s="29"/>
      <c r="D29" s="36"/>
      <c r="E29" s="36"/>
      <c r="F29" s="29"/>
      <c r="G29" s="29"/>
      <c r="H29" s="29"/>
      <c r="I29" s="20"/>
    </row>
    <row r="30" spans="1:10" ht="15.6" x14ac:dyDescent="0.3">
      <c r="A30" s="20"/>
      <c r="B30" s="61" t="s">
        <v>556</v>
      </c>
      <c r="C30" s="62"/>
      <c r="D30" s="63"/>
      <c r="E30" s="62"/>
      <c r="F30" s="62"/>
      <c r="G30" s="62"/>
      <c r="H30" s="62"/>
      <c r="I30" s="20"/>
    </row>
    <row r="31" spans="1:10" x14ac:dyDescent="0.3">
      <c r="A31" s="20"/>
      <c r="B31" s="71">
        <v>42095</v>
      </c>
      <c r="C31" s="24" t="s">
        <v>23</v>
      </c>
      <c r="D31" s="24" t="s">
        <v>25</v>
      </c>
      <c r="E31" s="49" t="s">
        <v>561</v>
      </c>
      <c r="F31" s="49" t="s">
        <v>562</v>
      </c>
      <c r="G31" s="25">
        <v>100</v>
      </c>
      <c r="H31" s="29">
        <v>2500</v>
      </c>
      <c r="I31" s="20"/>
    </row>
    <row r="32" spans="1:10" x14ac:dyDescent="0.3">
      <c r="A32" s="20"/>
      <c r="B32" s="71">
        <v>42100</v>
      </c>
      <c r="C32" s="24" t="s">
        <v>16</v>
      </c>
      <c r="D32" s="24" t="s">
        <v>25</v>
      </c>
      <c r="E32" s="83" t="s">
        <v>560</v>
      </c>
      <c r="F32" s="49" t="s">
        <v>509</v>
      </c>
      <c r="G32" s="25">
        <v>100</v>
      </c>
      <c r="H32" s="29">
        <v>-2000</v>
      </c>
      <c r="I32" s="20"/>
    </row>
    <row r="33" spans="1:9" x14ac:dyDescent="0.3">
      <c r="A33" s="20"/>
      <c r="B33" s="71">
        <v>42101</v>
      </c>
      <c r="C33" s="24" t="s">
        <v>16</v>
      </c>
      <c r="D33" s="24" t="s">
        <v>26</v>
      </c>
      <c r="E33" s="49" t="s">
        <v>558</v>
      </c>
      <c r="F33" s="49" t="s">
        <v>559</v>
      </c>
      <c r="G33" s="25">
        <v>1250</v>
      </c>
      <c r="H33" s="29">
        <v>2500</v>
      </c>
      <c r="I33" s="20"/>
    </row>
    <row r="34" spans="1:9" x14ac:dyDescent="0.3">
      <c r="A34" s="20"/>
      <c r="B34" s="71">
        <v>42102</v>
      </c>
      <c r="C34" s="24" t="s">
        <v>23</v>
      </c>
      <c r="D34" s="24" t="s">
        <v>25</v>
      </c>
      <c r="E34" s="49" t="s">
        <v>573</v>
      </c>
      <c r="F34" s="49" t="s">
        <v>467</v>
      </c>
      <c r="G34" s="25">
        <v>100</v>
      </c>
      <c r="H34" s="29">
        <v>6000</v>
      </c>
      <c r="I34" s="20"/>
    </row>
    <row r="35" spans="1:9" x14ac:dyDescent="0.3">
      <c r="A35" s="20"/>
      <c r="B35" s="71">
        <v>42103</v>
      </c>
      <c r="C35" s="24" t="s">
        <v>23</v>
      </c>
      <c r="D35" s="24" t="s">
        <v>25</v>
      </c>
      <c r="E35" s="49" t="s">
        <v>572</v>
      </c>
      <c r="F35" s="49" t="s">
        <v>519</v>
      </c>
      <c r="G35" s="25">
        <v>100</v>
      </c>
      <c r="H35" s="29">
        <v>4500</v>
      </c>
      <c r="I35" s="20"/>
    </row>
    <row r="36" spans="1:9" x14ac:dyDescent="0.3">
      <c r="A36" s="20"/>
      <c r="B36" s="71">
        <v>42104</v>
      </c>
      <c r="C36" s="24" t="s">
        <v>23</v>
      </c>
      <c r="D36" s="24" t="s">
        <v>25</v>
      </c>
      <c r="E36" s="49" t="s">
        <v>560</v>
      </c>
      <c r="F36" s="49" t="s">
        <v>571</v>
      </c>
      <c r="G36" s="25">
        <v>100</v>
      </c>
      <c r="H36" s="29">
        <v>4500</v>
      </c>
      <c r="I36" s="20"/>
    </row>
    <row r="37" spans="1:9" x14ac:dyDescent="0.3">
      <c r="A37" s="20"/>
      <c r="B37" s="71">
        <v>42107</v>
      </c>
      <c r="C37" s="24" t="s">
        <v>23</v>
      </c>
      <c r="D37" s="24" t="s">
        <v>26</v>
      </c>
      <c r="E37" s="49" t="s">
        <v>570</v>
      </c>
      <c r="F37" s="49" t="s">
        <v>574</v>
      </c>
      <c r="G37" s="25">
        <v>1250</v>
      </c>
      <c r="H37" s="29">
        <v>1250</v>
      </c>
      <c r="I37" s="20"/>
    </row>
    <row r="38" spans="1:9" x14ac:dyDescent="0.3">
      <c r="A38" s="20"/>
      <c r="B38" s="71">
        <v>42109</v>
      </c>
      <c r="C38" s="24" t="s">
        <v>16</v>
      </c>
      <c r="D38" s="24" t="s">
        <v>25</v>
      </c>
      <c r="E38" s="49" t="s">
        <v>568</v>
      </c>
      <c r="F38" s="49" t="s">
        <v>569</v>
      </c>
      <c r="G38" s="25">
        <v>100</v>
      </c>
      <c r="H38" s="29">
        <v>6500</v>
      </c>
      <c r="I38" s="20"/>
    </row>
    <row r="39" spans="1:9" x14ac:dyDescent="0.3">
      <c r="A39" s="20"/>
      <c r="B39" s="71">
        <v>42110</v>
      </c>
      <c r="C39" s="24" t="s">
        <v>23</v>
      </c>
      <c r="D39" s="24" t="s">
        <v>26</v>
      </c>
      <c r="E39" s="49" t="s">
        <v>566</v>
      </c>
      <c r="F39" s="49" t="s">
        <v>567</v>
      </c>
      <c r="G39" s="25">
        <v>1250</v>
      </c>
      <c r="H39" s="29">
        <v>3125</v>
      </c>
      <c r="I39" s="20"/>
    </row>
    <row r="40" spans="1:9" x14ac:dyDescent="0.3">
      <c r="A40" s="20"/>
      <c r="B40" s="71">
        <v>42110</v>
      </c>
      <c r="C40" s="24" t="s">
        <v>23</v>
      </c>
      <c r="D40" s="24" t="s">
        <v>25</v>
      </c>
      <c r="E40" s="49" t="s">
        <v>422</v>
      </c>
      <c r="F40" s="49" t="s">
        <v>423</v>
      </c>
      <c r="G40" s="25">
        <v>100</v>
      </c>
      <c r="H40" s="29">
        <v>2500</v>
      </c>
      <c r="I40" s="20"/>
    </row>
    <row r="41" spans="1:9" x14ac:dyDescent="0.3">
      <c r="A41" s="20"/>
      <c r="B41" s="71">
        <v>42111</v>
      </c>
      <c r="C41" s="24" t="s">
        <v>23</v>
      </c>
      <c r="D41" s="24" t="s">
        <v>25</v>
      </c>
      <c r="E41" s="49" t="s">
        <v>564</v>
      </c>
      <c r="F41" s="49" t="s">
        <v>565</v>
      </c>
      <c r="G41" s="25">
        <v>100</v>
      </c>
      <c r="H41" s="29">
        <v>-2500</v>
      </c>
      <c r="I41" s="20"/>
    </row>
    <row r="42" spans="1:9" x14ac:dyDescent="0.3">
      <c r="A42" s="20"/>
      <c r="B42" s="71">
        <v>42114</v>
      </c>
      <c r="C42" s="24" t="s">
        <v>23</v>
      </c>
      <c r="D42" s="24" t="s">
        <v>563</v>
      </c>
      <c r="E42" s="49" t="s">
        <v>417</v>
      </c>
      <c r="F42" s="49" t="s">
        <v>575</v>
      </c>
      <c r="G42" s="25">
        <v>100</v>
      </c>
      <c r="H42" s="29">
        <v>5500</v>
      </c>
      <c r="I42" s="20"/>
    </row>
    <row r="43" spans="1:9" x14ac:dyDescent="0.3">
      <c r="A43" s="20"/>
      <c r="B43" s="71">
        <v>42115</v>
      </c>
      <c r="C43" s="24" t="s">
        <v>23</v>
      </c>
      <c r="D43" s="24" t="s">
        <v>25</v>
      </c>
      <c r="E43" s="49" t="s">
        <v>576</v>
      </c>
      <c r="F43" s="49" t="s">
        <v>577</v>
      </c>
      <c r="G43" s="25">
        <v>100</v>
      </c>
      <c r="H43" s="29">
        <v>2500</v>
      </c>
      <c r="I43" s="20"/>
    </row>
    <row r="44" spans="1:9" x14ac:dyDescent="0.3">
      <c r="A44" s="20"/>
      <c r="B44" s="71">
        <v>42116</v>
      </c>
      <c r="C44" s="24" t="s">
        <v>23</v>
      </c>
      <c r="D44" s="24" t="s">
        <v>25</v>
      </c>
      <c r="E44" s="49" t="s">
        <v>578</v>
      </c>
      <c r="F44" s="49" t="s">
        <v>432</v>
      </c>
      <c r="G44" s="25">
        <v>100</v>
      </c>
      <c r="H44" s="29">
        <v>-3000</v>
      </c>
      <c r="I44" s="20"/>
    </row>
    <row r="45" spans="1:9" x14ac:dyDescent="0.3">
      <c r="A45" s="20"/>
      <c r="B45" s="71">
        <v>42117</v>
      </c>
      <c r="C45" s="24" t="s">
        <v>23</v>
      </c>
      <c r="D45" s="24" t="s">
        <v>25</v>
      </c>
      <c r="E45" s="49" t="s">
        <v>428</v>
      </c>
      <c r="F45" s="49" t="s">
        <v>433</v>
      </c>
      <c r="G45" s="25">
        <v>100</v>
      </c>
      <c r="H45" s="29">
        <v>2500</v>
      </c>
      <c r="I45" s="20"/>
    </row>
    <row r="46" spans="1:9" x14ac:dyDescent="0.3">
      <c r="A46" s="20"/>
      <c r="B46" s="71">
        <v>42118</v>
      </c>
      <c r="C46" s="24" t="s">
        <v>16</v>
      </c>
      <c r="D46" s="24" t="s">
        <v>25</v>
      </c>
      <c r="E46" s="49" t="s">
        <v>579</v>
      </c>
      <c r="F46" s="49" t="s">
        <v>580</v>
      </c>
      <c r="G46" s="25">
        <v>100</v>
      </c>
      <c r="H46" s="29">
        <v>1700</v>
      </c>
      <c r="I46" s="20"/>
    </row>
    <row r="47" spans="1:9" x14ac:dyDescent="0.3">
      <c r="A47" s="20"/>
      <c r="B47" s="71">
        <v>42121</v>
      </c>
      <c r="C47" s="24" t="s">
        <v>23</v>
      </c>
      <c r="D47" s="24" t="s">
        <v>25</v>
      </c>
      <c r="E47" s="49" t="s">
        <v>581</v>
      </c>
      <c r="F47" s="49" t="s">
        <v>582</v>
      </c>
      <c r="G47" s="25">
        <v>100</v>
      </c>
      <c r="H47" s="29">
        <v>1500</v>
      </c>
      <c r="I47" s="20"/>
    </row>
    <row r="48" spans="1:9" x14ac:dyDescent="0.3">
      <c r="A48" s="20"/>
      <c r="B48" s="71">
        <v>42122</v>
      </c>
      <c r="C48" s="97" t="s">
        <v>16</v>
      </c>
      <c r="D48" s="24" t="s">
        <v>25</v>
      </c>
      <c r="E48" s="97">
        <v>3590</v>
      </c>
      <c r="F48" s="97">
        <v>3645</v>
      </c>
      <c r="G48" s="25">
        <v>100</v>
      </c>
      <c r="H48" s="69">
        <v>5500</v>
      </c>
      <c r="I48" s="20"/>
    </row>
    <row r="49" spans="1:9" ht="15.6" x14ac:dyDescent="0.3">
      <c r="A49" s="20"/>
      <c r="B49" s="71">
        <v>42123</v>
      </c>
      <c r="C49" s="24" t="s">
        <v>16</v>
      </c>
      <c r="D49" s="24" t="s">
        <v>25</v>
      </c>
      <c r="E49" s="97">
        <v>3670</v>
      </c>
      <c r="F49" s="97">
        <v>3725</v>
      </c>
      <c r="G49" s="25">
        <v>100</v>
      </c>
      <c r="H49" s="79">
        <v>5500</v>
      </c>
      <c r="I49" s="20"/>
    </row>
    <row r="50" spans="1:9" x14ac:dyDescent="0.3">
      <c r="A50" s="20"/>
      <c r="B50" s="71">
        <v>42123</v>
      </c>
      <c r="C50" s="29" t="s">
        <v>23</v>
      </c>
      <c r="D50" s="24" t="s">
        <v>25</v>
      </c>
      <c r="E50" s="97">
        <v>3595</v>
      </c>
      <c r="F50" s="97">
        <v>3625</v>
      </c>
      <c r="G50" s="97">
        <v>100</v>
      </c>
      <c r="H50" s="69">
        <v>-3000</v>
      </c>
      <c r="I50" s="20"/>
    </row>
    <row r="51" spans="1:9" x14ac:dyDescent="0.3">
      <c r="A51" s="20"/>
      <c r="B51" s="71">
        <v>42124</v>
      </c>
      <c r="C51" s="29" t="s">
        <v>16</v>
      </c>
      <c r="D51" s="97" t="s">
        <v>25</v>
      </c>
      <c r="E51" s="97">
        <v>3780</v>
      </c>
      <c r="F51" s="97">
        <v>3795</v>
      </c>
      <c r="G51" s="97">
        <v>100</v>
      </c>
      <c r="H51" s="29">
        <v>1500</v>
      </c>
      <c r="I51" s="20"/>
    </row>
    <row r="52" spans="1:9" ht="15.6" x14ac:dyDescent="0.3">
      <c r="A52" s="20"/>
      <c r="B52" s="71"/>
      <c r="C52" s="29"/>
      <c r="D52" s="36"/>
      <c r="E52" s="29"/>
      <c r="F52" s="29"/>
      <c r="G52" s="29"/>
      <c r="H52" s="96">
        <v>49075</v>
      </c>
      <c r="I52" s="20"/>
    </row>
    <row r="53" spans="1:9" x14ac:dyDescent="0.3">
      <c r="A53" s="20"/>
      <c r="B53" s="71"/>
      <c r="C53" s="29"/>
      <c r="D53" s="36"/>
      <c r="E53" s="29"/>
      <c r="F53" s="29"/>
      <c r="G53" s="29"/>
      <c r="H53" s="29"/>
      <c r="I53" s="20"/>
    </row>
    <row r="54" spans="1:9" x14ac:dyDescent="0.3">
      <c r="A54" s="20"/>
      <c r="B54" s="71"/>
      <c r="C54" s="29"/>
      <c r="D54" s="36"/>
      <c r="E54" s="29"/>
      <c r="F54" s="29"/>
      <c r="G54" s="29"/>
      <c r="H54" s="29"/>
      <c r="I54" s="20"/>
    </row>
    <row r="55" spans="1:9" ht="15.6" x14ac:dyDescent="0.3">
      <c r="A55" s="20"/>
      <c r="B55" s="61" t="s">
        <v>557</v>
      </c>
      <c r="C55" s="62"/>
      <c r="D55" s="63"/>
      <c r="E55" s="62"/>
      <c r="F55" s="62"/>
      <c r="G55" s="62"/>
      <c r="H55" s="64"/>
      <c r="I55" s="20"/>
    </row>
    <row r="56" spans="1:9" x14ac:dyDescent="0.3">
      <c r="A56" s="20"/>
      <c r="B56" s="71">
        <v>42095</v>
      </c>
      <c r="C56" s="24" t="s">
        <v>23</v>
      </c>
      <c r="D56" s="24" t="s">
        <v>56</v>
      </c>
      <c r="E56" s="29">
        <v>112</v>
      </c>
      <c r="F56" s="29">
        <v>111</v>
      </c>
      <c r="G56" s="29">
        <v>5000</v>
      </c>
      <c r="H56" s="29">
        <v>5000</v>
      </c>
      <c r="I56" s="20"/>
    </row>
    <row r="57" spans="1:9" x14ac:dyDescent="0.3">
      <c r="A57" s="20"/>
      <c r="B57" s="71">
        <v>42100</v>
      </c>
      <c r="C57" s="24" t="s">
        <v>23</v>
      </c>
      <c r="D57" s="24" t="s">
        <v>56</v>
      </c>
      <c r="E57" s="29">
        <v>113.3</v>
      </c>
      <c r="F57" s="29">
        <v>111</v>
      </c>
      <c r="G57" s="29">
        <v>5000</v>
      </c>
      <c r="H57" s="29">
        <v>1500</v>
      </c>
      <c r="I57" s="67"/>
    </row>
    <row r="58" spans="1:9" x14ac:dyDescent="0.3">
      <c r="A58" s="20"/>
      <c r="B58" s="71">
        <v>42101</v>
      </c>
      <c r="C58" s="24" t="s">
        <v>23</v>
      </c>
      <c r="D58" s="24" t="s">
        <v>35</v>
      </c>
      <c r="E58" s="29">
        <v>796</v>
      </c>
      <c r="F58" s="29">
        <v>786</v>
      </c>
      <c r="G58" s="29">
        <v>250</v>
      </c>
      <c r="H58" s="29">
        <v>2500</v>
      </c>
      <c r="I58" s="67"/>
    </row>
    <row r="59" spans="1:9" x14ac:dyDescent="0.3">
      <c r="A59" s="20"/>
      <c r="B59" s="71">
        <v>42102</v>
      </c>
      <c r="C59" s="24" t="s">
        <v>23</v>
      </c>
      <c r="D59" s="24" t="s">
        <v>35</v>
      </c>
      <c r="E59" s="29">
        <v>790</v>
      </c>
      <c r="F59" s="29">
        <v>800</v>
      </c>
      <c r="G59" s="29">
        <v>250</v>
      </c>
      <c r="H59" s="29">
        <v>-2500</v>
      </c>
      <c r="I59" s="67"/>
    </row>
    <row r="60" spans="1:9" x14ac:dyDescent="0.3">
      <c r="A60" s="20"/>
      <c r="B60" s="71">
        <v>42103</v>
      </c>
      <c r="C60" s="24" t="s">
        <v>23</v>
      </c>
      <c r="D60" s="24" t="s">
        <v>27</v>
      </c>
      <c r="E60" s="29">
        <v>119.8</v>
      </c>
      <c r="F60" s="29">
        <v>120.6</v>
      </c>
      <c r="G60" s="29">
        <v>5000</v>
      </c>
      <c r="H60" s="29">
        <v>-4000</v>
      </c>
      <c r="I60" s="67"/>
    </row>
    <row r="61" spans="1:9" x14ac:dyDescent="0.3">
      <c r="A61" s="20"/>
      <c r="B61" s="71">
        <v>42104</v>
      </c>
      <c r="C61" s="24" t="s">
        <v>16</v>
      </c>
      <c r="D61" s="24" t="s">
        <v>28</v>
      </c>
      <c r="E61" s="29">
        <v>136.30000000000001</v>
      </c>
      <c r="F61" s="29">
        <v>137.80000000000001</v>
      </c>
      <c r="G61" s="29">
        <v>5000</v>
      </c>
      <c r="H61" s="29">
        <v>7500</v>
      </c>
      <c r="I61" s="67"/>
    </row>
    <row r="62" spans="1:9" x14ac:dyDescent="0.3">
      <c r="A62" s="20"/>
      <c r="B62" s="71">
        <v>42107</v>
      </c>
      <c r="C62" s="24" t="s">
        <v>16</v>
      </c>
      <c r="D62" s="24" t="s">
        <v>28</v>
      </c>
      <c r="E62" s="29">
        <v>137.69999999999999</v>
      </c>
      <c r="F62" s="29">
        <v>138.69999999999999</v>
      </c>
      <c r="G62" s="29">
        <v>5000</v>
      </c>
      <c r="H62" s="29">
        <v>5000</v>
      </c>
      <c r="I62" s="67"/>
    </row>
    <row r="63" spans="1:9" x14ac:dyDescent="0.3">
      <c r="A63" s="20"/>
      <c r="B63" s="71">
        <v>42109</v>
      </c>
      <c r="C63" s="24" t="s">
        <v>23</v>
      </c>
      <c r="D63" s="24" t="s">
        <v>29</v>
      </c>
      <c r="E63" s="29">
        <v>372</v>
      </c>
      <c r="F63" s="29">
        <v>369</v>
      </c>
      <c r="G63" s="29">
        <v>1000</v>
      </c>
      <c r="H63" s="29">
        <v>3000</v>
      </c>
      <c r="I63" s="67"/>
    </row>
    <row r="64" spans="1:9" x14ac:dyDescent="0.3">
      <c r="A64" s="20"/>
      <c r="B64" s="71">
        <v>42110</v>
      </c>
      <c r="C64" s="24" t="s">
        <v>16</v>
      </c>
      <c r="D64" s="24" t="s">
        <v>28</v>
      </c>
      <c r="E64" s="29">
        <v>137.9</v>
      </c>
      <c r="F64" s="29">
        <v>138.5</v>
      </c>
      <c r="G64" s="29">
        <v>5000</v>
      </c>
      <c r="H64" s="29">
        <v>3000</v>
      </c>
      <c r="I64" s="67"/>
    </row>
    <row r="65" spans="1:9" x14ac:dyDescent="0.3">
      <c r="A65" s="20"/>
      <c r="B65" s="71">
        <v>42111</v>
      </c>
      <c r="C65" s="24" t="s">
        <v>16</v>
      </c>
      <c r="D65" s="24" t="s">
        <v>29</v>
      </c>
      <c r="E65" s="29">
        <v>383</v>
      </c>
      <c r="F65" s="29">
        <v>386</v>
      </c>
      <c r="G65" s="29">
        <v>1000</v>
      </c>
      <c r="H65" s="29">
        <v>3000</v>
      </c>
      <c r="I65" s="67"/>
    </row>
    <row r="66" spans="1:9" x14ac:dyDescent="0.3">
      <c r="A66" s="20"/>
      <c r="B66" s="71">
        <v>42114</v>
      </c>
      <c r="C66" s="24" t="s">
        <v>23</v>
      </c>
      <c r="D66" s="24" t="s">
        <v>28</v>
      </c>
      <c r="E66" s="26">
        <v>138.80000000000001</v>
      </c>
      <c r="F66" s="26">
        <v>138.30000000000001</v>
      </c>
      <c r="G66" s="29">
        <v>5000</v>
      </c>
      <c r="H66" s="29">
        <v>2500</v>
      </c>
      <c r="I66" s="67"/>
    </row>
    <row r="67" spans="1:9" x14ac:dyDescent="0.3">
      <c r="A67" s="20"/>
      <c r="B67" s="71">
        <v>42115</v>
      </c>
      <c r="C67" s="24" t="s">
        <v>23</v>
      </c>
      <c r="D67" s="24" t="s">
        <v>28</v>
      </c>
      <c r="E67" s="29">
        <v>137.4</v>
      </c>
      <c r="F67" s="29">
        <v>136.9</v>
      </c>
      <c r="G67" s="29">
        <v>5000</v>
      </c>
      <c r="H67" s="29">
        <v>2500</v>
      </c>
      <c r="I67" s="67"/>
    </row>
    <row r="68" spans="1:9" x14ac:dyDescent="0.3">
      <c r="A68" s="20"/>
      <c r="B68" s="71">
        <v>42116</v>
      </c>
      <c r="C68" s="24" t="s">
        <v>23</v>
      </c>
      <c r="D68" s="24" t="s">
        <v>56</v>
      </c>
      <c r="E68" s="26">
        <v>114.5</v>
      </c>
      <c r="F68" s="26">
        <v>114</v>
      </c>
      <c r="G68" s="29">
        <v>5000</v>
      </c>
      <c r="H68" s="29">
        <v>2500</v>
      </c>
      <c r="I68" s="67"/>
    </row>
    <row r="69" spans="1:9" x14ac:dyDescent="0.3">
      <c r="A69" s="20"/>
      <c r="B69" s="71">
        <v>42117</v>
      </c>
      <c r="C69" s="24" t="s">
        <v>23</v>
      </c>
      <c r="D69" s="24" t="s">
        <v>27</v>
      </c>
      <c r="E69" s="26">
        <v>128.1</v>
      </c>
      <c r="F69" s="26">
        <v>127.6</v>
      </c>
      <c r="G69" s="29">
        <v>5000</v>
      </c>
      <c r="H69" s="29">
        <v>2500</v>
      </c>
      <c r="I69" s="67"/>
    </row>
    <row r="70" spans="1:9" x14ac:dyDescent="0.3">
      <c r="A70" s="20"/>
      <c r="B70" s="71">
        <v>42118</v>
      </c>
      <c r="C70" s="24" t="s">
        <v>23</v>
      </c>
      <c r="D70" s="24" t="s">
        <v>28</v>
      </c>
      <c r="E70" s="26">
        <v>140.75</v>
      </c>
      <c r="F70" s="26">
        <v>141.30000000000001</v>
      </c>
      <c r="G70" s="29">
        <v>5000</v>
      </c>
      <c r="H70" s="29">
        <v>-2500</v>
      </c>
      <c r="I70" s="67"/>
    </row>
    <row r="71" spans="1:9" x14ac:dyDescent="0.3">
      <c r="A71" s="20"/>
      <c r="B71" s="71">
        <v>42121</v>
      </c>
      <c r="C71" s="24" t="s">
        <v>16</v>
      </c>
      <c r="D71" s="24" t="s">
        <v>56</v>
      </c>
      <c r="E71" s="26">
        <v>116.8</v>
      </c>
      <c r="F71" s="26">
        <v>117.3</v>
      </c>
      <c r="G71" s="29">
        <v>5000</v>
      </c>
      <c r="H71" s="29">
        <v>2500</v>
      </c>
      <c r="I71" s="67"/>
    </row>
    <row r="72" spans="1:9" x14ac:dyDescent="0.3">
      <c r="A72" s="20"/>
      <c r="B72" s="71">
        <v>42122</v>
      </c>
      <c r="C72" s="24" t="s">
        <v>23</v>
      </c>
      <c r="D72" s="24" t="s">
        <v>27</v>
      </c>
      <c r="E72" s="29">
        <v>132.69999999999999</v>
      </c>
      <c r="F72" s="29">
        <v>133.5</v>
      </c>
      <c r="G72" s="29">
        <v>5000</v>
      </c>
      <c r="H72" s="29">
        <v>-4000</v>
      </c>
      <c r="I72" s="67"/>
    </row>
    <row r="73" spans="1:9" x14ac:dyDescent="0.3">
      <c r="A73" s="20"/>
      <c r="B73" s="71">
        <v>42123</v>
      </c>
      <c r="C73" s="75" t="s">
        <v>23</v>
      </c>
      <c r="D73" s="75" t="s">
        <v>28</v>
      </c>
      <c r="E73" s="45">
        <v>144.80000000000001</v>
      </c>
      <c r="F73" s="75">
        <v>144.5</v>
      </c>
      <c r="G73" s="29">
        <v>5000</v>
      </c>
      <c r="H73" s="29">
        <v>1500</v>
      </c>
      <c r="I73" s="67"/>
    </row>
    <row r="74" spans="1:9" x14ac:dyDescent="0.3">
      <c r="A74" s="20"/>
      <c r="B74" s="71">
        <v>42124</v>
      </c>
      <c r="C74" s="75" t="s">
        <v>16</v>
      </c>
      <c r="D74" s="75" t="s">
        <v>29</v>
      </c>
      <c r="E74" s="75">
        <v>399</v>
      </c>
      <c r="F74" s="75">
        <v>406</v>
      </c>
      <c r="G74" s="29">
        <v>1000</v>
      </c>
      <c r="H74" s="29">
        <v>7000</v>
      </c>
      <c r="I74" s="67"/>
    </row>
    <row r="75" spans="1:9" ht="15.6" x14ac:dyDescent="0.3">
      <c r="A75" s="20"/>
      <c r="B75" s="71"/>
      <c r="C75" s="75"/>
      <c r="D75" s="75"/>
      <c r="E75" s="75"/>
      <c r="F75" s="75"/>
      <c r="G75" s="29"/>
      <c r="H75" s="96">
        <v>38500</v>
      </c>
      <c r="I75" s="99"/>
    </row>
    <row r="76" spans="1:9" ht="15.6" x14ac:dyDescent="0.3">
      <c r="A76" s="57"/>
      <c r="B76" s="71"/>
      <c r="C76" s="75"/>
      <c r="D76" s="75"/>
      <c r="E76" s="75"/>
      <c r="F76" s="75"/>
      <c r="G76" s="29"/>
      <c r="H76" s="96"/>
      <c r="I76" s="57"/>
    </row>
    <row r="77" spans="1:9" ht="15.6" x14ac:dyDescent="0.3">
      <c r="A77" s="57"/>
      <c r="C77" s="18"/>
      <c r="D77" s="18"/>
      <c r="E77" s="18"/>
      <c r="F77" s="18"/>
      <c r="G77" s="18"/>
      <c r="H77" s="46"/>
      <c r="I77" s="57"/>
    </row>
    <row r="78" spans="1:9" x14ac:dyDescent="0.3">
      <c r="A78" s="57"/>
      <c r="C78" s="18"/>
      <c r="D78" s="18"/>
      <c r="E78" s="18"/>
      <c r="F78" s="18"/>
      <c r="G78" s="18"/>
      <c r="H78" s="18"/>
      <c r="I78" s="57"/>
    </row>
    <row r="79" spans="1:9" x14ac:dyDescent="0.3">
      <c r="A79" s="57"/>
      <c r="B79" s="18"/>
      <c r="C79" s="18"/>
      <c r="D79" s="18"/>
      <c r="E79" s="18"/>
      <c r="F79" s="18"/>
      <c r="G79" s="18"/>
      <c r="H79" s="18"/>
      <c r="I79" s="57"/>
    </row>
    <row r="80" spans="1:9" x14ac:dyDescent="0.3">
      <c r="A80" s="57"/>
      <c r="B80" s="18"/>
      <c r="C80" s="18"/>
      <c r="D80" s="18"/>
      <c r="E80" s="18"/>
      <c r="F80" s="18"/>
      <c r="G80" s="18"/>
      <c r="H80" s="18"/>
      <c r="I80" s="57"/>
    </row>
    <row r="81" spans="1:9" x14ac:dyDescent="0.3">
      <c r="A81" s="57"/>
      <c r="B81" s="18"/>
      <c r="C81" s="18"/>
      <c r="D81" s="18"/>
      <c r="E81" s="18"/>
      <c r="F81" s="18"/>
      <c r="G81" s="18"/>
      <c r="H81" s="18"/>
      <c r="I81" s="57"/>
    </row>
    <row r="82" spans="1:9" x14ac:dyDescent="0.3">
      <c r="A82" s="57"/>
      <c r="B82" s="18"/>
      <c r="C82" s="18"/>
      <c r="D82" s="18"/>
      <c r="E82" s="18"/>
      <c r="F82" s="18"/>
      <c r="G82" s="18"/>
      <c r="H82" s="18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</sheetData>
  <mergeCells count="3">
    <mergeCell ref="B1:H1"/>
    <mergeCell ref="B2:H2"/>
    <mergeCell ref="B3:H3"/>
  </mergeCells>
  <hyperlinks>
    <hyperlink ref="J2" location="MASTER!A1" display="Back" xr:uid="{00000000-0004-0000-1C00-000000000000}"/>
  </hyperlinks>
  <pageMargins left="0.7" right="0.7" top="0.75" bottom="0.75" header="0.3" footer="0.3"/>
  <pageSetup orientation="portrait" horizontalDpi="300" verticalDpi="0" r:id="rId1"/>
  <ignoredErrors>
    <ignoredError sqref="E31:F36 E37:F41 E42 E43:F47 F42 K8:N1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73"/>
  <sheetViews>
    <sheetView workbookViewId="0"/>
  </sheetViews>
  <sheetFormatPr defaultColWidth="9.109375" defaultRowHeight="14.4" x14ac:dyDescent="0.3"/>
  <cols>
    <col min="1" max="1" width="8.88671875" style="20" customWidth="1"/>
    <col min="2" max="2" width="16.88671875" style="18" customWidth="1"/>
    <col min="3" max="3" width="16.109375" style="18" customWidth="1"/>
    <col min="4" max="4" width="22.88671875" style="18" customWidth="1"/>
    <col min="5" max="5" width="18.6640625" style="18" customWidth="1"/>
    <col min="6" max="6" width="13.109375" style="18" customWidth="1"/>
    <col min="7" max="7" width="13.6640625" style="18" customWidth="1"/>
    <col min="8" max="8" width="15.44140625" style="18" customWidth="1"/>
    <col min="9" max="9" width="9.109375" style="20"/>
    <col min="10" max="10" width="13.6640625" style="18" customWidth="1"/>
    <col min="11" max="16384" width="9.109375" style="18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36</v>
      </c>
      <c r="C3" s="295"/>
      <c r="D3" s="295"/>
      <c r="E3" s="295"/>
      <c r="F3" s="295"/>
      <c r="G3" s="295"/>
      <c r="H3" s="295"/>
      <c r="I3" s="19"/>
    </row>
    <row r="4" spans="1:10" x14ac:dyDescent="0.3"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</row>
    <row r="5" spans="1:10" x14ac:dyDescent="0.3">
      <c r="B5" s="11">
        <v>41306</v>
      </c>
      <c r="C5" s="12" t="s">
        <v>9</v>
      </c>
      <c r="D5" s="12" t="s">
        <v>10</v>
      </c>
      <c r="E5" s="12">
        <v>30575</v>
      </c>
      <c r="F5" s="12">
        <v>30720</v>
      </c>
      <c r="G5" s="12">
        <v>100</v>
      </c>
      <c r="H5" s="13">
        <f>(E5-F5)*G5</f>
        <v>-14500</v>
      </c>
    </row>
    <row r="6" spans="1:10" x14ac:dyDescent="0.3">
      <c r="B6" s="11">
        <v>41309</v>
      </c>
      <c r="C6" s="14" t="s">
        <v>9</v>
      </c>
      <c r="D6" s="14" t="s">
        <v>8</v>
      </c>
      <c r="E6" s="14">
        <v>30611</v>
      </c>
      <c r="F6" s="14">
        <v>30660</v>
      </c>
      <c r="G6" s="14">
        <v>100</v>
      </c>
      <c r="H6" s="14">
        <v>4900</v>
      </c>
    </row>
    <row r="7" spans="1:10" x14ac:dyDescent="0.3">
      <c r="B7" s="11">
        <v>41310</v>
      </c>
      <c r="C7" s="12" t="s">
        <v>9</v>
      </c>
      <c r="D7" s="12" t="s">
        <v>8</v>
      </c>
      <c r="E7" s="12">
        <v>30685</v>
      </c>
      <c r="F7" s="12">
        <v>30775</v>
      </c>
      <c r="G7" s="12">
        <v>100</v>
      </c>
      <c r="H7" s="12">
        <f>(F7-E7)*G7</f>
        <v>9000</v>
      </c>
    </row>
    <row r="8" spans="1:10" x14ac:dyDescent="0.3">
      <c r="B8" s="11">
        <v>41311</v>
      </c>
      <c r="C8" s="12" t="s">
        <v>11</v>
      </c>
      <c r="D8" s="12" t="s">
        <v>10</v>
      </c>
      <c r="E8" s="12">
        <v>58280</v>
      </c>
      <c r="F8" s="12">
        <v>58430</v>
      </c>
      <c r="G8" s="12">
        <v>30</v>
      </c>
      <c r="H8" s="13">
        <v>-4800</v>
      </c>
    </row>
    <row r="9" spans="1:10" x14ac:dyDescent="0.3">
      <c r="B9" s="11">
        <v>41312</v>
      </c>
      <c r="C9" s="12" t="s">
        <v>9</v>
      </c>
      <c r="D9" s="12" t="s">
        <v>8</v>
      </c>
      <c r="E9" s="12">
        <v>30730</v>
      </c>
      <c r="F9" s="12">
        <v>30790</v>
      </c>
      <c r="G9" s="12">
        <v>100</v>
      </c>
      <c r="H9" s="12">
        <v>6000</v>
      </c>
    </row>
    <row r="10" spans="1:10" x14ac:dyDescent="0.3">
      <c r="B10" s="11">
        <v>41313</v>
      </c>
      <c r="C10" s="12" t="s">
        <v>11</v>
      </c>
      <c r="D10" s="12" t="s">
        <v>10</v>
      </c>
      <c r="E10" s="12">
        <v>58200</v>
      </c>
      <c r="F10" s="12">
        <v>58020</v>
      </c>
      <c r="G10" s="12">
        <v>30</v>
      </c>
      <c r="H10" s="12">
        <v>5400</v>
      </c>
    </row>
    <row r="11" spans="1:10" x14ac:dyDescent="0.3">
      <c r="B11" s="11">
        <v>41313</v>
      </c>
      <c r="C11" s="12" t="s">
        <v>9</v>
      </c>
      <c r="D11" s="12" t="s">
        <v>10</v>
      </c>
      <c r="E11" s="12">
        <v>30814</v>
      </c>
      <c r="F11" s="12">
        <v>30752</v>
      </c>
      <c r="G11" s="12">
        <v>100</v>
      </c>
      <c r="H11" s="12">
        <v>6200</v>
      </c>
    </row>
    <row r="12" spans="1:10" x14ac:dyDescent="0.3">
      <c r="B12" s="11">
        <v>41316</v>
      </c>
      <c r="C12" s="12" t="s">
        <v>9</v>
      </c>
      <c r="D12" s="12" t="s">
        <v>10</v>
      </c>
      <c r="E12" s="12">
        <v>30830</v>
      </c>
      <c r="F12" s="12">
        <v>30750</v>
      </c>
      <c r="G12" s="12">
        <v>100</v>
      </c>
      <c r="H12" s="12">
        <v>8000</v>
      </c>
    </row>
    <row r="13" spans="1:10" x14ac:dyDescent="0.3">
      <c r="B13" s="11">
        <v>41317</v>
      </c>
      <c r="C13" s="12" t="s">
        <v>9</v>
      </c>
      <c r="D13" s="12" t="s">
        <v>8</v>
      </c>
      <c r="E13" s="12">
        <v>30560</v>
      </c>
      <c r="F13" s="12">
        <v>30603</v>
      </c>
      <c r="G13" s="12">
        <v>100</v>
      </c>
      <c r="H13" s="12">
        <v>4300</v>
      </c>
    </row>
    <row r="14" spans="1:10" x14ac:dyDescent="0.3">
      <c r="B14" s="11">
        <v>41318</v>
      </c>
      <c r="C14" s="12" t="s">
        <v>9</v>
      </c>
      <c r="D14" s="12" t="s">
        <v>8</v>
      </c>
      <c r="E14" s="12">
        <v>30559</v>
      </c>
      <c r="F14" s="12">
        <v>30630</v>
      </c>
      <c r="G14" s="12">
        <v>100</v>
      </c>
      <c r="H14" s="12">
        <v>7100</v>
      </c>
    </row>
    <row r="15" spans="1:10" x14ac:dyDescent="0.3">
      <c r="B15" s="11">
        <v>41319</v>
      </c>
      <c r="C15" s="12" t="s">
        <v>11</v>
      </c>
      <c r="D15" s="12" t="s">
        <v>10</v>
      </c>
      <c r="E15" s="12">
        <v>57490</v>
      </c>
      <c r="F15" s="12">
        <v>56970</v>
      </c>
      <c r="G15" s="12">
        <v>30</v>
      </c>
      <c r="H15" s="12">
        <v>15600</v>
      </c>
    </row>
    <row r="16" spans="1:10" x14ac:dyDescent="0.3">
      <c r="B16" s="11">
        <v>41320</v>
      </c>
      <c r="C16" s="12" t="s">
        <v>11</v>
      </c>
      <c r="D16" s="12" t="s">
        <v>8</v>
      </c>
      <c r="E16" s="12">
        <v>56540</v>
      </c>
      <c r="F16" s="12">
        <v>56615</v>
      </c>
      <c r="G16" s="12">
        <v>30</v>
      </c>
      <c r="H16" s="12">
        <v>2250</v>
      </c>
    </row>
    <row r="17" spans="2:8" x14ac:dyDescent="0.3">
      <c r="B17" s="11">
        <v>41323</v>
      </c>
      <c r="C17" s="12" t="s">
        <v>9</v>
      </c>
      <c r="D17" s="12" t="s">
        <v>8</v>
      </c>
      <c r="E17" s="21">
        <v>30215</v>
      </c>
      <c r="F17" s="12">
        <v>30140</v>
      </c>
      <c r="G17" s="12">
        <v>100</v>
      </c>
      <c r="H17" s="13">
        <v>-7500</v>
      </c>
    </row>
    <row r="18" spans="2:8" x14ac:dyDescent="0.3">
      <c r="B18" s="11">
        <v>41324</v>
      </c>
      <c r="C18" s="12" t="s">
        <v>11</v>
      </c>
      <c r="D18" s="12" t="s">
        <v>8</v>
      </c>
      <c r="E18" s="12">
        <v>56210</v>
      </c>
      <c r="F18" s="12">
        <v>56360</v>
      </c>
      <c r="G18" s="12">
        <v>30</v>
      </c>
      <c r="H18" s="12">
        <v>4500</v>
      </c>
    </row>
    <row r="19" spans="2:8" x14ac:dyDescent="0.3">
      <c r="B19" s="11">
        <v>41325</v>
      </c>
      <c r="C19" s="12" t="s">
        <v>11</v>
      </c>
      <c r="D19" s="12" t="s">
        <v>10</v>
      </c>
      <c r="E19" s="12">
        <v>53970</v>
      </c>
      <c r="F19" s="12">
        <v>53530</v>
      </c>
      <c r="G19" s="12">
        <v>30</v>
      </c>
      <c r="H19" s="12">
        <v>13200</v>
      </c>
    </row>
    <row r="20" spans="2:8" x14ac:dyDescent="0.3">
      <c r="B20" s="11">
        <v>41326</v>
      </c>
      <c r="C20" s="12" t="s">
        <v>11</v>
      </c>
      <c r="D20" s="12" t="s">
        <v>8</v>
      </c>
      <c r="E20" s="12">
        <v>53870</v>
      </c>
      <c r="F20" s="12">
        <v>54100</v>
      </c>
      <c r="G20" s="12">
        <v>30</v>
      </c>
      <c r="H20" s="12">
        <v>6900</v>
      </c>
    </row>
    <row r="21" spans="2:8" x14ac:dyDescent="0.3">
      <c r="B21" s="11">
        <v>41327</v>
      </c>
      <c r="C21" s="12" t="s">
        <v>9</v>
      </c>
      <c r="D21" s="12" t="s">
        <v>8</v>
      </c>
      <c r="E21" s="12">
        <v>29615</v>
      </c>
      <c r="F21" s="12">
        <v>29635</v>
      </c>
      <c r="G21" s="12">
        <v>100</v>
      </c>
      <c r="H21" s="12">
        <v>2000</v>
      </c>
    </row>
    <row r="22" spans="2:8" x14ac:dyDescent="0.3">
      <c r="B22" s="11">
        <v>41330</v>
      </c>
      <c r="C22" s="12" t="s">
        <v>9</v>
      </c>
      <c r="D22" s="12" t="s">
        <v>10</v>
      </c>
      <c r="E22" s="12">
        <v>29624</v>
      </c>
      <c r="F22" s="12">
        <v>29530</v>
      </c>
      <c r="G22" s="12">
        <v>100</v>
      </c>
      <c r="H22" s="12">
        <v>9400</v>
      </c>
    </row>
    <row r="23" spans="2:8" x14ac:dyDescent="0.3">
      <c r="B23" s="11">
        <v>41331</v>
      </c>
      <c r="C23" s="12" t="s">
        <v>11</v>
      </c>
      <c r="D23" s="12" t="s">
        <v>10</v>
      </c>
      <c r="E23" s="12">
        <v>54600</v>
      </c>
      <c r="F23" s="12">
        <v>54440</v>
      </c>
      <c r="G23" s="12">
        <v>30</v>
      </c>
      <c r="H23" s="12">
        <v>4800</v>
      </c>
    </row>
    <row r="24" spans="2:8" x14ac:dyDescent="0.3">
      <c r="B24" s="11">
        <v>41332</v>
      </c>
      <c r="C24" s="12" t="s">
        <v>11</v>
      </c>
      <c r="D24" s="12" t="s">
        <v>10</v>
      </c>
      <c r="E24" s="12">
        <v>54200</v>
      </c>
      <c r="F24" s="12">
        <v>53820</v>
      </c>
      <c r="G24" s="12">
        <v>30</v>
      </c>
      <c r="H24" s="12">
        <v>11400</v>
      </c>
    </row>
    <row r="25" spans="2:8" x14ac:dyDescent="0.3">
      <c r="B25" s="11">
        <v>41333</v>
      </c>
      <c r="C25" s="12" t="s">
        <v>9</v>
      </c>
      <c r="D25" s="12" t="s">
        <v>10</v>
      </c>
      <c r="E25" s="12">
        <v>29759</v>
      </c>
      <c r="F25" s="12">
        <v>29735</v>
      </c>
      <c r="G25" s="12">
        <v>100</v>
      </c>
      <c r="H25" s="12">
        <v>2400</v>
      </c>
    </row>
    <row r="26" spans="2:8" x14ac:dyDescent="0.3">
      <c r="H26" s="15">
        <v>96550</v>
      </c>
    </row>
    <row r="28" spans="2:8" ht="15.6" x14ac:dyDescent="0.3">
      <c r="B28" s="295" t="s">
        <v>40</v>
      </c>
      <c r="C28" s="295"/>
      <c r="D28" s="295"/>
      <c r="E28" s="295"/>
      <c r="F28" s="295"/>
      <c r="G28" s="295"/>
      <c r="H28" s="295"/>
    </row>
    <row r="29" spans="2:8" x14ac:dyDescent="0.3">
      <c r="B29" s="11">
        <v>41306</v>
      </c>
      <c r="C29" s="12" t="s">
        <v>15</v>
      </c>
      <c r="D29" s="12" t="s">
        <v>10</v>
      </c>
      <c r="E29" s="12">
        <v>5175</v>
      </c>
      <c r="F29" s="12">
        <v>5140</v>
      </c>
      <c r="G29" s="12">
        <v>100</v>
      </c>
      <c r="H29" s="12">
        <f>(E29-F29)*G29</f>
        <v>3500</v>
      </c>
    </row>
    <row r="30" spans="2:8" x14ac:dyDescent="0.3">
      <c r="B30" s="11">
        <v>41309</v>
      </c>
      <c r="C30" s="12" t="s">
        <v>15</v>
      </c>
      <c r="D30" s="12" t="s">
        <v>10</v>
      </c>
      <c r="E30" s="12">
        <v>5175</v>
      </c>
      <c r="F30" s="12">
        <v>5140</v>
      </c>
      <c r="G30" s="12">
        <v>100</v>
      </c>
      <c r="H30" s="12">
        <f>(E30-F30)*G30</f>
        <v>3500</v>
      </c>
    </row>
    <row r="31" spans="2:8" x14ac:dyDescent="0.3">
      <c r="B31" s="11">
        <v>41310</v>
      </c>
      <c r="C31" s="12" t="s">
        <v>15</v>
      </c>
      <c r="D31" s="12" t="s">
        <v>10</v>
      </c>
      <c r="E31" s="12">
        <v>5135</v>
      </c>
      <c r="F31" s="12">
        <v>5155</v>
      </c>
      <c r="G31" s="12">
        <v>100</v>
      </c>
      <c r="H31" s="13">
        <f>(E31-F31)*G31</f>
        <v>-2000</v>
      </c>
    </row>
    <row r="32" spans="2:8" x14ac:dyDescent="0.3">
      <c r="B32" s="11">
        <v>41311</v>
      </c>
      <c r="C32" s="14"/>
      <c r="D32" s="14"/>
      <c r="E32" s="14"/>
      <c r="F32" s="14"/>
      <c r="G32" s="14"/>
      <c r="H32" s="14"/>
    </row>
    <row r="33" spans="2:8" x14ac:dyDescent="0.3">
      <c r="B33" s="11">
        <v>41312</v>
      </c>
      <c r="C33" s="12" t="s">
        <v>14</v>
      </c>
      <c r="D33" s="12" t="s">
        <v>10</v>
      </c>
      <c r="E33" s="12">
        <v>184</v>
      </c>
      <c r="F33" s="12">
        <v>182.6</v>
      </c>
      <c r="G33" s="12">
        <v>1250</v>
      </c>
      <c r="H33" s="12">
        <v>1750</v>
      </c>
    </row>
    <row r="34" spans="2:8" x14ac:dyDescent="0.3">
      <c r="B34" s="11">
        <v>41313</v>
      </c>
      <c r="C34" s="12" t="s">
        <v>15</v>
      </c>
      <c r="D34" s="12" t="s">
        <v>10</v>
      </c>
      <c r="E34" s="12">
        <v>5167</v>
      </c>
      <c r="F34" s="12">
        <v>5144</v>
      </c>
      <c r="G34" s="12">
        <v>100</v>
      </c>
      <c r="H34" s="12">
        <v>2300</v>
      </c>
    </row>
    <row r="35" spans="2:8" x14ac:dyDescent="0.3">
      <c r="B35" s="11">
        <v>41316</v>
      </c>
      <c r="C35" s="12" t="s">
        <v>15</v>
      </c>
      <c r="D35" s="12" t="s">
        <v>10</v>
      </c>
      <c r="E35" s="12">
        <v>5150</v>
      </c>
      <c r="F35" s="12">
        <v>5136</v>
      </c>
      <c r="G35" s="12">
        <v>100</v>
      </c>
      <c r="H35" s="12">
        <v>1400</v>
      </c>
    </row>
    <row r="36" spans="2:8" x14ac:dyDescent="0.3">
      <c r="B36" s="11">
        <v>41317</v>
      </c>
      <c r="C36" s="12" t="s">
        <v>15</v>
      </c>
      <c r="D36" s="12" t="s">
        <v>10</v>
      </c>
      <c r="E36" s="12">
        <v>5239</v>
      </c>
      <c r="F36" s="12">
        <v>5264</v>
      </c>
      <c r="G36" s="12">
        <v>100</v>
      </c>
      <c r="H36" s="13">
        <v>-2500</v>
      </c>
    </row>
    <row r="37" spans="2:8" x14ac:dyDescent="0.3">
      <c r="B37" s="11">
        <v>41318</v>
      </c>
      <c r="C37" s="12" t="s">
        <v>15</v>
      </c>
      <c r="D37" s="12" t="s">
        <v>10</v>
      </c>
      <c r="E37" s="12">
        <v>5260</v>
      </c>
      <c r="F37" s="12">
        <v>5230</v>
      </c>
      <c r="G37" s="12">
        <v>100</v>
      </c>
      <c r="H37" s="12">
        <v>3000</v>
      </c>
    </row>
    <row r="38" spans="2:8" x14ac:dyDescent="0.3">
      <c r="B38" s="11">
        <v>41319</v>
      </c>
      <c r="C38" s="12" t="s">
        <v>14</v>
      </c>
      <c r="D38" s="12" t="s">
        <v>8</v>
      </c>
      <c r="E38" s="12">
        <v>177.9</v>
      </c>
      <c r="F38" s="12">
        <v>175.9</v>
      </c>
      <c r="G38" s="12">
        <v>1250</v>
      </c>
      <c r="H38" s="13">
        <v>-2500</v>
      </c>
    </row>
    <row r="39" spans="2:8" x14ac:dyDescent="0.3">
      <c r="B39" s="11">
        <v>41320</v>
      </c>
      <c r="C39" s="12" t="s">
        <v>14</v>
      </c>
      <c r="D39" s="12" t="s">
        <v>8</v>
      </c>
      <c r="E39" s="12">
        <v>170.2</v>
      </c>
      <c r="F39" s="12">
        <v>172.6</v>
      </c>
      <c r="G39" s="12">
        <v>1250</v>
      </c>
      <c r="H39" s="12">
        <v>3000</v>
      </c>
    </row>
    <row r="40" spans="2:8" x14ac:dyDescent="0.3">
      <c r="B40" s="11">
        <v>41323</v>
      </c>
      <c r="C40" s="12" t="s">
        <v>15</v>
      </c>
      <c r="D40" s="12" t="s">
        <v>8</v>
      </c>
      <c r="E40" s="12">
        <v>5192</v>
      </c>
      <c r="F40" s="12">
        <v>5212</v>
      </c>
      <c r="G40" s="12">
        <v>100</v>
      </c>
      <c r="H40" s="12">
        <v>2000</v>
      </c>
    </row>
    <row r="41" spans="2:8" x14ac:dyDescent="0.3">
      <c r="B41" s="11">
        <v>41324</v>
      </c>
      <c r="C41" s="12" t="s">
        <v>15</v>
      </c>
      <c r="D41" s="12" t="s">
        <v>10</v>
      </c>
      <c r="E41" s="12">
        <v>5233</v>
      </c>
      <c r="F41" s="12">
        <v>5218</v>
      </c>
      <c r="G41" s="12">
        <v>100</v>
      </c>
      <c r="H41" s="12">
        <v>1500</v>
      </c>
    </row>
    <row r="42" spans="2:8" x14ac:dyDescent="0.3">
      <c r="B42" s="11">
        <v>41325</v>
      </c>
      <c r="C42" s="12" t="s">
        <v>15</v>
      </c>
      <c r="D42" s="12" t="s">
        <v>10</v>
      </c>
      <c r="E42" s="12">
        <v>5277</v>
      </c>
      <c r="F42" s="12">
        <v>5263</v>
      </c>
      <c r="G42" s="12">
        <v>100</v>
      </c>
      <c r="H42" s="12">
        <v>1400</v>
      </c>
    </row>
    <row r="43" spans="2:8" x14ac:dyDescent="0.3">
      <c r="B43" s="11">
        <v>41326</v>
      </c>
      <c r="C43" s="12" t="s">
        <v>15</v>
      </c>
      <c r="D43" s="12" t="s">
        <v>10</v>
      </c>
      <c r="E43" s="12">
        <v>5125</v>
      </c>
      <c r="F43" s="12">
        <v>5091</v>
      </c>
      <c r="G43" s="12">
        <v>100</v>
      </c>
      <c r="H43" s="12">
        <v>3400</v>
      </c>
    </row>
    <row r="44" spans="2:8" x14ac:dyDescent="0.3">
      <c r="B44" s="11">
        <v>41327</v>
      </c>
      <c r="C44" s="12" t="s">
        <v>14</v>
      </c>
      <c r="D44" s="12" t="s">
        <v>10</v>
      </c>
      <c r="E44" s="12">
        <v>176.9</v>
      </c>
      <c r="F44" s="12">
        <v>176.7</v>
      </c>
      <c r="G44" s="12">
        <v>1250</v>
      </c>
      <c r="H44" s="12">
        <v>250</v>
      </c>
    </row>
    <row r="45" spans="2:8" x14ac:dyDescent="0.3">
      <c r="B45" s="11">
        <v>41330</v>
      </c>
      <c r="C45" s="12" t="s">
        <v>15</v>
      </c>
      <c r="D45" s="12" t="s">
        <v>10</v>
      </c>
      <c r="E45" s="12">
        <v>5066</v>
      </c>
      <c r="F45" s="12">
        <v>5027</v>
      </c>
      <c r="G45" s="12">
        <v>100</v>
      </c>
      <c r="H45" s="12">
        <v>3900</v>
      </c>
    </row>
    <row r="46" spans="2:8" x14ac:dyDescent="0.3">
      <c r="B46" s="11">
        <v>41331</v>
      </c>
      <c r="C46" s="12" t="s">
        <v>15</v>
      </c>
      <c r="D46" s="12" t="s">
        <v>8</v>
      </c>
      <c r="E46" s="12">
        <v>5013</v>
      </c>
      <c r="F46" s="12">
        <v>5028</v>
      </c>
      <c r="G46" s="12">
        <v>100</v>
      </c>
      <c r="H46" s="12">
        <v>1500</v>
      </c>
    </row>
    <row r="47" spans="2:8" x14ac:dyDescent="0.3">
      <c r="B47" s="11">
        <v>41332</v>
      </c>
      <c r="C47" s="12" t="s">
        <v>15</v>
      </c>
      <c r="D47" s="12" t="s">
        <v>8</v>
      </c>
      <c r="E47" s="12">
        <v>5011</v>
      </c>
      <c r="F47" s="12">
        <v>4987</v>
      </c>
      <c r="G47" s="12">
        <v>100</v>
      </c>
      <c r="H47" s="13">
        <v>-2400</v>
      </c>
    </row>
    <row r="48" spans="2:8" x14ac:dyDescent="0.3">
      <c r="B48" s="11">
        <v>41333</v>
      </c>
      <c r="C48" s="12" t="s">
        <v>14</v>
      </c>
      <c r="D48" s="12" t="s">
        <v>10</v>
      </c>
      <c r="E48" s="12">
        <v>187.5</v>
      </c>
      <c r="F48" s="12">
        <v>186.6</v>
      </c>
      <c r="G48" s="12">
        <v>1250</v>
      </c>
      <c r="H48" s="12">
        <v>1125</v>
      </c>
    </row>
    <row r="49" spans="2:8" x14ac:dyDescent="0.3">
      <c r="B49" s="14"/>
      <c r="C49" s="14"/>
      <c r="D49" s="14"/>
      <c r="E49" s="14"/>
      <c r="F49" s="14"/>
      <c r="G49" s="14"/>
      <c r="H49" s="15">
        <v>24125</v>
      </c>
    </row>
    <row r="52" spans="2:8" ht="15.6" x14ac:dyDescent="0.3">
      <c r="B52" s="295" t="s">
        <v>41</v>
      </c>
      <c r="C52" s="295"/>
      <c r="D52" s="295"/>
      <c r="E52" s="295"/>
      <c r="F52" s="295"/>
      <c r="G52" s="295"/>
      <c r="H52" s="295"/>
    </row>
    <row r="53" spans="2:8" x14ac:dyDescent="0.3">
      <c r="B53" s="11">
        <v>41306</v>
      </c>
      <c r="C53" s="12" t="s">
        <v>19</v>
      </c>
      <c r="D53" s="12" t="s">
        <v>10</v>
      </c>
      <c r="E53" s="12">
        <v>984.7</v>
      </c>
      <c r="F53" s="12">
        <v>977</v>
      </c>
      <c r="G53" s="16">
        <v>250</v>
      </c>
      <c r="H53" s="16">
        <v>1925</v>
      </c>
    </row>
    <row r="54" spans="2:8" x14ac:dyDescent="0.3">
      <c r="B54" s="11">
        <v>41309</v>
      </c>
      <c r="C54" s="12" t="s">
        <v>30</v>
      </c>
      <c r="D54" s="12" t="s">
        <v>10</v>
      </c>
      <c r="E54" s="12">
        <v>115.5</v>
      </c>
      <c r="F54" s="12">
        <v>115.15</v>
      </c>
      <c r="G54" s="12">
        <v>5000</v>
      </c>
      <c r="H54" s="12">
        <f>(E54-F54)*G54</f>
        <v>1749.9999999999716</v>
      </c>
    </row>
    <row r="55" spans="2:8" x14ac:dyDescent="0.3">
      <c r="B55" s="11">
        <v>41310</v>
      </c>
      <c r="C55" s="14" t="s">
        <v>18</v>
      </c>
      <c r="D55" s="14" t="s">
        <v>10</v>
      </c>
      <c r="E55" s="14">
        <v>444</v>
      </c>
      <c r="F55" s="14">
        <v>442</v>
      </c>
      <c r="G55" s="14">
        <v>1000</v>
      </c>
      <c r="H55" s="14">
        <v>2000</v>
      </c>
    </row>
    <row r="56" spans="2:8" x14ac:dyDescent="0.3">
      <c r="B56" s="11">
        <v>41311</v>
      </c>
      <c r="C56" s="12" t="s">
        <v>31</v>
      </c>
      <c r="D56" s="12" t="s">
        <v>10</v>
      </c>
      <c r="E56" s="12">
        <v>130.19999999999999</v>
      </c>
      <c r="F56" s="12">
        <v>129.35</v>
      </c>
      <c r="G56" s="12">
        <v>5000</v>
      </c>
      <c r="H56" s="12">
        <v>4250</v>
      </c>
    </row>
    <row r="57" spans="2:8" x14ac:dyDescent="0.3">
      <c r="B57" s="11">
        <v>41312</v>
      </c>
      <c r="C57" s="12" t="s">
        <v>30</v>
      </c>
      <c r="D57" s="12" t="s">
        <v>8</v>
      </c>
      <c r="E57" s="12">
        <v>113.9</v>
      </c>
      <c r="F57" s="12">
        <v>114.55</v>
      </c>
      <c r="G57" s="12">
        <v>5000</v>
      </c>
      <c r="H57" s="12">
        <v>3250</v>
      </c>
    </row>
    <row r="58" spans="2:8" x14ac:dyDescent="0.3">
      <c r="B58" s="11">
        <v>41313</v>
      </c>
      <c r="C58" s="12" t="s">
        <v>18</v>
      </c>
      <c r="D58" s="12" t="s">
        <v>10</v>
      </c>
      <c r="E58" s="12">
        <v>444.4</v>
      </c>
      <c r="F58" s="12">
        <v>442.8</v>
      </c>
      <c r="G58" s="12">
        <v>1000</v>
      </c>
      <c r="H58" s="12">
        <v>1600</v>
      </c>
    </row>
    <row r="59" spans="2:8" x14ac:dyDescent="0.3">
      <c r="B59" s="11">
        <v>41316</v>
      </c>
      <c r="C59" s="12" t="s">
        <v>31</v>
      </c>
      <c r="D59" s="12" t="s">
        <v>10</v>
      </c>
      <c r="E59" s="12">
        <v>129.80000000000001</v>
      </c>
      <c r="F59" s="12">
        <v>129.65</v>
      </c>
      <c r="G59" s="12">
        <v>5000</v>
      </c>
      <c r="H59" s="12">
        <v>750</v>
      </c>
    </row>
    <row r="60" spans="2:8" x14ac:dyDescent="0.3">
      <c r="B60" s="11">
        <v>41317</v>
      </c>
      <c r="C60" s="12" t="s">
        <v>31</v>
      </c>
      <c r="D60" s="12" t="s">
        <v>10</v>
      </c>
      <c r="E60" s="12">
        <v>128.55000000000001</v>
      </c>
      <c r="F60" s="12">
        <v>127.95</v>
      </c>
      <c r="G60" s="12">
        <v>5000</v>
      </c>
      <c r="H60" s="12">
        <v>3000</v>
      </c>
    </row>
    <row r="61" spans="2:8" x14ac:dyDescent="0.3">
      <c r="B61" s="11">
        <v>41318</v>
      </c>
      <c r="C61" s="12" t="s">
        <v>30</v>
      </c>
      <c r="D61" s="12" t="s">
        <v>10</v>
      </c>
      <c r="E61" s="12">
        <v>118.4</v>
      </c>
      <c r="F61" s="12">
        <v>117.5</v>
      </c>
      <c r="G61" s="12">
        <v>5000</v>
      </c>
      <c r="H61" s="12">
        <v>4500</v>
      </c>
    </row>
    <row r="62" spans="2:8" x14ac:dyDescent="0.3">
      <c r="B62" s="11">
        <v>41319</v>
      </c>
      <c r="C62" s="12" t="s">
        <v>32</v>
      </c>
      <c r="D62" s="12" t="s">
        <v>10</v>
      </c>
      <c r="E62" s="12">
        <v>114.3</v>
      </c>
      <c r="F62" s="12">
        <v>115</v>
      </c>
      <c r="G62" s="12">
        <v>5000</v>
      </c>
      <c r="H62" s="13">
        <v>-3500</v>
      </c>
    </row>
    <row r="63" spans="2:8" x14ac:dyDescent="0.3">
      <c r="B63" s="11">
        <v>41320</v>
      </c>
      <c r="C63" s="12" t="s">
        <v>31</v>
      </c>
      <c r="D63" s="12" t="s">
        <v>10</v>
      </c>
      <c r="E63" s="12">
        <v>130.4</v>
      </c>
      <c r="F63" s="12">
        <v>129.85</v>
      </c>
      <c r="G63" s="12">
        <v>5000</v>
      </c>
      <c r="H63" s="12">
        <v>2750</v>
      </c>
    </row>
    <row r="64" spans="2:8" x14ac:dyDescent="0.3">
      <c r="B64" s="11">
        <v>41323</v>
      </c>
      <c r="C64" s="12" t="s">
        <v>31</v>
      </c>
      <c r="D64" s="12" t="s">
        <v>8</v>
      </c>
      <c r="E64" s="12">
        <v>131.19999999999999</v>
      </c>
      <c r="F64" s="12">
        <v>130.80000000000001</v>
      </c>
      <c r="G64" s="12">
        <v>5000</v>
      </c>
      <c r="H64" s="13">
        <v>-2000</v>
      </c>
    </row>
    <row r="65" spans="2:8" x14ac:dyDescent="0.3">
      <c r="B65" s="11">
        <v>41324</v>
      </c>
      <c r="C65" s="12" t="s">
        <v>30</v>
      </c>
      <c r="D65" s="12" t="s">
        <v>8</v>
      </c>
      <c r="E65" s="12">
        <v>115.05</v>
      </c>
      <c r="F65" s="12">
        <v>115.5</v>
      </c>
      <c r="G65" s="12">
        <v>5000</v>
      </c>
      <c r="H65" s="12">
        <v>2250</v>
      </c>
    </row>
    <row r="66" spans="2:8" x14ac:dyDescent="0.3">
      <c r="B66" s="11">
        <v>41325</v>
      </c>
      <c r="C66" s="12" t="s">
        <v>31</v>
      </c>
      <c r="D66" s="12" t="s">
        <v>8</v>
      </c>
      <c r="E66" s="12">
        <v>127.75</v>
      </c>
      <c r="F66" s="12">
        <v>128.44999999999999</v>
      </c>
      <c r="G66" s="12">
        <v>5000</v>
      </c>
      <c r="H66" s="12">
        <v>3500</v>
      </c>
    </row>
    <row r="67" spans="2:8" x14ac:dyDescent="0.3">
      <c r="B67" s="11">
        <v>41326</v>
      </c>
      <c r="C67" s="12" t="s">
        <v>30</v>
      </c>
      <c r="D67" s="12" t="s">
        <v>8</v>
      </c>
      <c r="E67" s="12">
        <v>114</v>
      </c>
      <c r="F67" s="12">
        <v>114.5</v>
      </c>
      <c r="G67" s="12">
        <v>5000</v>
      </c>
      <c r="H67" s="12">
        <v>2500</v>
      </c>
    </row>
    <row r="68" spans="2:8" x14ac:dyDescent="0.3">
      <c r="B68" s="11">
        <v>41327</v>
      </c>
      <c r="C68" s="12" t="s">
        <v>19</v>
      </c>
      <c r="D68" s="12" t="s">
        <v>10</v>
      </c>
      <c r="E68" s="12">
        <v>921.4</v>
      </c>
      <c r="F68" s="12">
        <v>913.4</v>
      </c>
      <c r="G68" s="12">
        <v>250</v>
      </c>
      <c r="H68" s="12">
        <v>2000</v>
      </c>
    </row>
    <row r="69" spans="2:8" x14ac:dyDescent="0.3">
      <c r="B69" s="11">
        <v>41330</v>
      </c>
      <c r="C69" s="12" t="s">
        <v>30</v>
      </c>
      <c r="D69" s="12" t="s">
        <v>8</v>
      </c>
      <c r="E69" s="12">
        <v>111.1</v>
      </c>
      <c r="F69" s="12">
        <v>111.3</v>
      </c>
      <c r="G69" s="12">
        <v>5000</v>
      </c>
      <c r="H69" s="12">
        <v>1000</v>
      </c>
    </row>
    <row r="70" spans="2:8" x14ac:dyDescent="0.3">
      <c r="B70" s="11">
        <v>41331</v>
      </c>
      <c r="C70" s="12" t="s">
        <v>31</v>
      </c>
      <c r="D70" s="12" t="s">
        <v>8</v>
      </c>
      <c r="E70" s="12">
        <v>123.6</v>
      </c>
      <c r="F70" s="12">
        <v>124.65</v>
      </c>
      <c r="G70" s="12">
        <v>5000</v>
      </c>
      <c r="H70" s="12">
        <v>5250</v>
      </c>
    </row>
    <row r="71" spans="2:8" x14ac:dyDescent="0.3">
      <c r="B71" s="11">
        <v>41332</v>
      </c>
      <c r="C71" s="12" t="s">
        <v>30</v>
      </c>
      <c r="D71" s="12" t="s">
        <v>8</v>
      </c>
      <c r="E71" s="12">
        <v>113.4</v>
      </c>
      <c r="F71" s="12">
        <v>112.7</v>
      </c>
      <c r="G71" s="12">
        <v>5000</v>
      </c>
      <c r="H71" s="13">
        <v>-3500</v>
      </c>
    </row>
    <row r="72" spans="2:8" x14ac:dyDescent="0.3">
      <c r="B72" s="11">
        <v>41333</v>
      </c>
      <c r="C72" s="12" t="s">
        <v>18</v>
      </c>
      <c r="D72" s="12" t="s">
        <v>10</v>
      </c>
      <c r="E72" s="12">
        <v>432.5</v>
      </c>
      <c r="F72" s="12">
        <v>430.7</v>
      </c>
      <c r="G72" s="12">
        <v>1000</v>
      </c>
      <c r="H72" s="12">
        <v>1800</v>
      </c>
    </row>
    <row r="73" spans="2:8" x14ac:dyDescent="0.3">
      <c r="B73" s="14"/>
      <c r="C73" s="14"/>
      <c r="D73" s="14"/>
      <c r="E73" s="14"/>
      <c r="F73" s="14"/>
      <c r="G73" s="14"/>
      <c r="H73" s="15">
        <v>35075</v>
      </c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200-000000000000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104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588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42128</v>
      </c>
      <c r="C5" s="24" t="s">
        <v>55</v>
      </c>
      <c r="D5" s="26" t="s">
        <v>24</v>
      </c>
      <c r="E5" s="29">
        <v>26740</v>
      </c>
      <c r="F5" s="29">
        <v>26920</v>
      </c>
      <c r="G5" s="29">
        <v>100</v>
      </c>
      <c r="H5" s="29">
        <v>18000</v>
      </c>
      <c r="I5" s="20"/>
      <c r="J5" s="34"/>
    </row>
    <row r="6" spans="1:14" x14ac:dyDescent="0.3">
      <c r="A6" s="20"/>
      <c r="B6" s="71">
        <v>42129</v>
      </c>
      <c r="C6" s="24" t="s">
        <v>16</v>
      </c>
      <c r="D6" s="26" t="s">
        <v>24</v>
      </c>
      <c r="E6" s="29">
        <v>26790</v>
      </c>
      <c r="F6" s="29">
        <v>26860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42130</v>
      </c>
      <c r="C7" s="24" t="s">
        <v>23</v>
      </c>
      <c r="D7" s="26" t="s">
        <v>24</v>
      </c>
      <c r="E7" s="29">
        <v>26860</v>
      </c>
      <c r="F7" s="29">
        <v>26960</v>
      </c>
      <c r="G7" s="29">
        <v>100</v>
      </c>
      <c r="H7" s="29">
        <v>-10000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42131</v>
      </c>
      <c r="C8" s="24" t="s">
        <v>23</v>
      </c>
      <c r="D8" s="26" t="s">
        <v>24</v>
      </c>
      <c r="E8" s="29">
        <v>26880</v>
      </c>
      <c r="F8" s="29">
        <v>26980</v>
      </c>
      <c r="G8" s="29">
        <v>100</v>
      </c>
      <c r="H8" s="29">
        <v>-10000</v>
      </c>
      <c r="I8" s="20"/>
      <c r="J8" s="100" t="s">
        <v>257</v>
      </c>
      <c r="K8" s="49" t="s">
        <v>553</v>
      </c>
      <c r="L8" s="101" t="s">
        <v>291</v>
      </c>
      <c r="M8" s="101" t="s">
        <v>266</v>
      </c>
      <c r="N8" s="101" t="s">
        <v>261</v>
      </c>
    </row>
    <row r="9" spans="1:14" x14ac:dyDescent="0.3">
      <c r="A9" s="20"/>
      <c r="B9" s="71">
        <v>42132</v>
      </c>
      <c r="C9" s="24" t="s">
        <v>23</v>
      </c>
      <c r="D9" s="26" t="s">
        <v>24</v>
      </c>
      <c r="E9" s="29">
        <v>26900</v>
      </c>
      <c r="F9" s="29">
        <v>27000</v>
      </c>
      <c r="G9" s="29">
        <v>1000</v>
      </c>
      <c r="H9" s="29">
        <v>-10000</v>
      </c>
      <c r="I9" s="20"/>
      <c r="J9" s="100" t="s">
        <v>258</v>
      </c>
      <c r="K9" s="101" t="s">
        <v>621</v>
      </c>
      <c r="L9" s="101" t="s">
        <v>553</v>
      </c>
      <c r="M9" s="101" t="s">
        <v>264</v>
      </c>
      <c r="N9" s="101" t="s">
        <v>262</v>
      </c>
    </row>
    <row r="10" spans="1:14" x14ac:dyDescent="0.3">
      <c r="A10" s="20"/>
      <c r="B10" s="71">
        <v>42135</v>
      </c>
      <c r="C10" s="24" t="s">
        <v>23</v>
      </c>
      <c r="D10" s="24" t="s">
        <v>24</v>
      </c>
      <c r="E10" s="29">
        <v>26860</v>
      </c>
      <c r="F10" s="29">
        <v>26790</v>
      </c>
      <c r="G10" s="29">
        <v>100</v>
      </c>
      <c r="H10" s="29">
        <v>7000</v>
      </c>
      <c r="I10" s="20"/>
      <c r="J10" s="100" t="s">
        <v>259</v>
      </c>
      <c r="K10" s="101" t="s">
        <v>622</v>
      </c>
      <c r="L10" s="101" t="s">
        <v>553</v>
      </c>
      <c r="M10" s="101" t="s">
        <v>299</v>
      </c>
      <c r="N10" s="101" t="s">
        <v>262</v>
      </c>
    </row>
    <row r="11" spans="1:14" x14ac:dyDescent="0.3">
      <c r="A11" s="20"/>
      <c r="B11" s="71">
        <v>42136</v>
      </c>
      <c r="C11" s="24" t="s">
        <v>16</v>
      </c>
      <c r="D11" s="26" t="s">
        <v>24</v>
      </c>
      <c r="E11" s="29">
        <v>26960</v>
      </c>
      <c r="F11" s="29">
        <v>27130</v>
      </c>
      <c r="G11" s="29">
        <v>100</v>
      </c>
      <c r="H11" s="69">
        <v>17000</v>
      </c>
      <c r="I11" s="20"/>
      <c r="J11" s="100" t="s">
        <v>300</v>
      </c>
      <c r="K11" s="101" t="s">
        <v>623</v>
      </c>
      <c r="L11" s="101" t="s">
        <v>624</v>
      </c>
      <c r="M11" s="101" t="s">
        <v>625</v>
      </c>
      <c r="N11" s="101" t="s">
        <v>261</v>
      </c>
    </row>
    <row r="12" spans="1:14" x14ac:dyDescent="0.3">
      <c r="A12" s="20"/>
      <c r="B12" s="71">
        <v>42137</v>
      </c>
      <c r="C12" s="24" t="s">
        <v>16</v>
      </c>
      <c r="D12" s="26" t="s">
        <v>22</v>
      </c>
      <c r="E12" s="29">
        <v>38460</v>
      </c>
      <c r="F12" s="29">
        <v>38910</v>
      </c>
      <c r="G12" s="29">
        <v>30</v>
      </c>
      <c r="H12" s="69">
        <v>13500</v>
      </c>
      <c r="I12" s="20"/>
      <c r="J12" s="34"/>
    </row>
    <row r="13" spans="1:14" x14ac:dyDescent="0.3">
      <c r="A13" s="20"/>
      <c r="B13" s="71">
        <v>42138</v>
      </c>
      <c r="C13" s="24" t="s">
        <v>16</v>
      </c>
      <c r="D13" s="26" t="s">
        <v>24</v>
      </c>
      <c r="E13" s="29">
        <v>27450</v>
      </c>
      <c r="F13" s="29">
        <v>27540</v>
      </c>
      <c r="G13" s="29">
        <v>100</v>
      </c>
      <c r="H13" s="69">
        <v>9000</v>
      </c>
      <c r="I13" s="20"/>
      <c r="J13" s="34"/>
      <c r="K13" s="87" t="s">
        <v>626</v>
      </c>
      <c r="L13" s="88"/>
      <c r="M13" s="89"/>
    </row>
    <row r="14" spans="1:14" x14ac:dyDescent="0.3">
      <c r="A14" s="20"/>
      <c r="B14" s="71">
        <v>42139</v>
      </c>
      <c r="C14" s="24" t="s">
        <v>23</v>
      </c>
      <c r="D14" s="26" t="s">
        <v>24</v>
      </c>
      <c r="E14" s="29">
        <v>27300</v>
      </c>
      <c r="F14" s="29">
        <v>27400</v>
      </c>
      <c r="G14" s="29">
        <v>100</v>
      </c>
      <c r="H14" s="69">
        <v>-10000</v>
      </c>
      <c r="I14" s="20"/>
      <c r="J14" s="34"/>
    </row>
    <row r="15" spans="1:14" x14ac:dyDescent="0.3">
      <c r="A15" s="20"/>
      <c r="B15" s="71">
        <v>42142</v>
      </c>
      <c r="C15" s="24" t="s">
        <v>16</v>
      </c>
      <c r="D15" s="26" t="s">
        <v>24</v>
      </c>
      <c r="E15" s="29">
        <v>27580</v>
      </c>
      <c r="F15" s="29">
        <v>27690</v>
      </c>
      <c r="G15" s="29">
        <v>100</v>
      </c>
      <c r="H15" s="69">
        <v>11000</v>
      </c>
      <c r="I15" s="20"/>
      <c r="J15" s="34"/>
    </row>
    <row r="16" spans="1:14" x14ac:dyDescent="0.3">
      <c r="A16" s="20"/>
      <c r="B16" s="71">
        <v>42143</v>
      </c>
      <c r="C16" s="24" t="s">
        <v>23</v>
      </c>
      <c r="D16" s="26" t="s">
        <v>24</v>
      </c>
      <c r="E16" s="29">
        <v>27480</v>
      </c>
      <c r="F16" s="29">
        <v>27310</v>
      </c>
      <c r="G16" s="29">
        <v>100</v>
      </c>
      <c r="H16" s="69">
        <v>17000</v>
      </c>
      <c r="I16" s="20"/>
      <c r="J16" s="34"/>
    </row>
    <row r="17" spans="1:10" x14ac:dyDescent="0.3">
      <c r="A17" s="20"/>
      <c r="B17" s="71">
        <v>42144</v>
      </c>
      <c r="C17" s="24" t="s">
        <v>23</v>
      </c>
      <c r="D17" s="26" t="s">
        <v>24</v>
      </c>
      <c r="E17" s="29">
        <v>27220</v>
      </c>
      <c r="F17" s="29">
        <v>27300</v>
      </c>
      <c r="G17" s="29">
        <v>100</v>
      </c>
      <c r="H17" s="69">
        <v>-8000</v>
      </c>
      <c r="I17" s="20"/>
      <c r="J17" s="34"/>
    </row>
    <row r="18" spans="1:10" x14ac:dyDescent="0.3">
      <c r="A18" s="20"/>
      <c r="B18" s="71">
        <v>42145</v>
      </c>
      <c r="C18" s="24" t="s">
        <v>23</v>
      </c>
      <c r="D18" s="26" t="s">
        <v>24</v>
      </c>
      <c r="E18" s="29">
        <v>27255</v>
      </c>
      <c r="F18" s="29">
        <v>27090</v>
      </c>
      <c r="G18" s="29">
        <v>100</v>
      </c>
      <c r="H18" s="69">
        <v>16500</v>
      </c>
      <c r="I18" s="20"/>
      <c r="J18" s="34"/>
    </row>
    <row r="19" spans="1:10" ht="15.6" x14ac:dyDescent="0.3">
      <c r="A19" s="20"/>
      <c r="B19" s="71">
        <v>42146</v>
      </c>
      <c r="C19" s="24" t="s">
        <v>23</v>
      </c>
      <c r="D19" s="26" t="s">
        <v>24</v>
      </c>
      <c r="E19" s="29">
        <v>27150</v>
      </c>
      <c r="F19" s="29">
        <v>27080</v>
      </c>
      <c r="G19" s="29">
        <v>100</v>
      </c>
      <c r="H19" s="79">
        <v>7000</v>
      </c>
      <c r="I19" s="20"/>
      <c r="J19" s="34"/>
    </row>
    <row r="20" spans="1:10" x14ac:dyDescent="0.3">
      <c r="A20" s="20"/>
      <c r="B20" s="71">
        <v>42149</v>
      </c>
      <c r="C20" s="24" t="s">
        <v>16</v>
      </c>
      <c r="D20" s="26" t="s">
        <v>24</v>
      </c>
      <c r="E20" s="29">
        <v>27120</v>
      </c>
      <c r="F20" s="29">
        <v>27105</v>
      </c>
      <c r="G20" s="29">
        <v>100</v>
      </c>
      <c r="H20" s="69">
        <v>-1500</v>
      </c>
      <c r="I20" s="20"/>
      <c r="J20" s="34"/>
    </row>
    <row r="21" spans="1:10" x14ac:dyDescent="0.3">
      <c r="A21" s="20"/>
      <c r="B21" s="71">
        <v>42150</v>
      </c>
      <c r="C21" s="24" t="s">
        <v>23</v>
      </c>
      <c r="D21" s="26" t="s">
        <v>22</v>
      </c>
      <c r="E21" s="29">
        <v>38750</v>
      </c>
      <c r="F21" s="29">
        <v>38350</v>
      </c>
      <c r="G21" s="29">
        <v>30</v>
      </c>
      <c r="H21" s="69">
        <v>12000</v>
      </c>
      <c r="I21" s="20"/>
      <c r="J21" s="34"/>
    </row>
    <row r="22" spans="1:10" x14ac:dyDescent="0.3">
      <c r="A22" s="20"/>
      <c r="B22" s="71">
        <v>42150</v>
      </c>
      <c r="C22" s="24" t="s">
        <v>23</v>
      </c>
      <c r="D22" s="26" t="s">
        <v>24</v>
      </c>
      <c r="E22" s="29">
        <v>27110</v>
      </c>
      <c r="F22" s="29">
        <v>26940</v>
      </c>
      <c r="G22" s="29">
        <v>100</v>
      </c>
      <c r="H22" s="69">
        <v>17000</v>
      </c>
      <c r="I22" s="20"/>
      <c r="J22" s="34"/>
    </row>
    <row r="23" spans="1:10" x14ac:dyDescent="0.3">
      <c r="A23" s="20"/>
      <c r="B23" s="71">
        <v>42151</v>
      </c>
      <c r="C23" s="24" t="s">
        <v>23</v>
      </c>
      <c r="D23" s="26" t="s">
        <v>24</v>
      </c>
      <c r="E23" s="29">
        <v>26920</v>
      </c>
      <c r="F23" s="29">
        <v>26850</v>
      </c>
      <c r="G23" s="29">
        <v>100</v>
      </c>
      <c r="H23" s="69">
        <v>7000</v>
      </c>
      <c r="I23" s="20"/>
      <c r="J23" s="34"/>
    </row>
    <row r="24" spans="1:10" x14ac:dyDescent="0.3">
      <c r="A24" s="20"/>
      <c r="B24" s="71">
        <v>42152</v>
      </c>
      <c r="C24" s="24" t="s">
        <v>23</v>
      </c>
      <c r="D24" s="26" t="s">
        <v>24</v>
      </c>
      <c r="E24" s="26">
        <v>26860</v>
      </c>
      <c r="F24" s="26">
        <v>26750</v>
      </c>
      <c r="G24" s="29">
        <v>100</v>
      </c>
      <c r="H24" s="69">
        <v>11000</v>
      </c>
      <c r="I24" s="20"/>
      <c r="J24" s="34"/>
    </row>
    <row r="25" spans="1:10" x14ac:dyDescent="0.3">
      <c r="A25" s="20"/>
      <c r="B25" s="71">
        <v>42153</v>
      </c>
      <c r="C25" s="24" t="s">
        <v>23</v>
      </c>
      <c r="D25" s="26" t="s">
        <v>24</v>
      </c>
      <c r="E25" s="26">
        <v>26830</v>
      </c>
      <c r="F25" s="26">
        <v>26850</v>
      </c>
      <c r="G25" s="29">
        <v>100</v>
      </c>
      <c r="H25" s="69">
        <v>-2000</v>
      </c>
      <c r="I25" s="20"/>
      <c r="J25" s="34"/>
    </row>
    <row r="26" spans="1:10" ht="15.6" x14ac:dyDescent="0.3">
      <c r="A26" s="20"/>
      <c r="C26" s="29"/>
      <c r="D26" s="36"/>
      <c r="E26" s="36"/>
      <c r="F26" s="29"/>
      <c r="G26" s="29"/>
      <c r="H26" s="96">
        <v>118500</v>
      </c>
      <c r="I26" s="20"/>
    </row>
    <row r="27" spans="1:10" ht="15.6" x14ac:dyDescent="0.3">
      <c r="A27" s="20"/>
      <c r="B27" s="71"/>
      <c r="C27" s="29"/>
      <c r="D27" s="36"/>
      <c r="E27" s="36"/>
      <c r="F27" s="29"/>
      <c r="G27" s="29"/>
      <c r="H27" s="96"/>
      <c r="I27" s="20"/>
    </row>
    <row r="28" spans="1:10" ht="15.6" x14ac:dyDescent="0.3">
      <c r="A28" s="20"/>
      <c r="B28" s="71"/>
      <c r="C28" s="29"/>
      <c r="D28" s="36"/>
      <c r="E28" s="36"/>
      <c r="F28" s="29"/>
      <c r="G28" s="29"/>
      <c r="H28" s="80"/>
      <c r="I28" s="20"/>
    </row>
    <row r="29" spans="1:10" x14ac:dyDescent="0.3">
      <c r="A29" s="20"/>
      <c r="B29" s="71"/>
      <c r="C29" s="29"/>
      <c r="D29" s="36"/>
      <c r="E29" s="36"/>
      <c r="F29" s="29"/>
      <c r="G29" s="29"/>
      <c r="H29" s="29"/>
      <c r="I29" s="20"/>
    </row>
    <row r="30" spans="1:10" x14ac:dyDescent="0.3">
      <c r="A30" s="20"/>
      <c r="B30" s="71"/>
      <c r="C30" s="29"/>
      <c r="D30" s="36"/>
      <c r="E30" s="36"/>
      <c r="F30" s="29"/>
      <c r="G30" s="29"/>
      <c r="H30" s="29"/>
      <c r="I30" s="20"/>
    </row>
    <row r="31" spans="1:10" ht="15.6" x14ac:dyDescent="0.3">
      <c r="A31" s="20"/>
      <c r="B31" s="61" t="s">
        <v>587</v>
      </c>
      <c r="C31" s="62"/>
      <c r="D31" s="63"/>
      <c r="E31" s="62"/>
      <c r="F31" s="62"/>
      <c r="G31" s="62"/>
      <c r="H31" s="62"/>
      <c r="I31" s="20"/>
    </row>
    <row r="32" spans="1:10" x14ac:dyDescent="0.3">
      <c r="A32" s="20"/>
      <c r="B32" s="71">
        <v>42128</v>
      </c>
      <c r="C32" s="24" t="s">
        <v>23</v>
      </c>
      <c r="D32" s="24" t="s">
        <v>25</v>
      </c>
      <c r="E32" s="49" t="s">
        <v>591</v>
      </c>
      <c r="F32" s="49" t="s">
        <v>592</v>
      </c>
      <c r="G32" s="25">
        <v>100</v>
      </c>
      <c r="H32" s="29">
        <v>5000</v>
      </c>
      <c r="I32" s="20"/>
    </row>
    <row r="33" spans="1:9" x14ac:dyDescent="0.3">
      <c r="A33" s="20"/>
      <c r="B33" s="71">
        <v>42129</v>
      </c>
      <c r="C33" s="24" t="s">
        <v>23</v>
      </c>
      <c r="D33" s="24" t="s">
        <v>25</v>
      </c>
      <c r="E33" s="83" t="s">
        <v>593</v>
      </c>
      <c r="F33" s="49" t="s">
        <v>594</v>
      </c>
      <c r="G33" s="25">
        <v>100</v>
      </c>
      <c r="H33" s="29">
        <v>-3000</v>
      </c>
      <c r="I33" s="20"/>
    </row>
    <row r="34" spans="1:9" x14ac:dyDescent="0.3">
      <c r="A34" s="20"/>
      <c r="B34" s="71">
        <v>42130</v>
      </c>
      <c r="C34" s="24" t="s">
        <v>23</v>
      </c>
      <c r="D34" s="24" t="s">
        <v>25</v>
      </c>
      <c r="E34" s="49" t="s">
        <v>589</v>
      </c>
      <c r="F34" s="49" t="s">
        <v>590</v>
      </c>
      <c r="G34" s="25">
        <v>100</v>
      </c>
      <c r="H34" s="29">
        <v>1500</v>
      </c>
      <c r="I34" s="20"/>
    </row>
    <row r="35" spans="1:9" x14ac:dyDescent="0.3">
      <c r="A35" s="20"/>
      <c r="B35" s="71">
        <v>42131</v>
      </c>
      <c r="C35" s="24" t="s">
        <v>16</v>
      </c>
      <c r="D35" s="24" t="s">
        <v>25</v>
      </c>
      <c r="E35" s="49" t="s">
        <v>595</v>
      </c>
      <c r="F35" s="49" t="s">
        <v>589</v>
      </c>
      <c r="G35" s="25">
        <v>100</v>
      </c>
      <c r="H35" s="29">
        <v>2500</v>
      </c>
      <c r="I35" s="20"/>
    </row>
    <row r="36" spans="1:9" x14ac:dyDescent="0.3">
      <c r="A36" s="20"/>
      <c r="B36" s="71">
        <v>42132</v>
      </c>
      <c r="C36" s="24" t="s">
        <v>16</v>
      </c>
      <c r="D36" s="24" t="s">
        <v>25</v>
      </c>
      <c r="E36" s="49" t="s">
        <v>596</v>
      </c>
      <c r="F36" s="49" t="s">
        <v>597</v>
      </c>
      <c r="G36" s="25">
        <v>100</v>
      </c>
      <c r="H36" s="29">
        <v>4000</v>
      </c>
      <c r="I36" s="20"/>
    </row>
    <row r="37" spans="1:9" x14ac:dyDescent="0.3">
      <c r="A37" s="20"/>
      <c r="B37" s="71">
        <v>42135</v>
      </c>
      <c r="C37" s="24" t="s">
        <v>16</v>
      </c>
      <c r="D37" s="24" t="s">
        <v>25</v>
      </c>
      <c r="E37" s="49" t="s">
        <v>598</v>
      </c>
      <c r="F37" s="49" t="s">
        <v>599</v>
      </c>
      <c r="G37" s="25">
        <v>100</v>
      </c>
      <c r="H37" s="29">
        <v>2500</v>
      </c>
      <c r="I37" s="20"/>
    </row>
    <row r="38" spans="1:9" x14ac:dyDescent="0.3">
      <c r="A38" s="20"/>
      <c r="B38" s="71">
        <v>42136</v>
      </c>
      <c r="C38" s="24" t="s">
        <v>23</v>
      </c>
      <c r="D38" s="24" t="s">
        <v>25</v>
      </c>
      <c r="E38" s="49" t="s">
        <v>600</v>
      </c>
      <c r="F38" s="49" t="s">
        <v>601</v>
      </c>
      <c r="G38" s="25">
        <v>100</v>
      </c>
      <c r="H38" s="29">
        <v>-3000</v>
      </c>
      <c r="I38" s="20"/>
    </row>
    <row r="39" spans="1:9" x14ac:dyDescent="0.3">
      <c r="A39" s="20"/>
      <c r="B39" s="71">
        <v>42137</v>
      </c>
      <c r="C39" s="24" t="s">
        <v>23</v>
      </c>
      <c r="D39" s="24" t="s">
        <v>26</v>
      </c>
      <c r="E39" s="49" t="s">
        <v>604</v>
      </c>
      <c r="F39" s="49" t="s">
        <v>605</v>
      </c>
      <c r="G39" s="25">
        <v>1250</v>
      </c>
      <c r="H39" s="29">
        <v>2500</v>
      </c>
      <c r="I39" s="20"/>
    </row>
    <row r="40" spans="1:9" x14ac:dyDescent="0.3">
      <c r="A40" s="20"/>
      <c r="B40" s="71">
        <v>42137</v>
      </c>
      <c r="C40" s="24" t="s">
        <v>16</v>
      </c>
      <c r="D40" s="24" t="s">
        <v>25</v>
      </c>
      <c r="E40" s="49" t="s">
        <v>602</v>
      </c>
      <c r="F40" s="49" t="s">
        <v>603</v>
      </c>
      <c r="G40" s="25">
        <v>100</v>
      </c>
      <c r="H40" s="29">
        <v>2500</v>
      </c>
      <c r="I40" s="20"/>
    </row>
    <row r="41" spans="1:9" x14ac:dyDescent="0.3">
      <c r="A41" s="20"/>
      <c r="B41" s="71">
        <v>42138</v>
      </c>
      <c r="C41" s="24" t="s">
        <v>23</v>
      </c>
      <c r="D41" s="24" t="s">
        <v>26</v>
      </c>
      <c r="E41" s="49" t="s">
        <v>610</v>
      </c>
      <c r="F41" s="49" t="s">
        <v>611</v>
      </c>
      <c r="G41" s="25">
        <v>1250</v>
      </c>
      <c r="H41" s="29">
        <v>3150</v>
      </c>
      <c r="I41" s="20"/>
    </row>
    <row r="42" spans="1:9" x14ac:dyDescent="0.3">
      <c r="A42" s="20"/>
      <c r="B42" s="71">
        <v>42138</v>
      </c>
      <c r="C42" s="24" t="s">
        <v>23</v>
      </c>
      <c r="D42" s="24" t="s">
        <v>25</v>
      </c>
      <c r="E42" s="49" t="s">
        <v>606</v>
      </c>
      <c r="F42" s="49" t="s">
        <v>598</v>
      </c>
      <c r="G42" s="25">
        <v>100</v>
      </c>
      <c r="H42" s="29">
        <v>5500</v>
      </c>
      <c r="I42" s="20"/>
    </row>
    <row r="43" spans="1:9" x14ac:dyDescent="0.3">
      <c r="A43" s="20"/>
      <c r="B43" s="71">
        <v>42139</v>
      </c>
      <c r="C43" s="24" t="s">
        <v>23</v>
      </c>
      <c r="D43" s="24" t="s">
        <v>25</v>
      </c>
      <c r="E43" s="49" t="s">
        <v>591</v>
      </c>
      <c r="F43" s="49" t="s">
        <v>607</v>
      </c>
      <c r="G43" s="25">
        <v>100</v>
      </c>
      <c r="H43" s="29">
        <v>5500</v>
      </c>
      <c r="I43" s="20"/>
    </row>
    <row r="44" spans="1:9" x14ac:dyDescent="0.3">
      <c r="A44" s="20"/>
      <c r="B44" s="71">
        <v>42142</v>
      </c>
      <c r="C44" s="24" t="s">
        <v>23</v>
      </c>
      <c r="D44" s="24" t="s">
        <v>25</v>
      </c>
      <c r="E44" s="49" t="s">
        <v>608</v>
      </c>
      <c r="F44" s="49" t="s">
        <v>609</v>
      </c>
      <c r="G44" s="25">
        <v>100</v>
      </c>
      <c r="H44" s="29">
        <v>2500</v>
      </c>
      <c r="I44" s="20"/>
    </row>
    <row r="45" spans="1:9" x14ac:dyDescent="0.3">
      <c r="A45" s="20"/>
      <c r="B45" s="71">
        <v>42143</v>
      </c>
      <c r="C45" s="24" t="s">
        <v>23</v>
      </c>
      <c r="D45" s="24" t="s">
        <v>25</v>
      </c>
      <c r="E45" s="49" t="s">
        <v>411</v>
      </c>
      <c r="F45" s="49" t="s">
        <v>591</v>
      </c>
      <c r="G45" s="25">
        <v>100</v>
      </c>
      <c r="H45" s="29">
        <v>6000</v>
      </c>
      <c r="I45" s="20"/>
    </row>
    <row r="46" spans="1:9" x14ac:dyDescent="0.3">
      <c r="A46" s="20"/>
      <c r="B46" s="71">
        <v>42144</v>
      </c>
      <c r="C46" s="24" t="s">
        <v>23</v>
      </c>
      <c r="D46" s="24" t="s">
        <v>25</v>
      </c>
      <c r="E46" s="49" t="s">
        <v>593</v>
      </c>
      <c r="F46" s="49" t="s">
        <v>612</v>
      </c>
      <c r="G46" s="25">
        <v>100</v>
      </c>
      <c r="H46" s="29">
        <v>2500</v>
      </c>
      <c r="I46" s="20"/>
    </row>
    <row r="47" spans="1:9" x14ac:dyDescent="0.3">
      <c r="A47" s="20"/>
      <c r="B47" s="71">
        <v>42145</v>
      </c>
      <c r="C47" s="24" t="s">
        <v>16</v>
      </c>
      <c r="D47" s="24" t="s">
        <v>25</v>
      </c>
      <c r="E47" s="49" t="s">
        <v>613</v>
      </c>
      <c r="F47" s="49" t="s">
        <v>614</v>
      </c>
      <c r="G47" s="25">
        <v>100</v>
      </c>
      <c r="H47" s="29">
        <v>5500</v>
      </c>
      <c r="I47" s="20"/>
    </row>
    <row r="48" spans="1:9" x14ac:dyDescent="0.3">
      <c r="A48" s="20"/>
      <c r="B48" s="71">
        <v>42146</v>
      </c>
      <c r="C48" s="24" t="s">
        <v>23</v>
      </c>
      <c r="D48" s="24" t="s">
        <v>25</v>
      </c>
      <c r="E48" s="49" t="s">
        <v>615</v>
      </c>
      <c r="F48" s="49" t="s">
        <v>616</v>
      </c>
      <c r="G48" s="25">
        <v>100</v>
      </c>
      <c r="H48" s="29">
        <v>5500</v>
      </c>
      <c r="I48" s="20"/>
    </row>
    <row r="49" spans="1:9" x14ac:dyDescent="0.3">
      <c r="A49" s="20"/>
      <c r="B49" s="71">
        <v>42149</v>
      </c>
      <c r="C49" s="24" t="s">
        <v>23</v>
      </c>
      <c r="D49" s="24" t="s">
        <v>26</v>
      </c>
      <c r="E49" s="49" t="s">
        <v>619</v>
      </c>
      <c r="F49" s="49" t="s">
        <v>620</v>
      </c>
      <c r="G49" s="25">
        <v>1250</v>
      </c>
      <c r="H49" s="29">
        <v>2500</v>
      </c>
      <c r="I49" s="20"/>
    </row>
    <row r="50" spans="1:9" x14ac:dyDescent="0.3">
      <c r="A50" s="20"/>
      <c r="B50" s="71">
        <v>42149</v>
      </c>
      <c r="C50" s="24" t="s">
        <v>23</v>
      </c>
      <c r="D50" s="24" t="s">
        <v>25</v>
      </c>
      <c r="E50" s="49" t="s">
        <v>412</v>
      </c>
      <c r="F50" s="49" t="s">
        <v>594</v>
      </c>
      <c r="G50" s="25">
        <v>100</v>
      </c>
      <c r="H50" s="29">
        <v>4000</v>
      </c>
      <c r="I50" s="20"/>
    </row>
    <row r="51" spans="1:9" x14ac:dyDescent="0.3">
      <c r="A51" s="20"/>
      <c r="B51" s="71">
        <v>42150</v>
      </c>
      <c r="C51" s="24" t="s">
        <v>16</v>
      </c>
      <c r="D51" s="24" t="s">
        <v>25</v>
      </c>
      <c r="E51" s="49" t="s">
        <v>617</v>
      </c>
      <c r="F51" s="49" t="s">
        <v>618</v>
      </c>
      <c r="G51" s="25">
        <v>100</v>
      </c>
      <c r="H51" s="29">
        <v>-3000</v>
      </c>
      <c r="I51" s="20"/>
    </row>
    <row r="52" spans="1:9" x14ac:dyDescent="0.3">
      <c r="A52" s="20"/>
      <c r="B52" s="71">
        <v>42150</v>
      </c>
      <c r="C52" s="24" t="s">
        <v>23</v>
      </c>
      <c r="D52" s="24" t="s">
        <v>25</v>
      </c>
      <c r="E52" s="49" t="s">
        <v>600</v>
      </c>
      <c r="F52" s="49" t="s">
        <v>592</v>
      </c>
      <c r="G52" s="25">
        <v>100</v>
      </c>
      <c r="H52" s="29">
        <v>7500</v>
      </c>
      <c r="I52" s="20"/>
    </row>
    <row r="53" spans="1:9" x14ac:dyDescent="0.3">
      <c r="A53" s="20"/>
      <c r="B53" s="71">
        <v>42151</v>
      </c>
      <c r="C53" s="97" t="s">
        <v>23</v>
      </c>
      <c r="D53" s="24" t="s">
        <v>25</v>
      </c>
      <c r="E53" s="97">
        <v>3760</v>
      </c>
      <c r="F53" s="97">
        <v>3700</v>
      </c>
      <c r="G53" s="25">
        <v>100</v>
      </c>
      <c r="H53" s="69">
        <v>6000</v>
      </c>
      <c r="I53" s="20"/>
    </row>
    <row r="54" spans="1:9" x14ac:dyDescent="0.3">
      <c r="A54" s="20"/>
      <c r="B54" s="71">
        <v>42152</v>
      </c>
      <c r="C54" s="97" t="s">
        <v>23</v>
      </c>
      <c r="D54" s="24" t="s">
        <v>25</v>
      </c>
      <c r="E54" s="97">
        <v>3695</v>
      </c>
      <c r="F54" s="97">
        <v>3635</v>
      </c>
      <c r="G54" s="25">
        <v>100</v>
      </c>
      <c r="H54" s="69">
        <v>6000</v>
      </c>
      <c r="I54" s="20"/>
    </row>
    <row r="55" spans="1:9" ht="15.6" x14ac:dyDescent="0.3">
      <c r="A55" s="20"/>
      <c r="B55" s="71">
        <v>42152</v>
      </c>
      <c r="C55" s="24" t="s">
        <v>23</v>
      </c>
      <c r="D55" s="24" t="s">
        <v>26</v>
      </c>
      <c r="E55" s="97">
        <v>182</v>
      </c>
      <c r="F55" s="97">
        <v>177</v>
      </c>
      <c r="G55" s="25">
        <v>1250</v>
      </c>
      <c r="H55" s="79">
        <v>6250</v>
      </c>
      <c r="I55" s="20"/>
    </row>
    <row r="56" spans="1:9" x14ac:dyDescent="0.3">
      <c r="A56" s="20"/>
      <c r="B56" s="71">
        <v>42153</v>
      </c>
      <c r="C56" s="29" t="s">
        <v>23</v>
      </c>
      <c r="D56" s="24" t="s">
        <v>25</v>
      </c>
      <c r="E56" s="97">
        <v>3725</v>
      </c>
      <c r="F56" s="97">
        <v>3750</v>
      </c>
      <c r="G56" s="97">
        <v>100</v>
      </c>
      <c r="H56" s="69">
        <v>-2500</v>
      </c>
      <c r="I56" s="20"/>
    </row>
    <row r="57" spans="1:9" ht="15.6" x14ac:dyDescent="0.3">
      <c r="A57" s="20"/>
      <c r="B57" s="71"/>
      <c r="C57" s="29"/>
      <c r="D57" s="97"/>
      <c r="E57" s="97"/>
      <c r="F57" s="97"/>
      <c r="G57" s="97"/>
      <c r="H57" s="96">
        <v>77400</v>
      </c>
      <c r="I57" s="67"/>
    </row>
    <row r="58" spans="1:9" ht="15.6" x14ac:dyDescent="0.3">
      <c r="A58" s="20"/>
      <c r="B58" s="71"/>
      <c r="C58" s="29"/>
      <c r="D58" s="36"/>
      <c r="E58" s="29"/>
      <c r="F58" s="29"/>
      <c r="G58" s="29"/>
      <c r="H58" s="96"/>
      <c r="I58" s="67"/>
    </row>
    <row r="59" spans="1:9" x14ac:dyDescent="0.3">
      <c r="A59" s="20"/>
      <c r="B59" s="71"/>
      <c r="C59" s="29"/>
      <c r="D59" s="36"/>
      <c r="E59" s="29"/>
      <c r="F59" s="29"/>
      <c r="G59" s="29"/>
      <c r="H59" s="29"/>
      <c r="I59" s="67"/>
    </row>
    <row r="60" spans="1:9" x14ac:dyDescent="0.3">
      <c r="A60" s="20"/>
      <c r="B60" s="71"/>
      <c r="C60" s="29"/>
      <c r="D60" s="36"/>
      <c r="E60" s="29"/>
      <c r="F60" s="29"/>
      <c r="G60" s="29"/>
      <c r="H60" s="29"/>
      <c r="I60" s="67"/>
    </row>
    <row r="61" spans="1:9" ht="15.6" x14ac:dyDescent="0.3">
      <c r="A61" s="20"/>
      <c r="B61" s="61" t="s">
        <v>586</v>
      </c>
      <c r="C61" s="62"/>
      <c r="D61" s="63"/>
      <c r="E61" s="62"/>
      <c r="F61" s="62"/>
      <c r="G61" s="62"/>
      <c r="H61" s="64"/>
      <c r="I61" s="67"/>
    </row>
    <row r="62" spans="1:9" x14ac:dyDescent="0.3">
      <c r="A62" s="20"/>
      <c r="B62" s="71">
        <v>42128</v>
      </c>
      <c r="C62" s="24" t="s">
        <v>23</v>
      </c>
      <c r="D62" s="24" t="s">
        <v>27</v>
      </c>
      <c r="E62" s="29">
        <v>135.65</v>
      </c>
      <c r="F62" s="29">
        <v>135</v>
      </c>
      <c r="G62" s="29">
        <v>5000</v>
      </c>
      <c r="H62" s="29">
        <v>3000</v>
      </c>
      <c r="I62" s="67"/>
    </row>
    <row r="63" spans="1:9" x14ac:dyDescent="0.3">
      <c r="A63" s="20"/>
      <c r="B63" s="71">
        <v>42129</v>
      </c>
      <c r="C63" s="24" t="s">
        <v>23</v>
      </c>
      <c r="D63" s="24" t="s">
        <v>56</v>
      </c>
      <c r="E63" s="29">
        <v>121</v>
      </c>
      <c r="F63" s="29">
        <v>120.5</v>
      </c>
      <c r="G63" s="29">
        <v>5000</v>
      </c>
      <c r="H63" s="29">
        <v>2500</v>
      </c>
      <c r="I63" s="67"/>
    </row>
    <row r="64" spans="1:9" x14ac:dyDescent="0.3">
      <c r="A64" s="20"/>
      <c r="B64" s="71">
        <v>42130</v>
      </c>
      <c r="C64" s="24" t="s">
        <v>16</v>
      </c>
      <c r="D64" s="24" t="s">
        <v>27</v>
      </c>
      <c r="E64" s="29">
        <v>138.1</v>
      </c>
      <c r="F64" s="29">
        <v>137.5</v>
      </c>
      <c r="G64" s="29">
        <v>5000</v>
      </c>
      <c r="H64" s="29">
        <v>-3000</v>
      </c>
      <c r="I64" s="67"/>
    </row>
    <row r="65" spans="1:9" x14ac:dyDescent="0.3">
      <c r="A65" s="20"/>
      <c r="B65" s="71">
        <v>42131</v>
      </c>
      <c r="C65" s="24" t="s">
        <v>16</v>
      </c>
      <c r="D65" s="24" t="s">
        <v>29</v>
      </c>
      <c r="E65" s="29">
        <v>415</v>
      </c>
      <c r="F65" s="29">
        <v>420</v>
      </c>
      <c r="G65" s="29">
        <v>1000</v>
      </c>
      <c r="H65" s="29">
        <v>5000</v>
      </c>
      <c r="I65" s="67"/>
    </row>
    <row r="66" spans="1:9" x14ac:dyDescent="0.3">
      <c r="A66" s="20"/>
      <c r="B66" s="71">
        <v>42132</v>
      </c>
      <c r="C66" s="24" t="s">
        <v>16</v>
      </c>
      <c r="D66" s="24" t="s">
        <v>29</v>
      </c>
      <c r="E66" s="29">
        <v>416</v>
      </c>
      <c r="F66" s="29">
        <v>418</v>
      </c>
      <c r="G66" s="29">
        <v>1000</v>
      </c>
      <c r="H66" s="29">
        <v>2000</v>
      </c>
      <c r="I66" s="67"/>
    </row>
    <row r="67" spans="1:9" x14ac:dyDescent="0.3">
      <c r="A67" s="20"/>
      <c r="B67" s="71">
        <v>42135</v>
      </c>
      <c r="C67" s="24" t="s">
        <v>23</v>
      </c>
      <c r="D67" s="24" t="s">
        <v>28</v>
      </c>
      <c r="E67" s="29">
        <v>148.6</v>
      </c>
      <c r="F67" s="29">
        <v>148.1</v>
      </c>
      <c r="G67" s="29">
        <v>5000</v>
      </c>
      <c r="H67" s="29">
        <v>2500</v>
      </c>
      <c r="I67" s="67"/>
    </row>
    <row r="68" spans="1:9" x14ac:dyDescent="0.3">
      <c r="A68" s="20"/>
      <c r="B68" s="71">
        <v>42135</v>
      </c>
      <c r="C68" s="24" t="s">
        <v>16</v>
      </c>
      <c r="D68" s="24" t="s">
        <v>27</v>
      </c>
      <c r="E68" s="29">
        <v>130.9</v>
      </c>
      <c r="F68" s="29">
        <v>131.69999999999999</v>
      </c>
      <c r="G68" s="29">
        <v>5000</v>
      </c>
      <c r="H68" s="29">
        <v>4000</v>
      </c>
      <c r="I68" s="67"/>
    </row>
    <row r="69" spans="1:9" x14ac:dyDescent="0.3">
      <c r="A69" s="20"/>
      <c r="B69" s="71">
        <v>42136</v>
      </c>
      <c r="C69" s="24" t="s">
        <v>16</v>
      </c>
      <c r="D69" s="24" t="s">
        <v>29</v>
      </c>
      <c r="E69" s="29">
        <v>416</v>
      </c>
      <c r="F69" s="29">
        <v>420</v>
      </c>
      <c r="G69" s="29">
        <v>1000</v>
      </c>
      <c r="H69" s="29">
        <v>4000</v>
      </c>
      <c r="I69" s="67"/>
    </row>
    <row r="70" spans="1:9" x14ac:dyDescent="0.3">
      <c r="A70" s="20"/>
      <c r="B70" s="71">
        <v>42137</v>
      </c>
      <c r="C70" s="24" t="s">
        <v>16</v>
      </c>
      <c r="D70" s="24" t="s">
        <v>28</v>
      </c>
      <c r="E70" s="29">
        <v>152</v>
      </c>
      <c r="F70" s="29">
        <v>153</v>
      </c>
      <c r="G70" s="29">
        <v>5000</v>
      </c>
      <c r="H70" s="29">
        <v>5000</v>
      </c>
      <c r="I70" s="67"/>
    </row>
    <row r="71" spans="1:9" x14ac:dyDescent="0.3">
      <c r="A71" s="20"/>
      <c r="B71" s="71">
        <v>42138</v>
      </c>
      <c r="C71" s="24" t="s">
        <v>23</v>
      </c>
      <c r="D71" s="24" t="s">
        <v>56</v>
      </c>
      <c r="E71" s="29">
        <v>119.4</v>
      </c>
      <c r="F71" s="29">
        <v>117.9</v>
      </c>
      <c r="G71" s="29">
        <v>5000</v>
      </c>
      <c r="H71" s="29">
        <v>7500</v>
      </c>
      <c r="I71" s="67"/>
    </row>
    <row r="72" spans="1:9" x14ac:dyDescent="0.3">
      <c r="A72" s="20"/>
      <c r="B72" s="71">
        <v>42139</v>
      </c>
      <c r="C72" s="24" t="s">
        <v>23</v>
      </c>
      <c r="D72" s="24" t="s">
        <v>29</v>
      </c>
      <c r="E72" s="29">
        <v>413</v>
      </c>
      <c r="F72" s="29">
        <v>410</v>
      </c>
      <c r="G72" s="29">
        <v>1000</v>
      </c>
      <c r="H72" s="29">
        <v>3000</v>
      </c>
      <c r="I72" s="67"/>
    </row>
    <row r="73" spans="1:9" x14ac:dyDescent="0.3">
      <c r="A73" s="20"/>
      <c r="B73" s="71">
        <v>42142</v>
      </c>
      <c r="C73" s="24" t="s">
        <v>23</v>
      </c>
      <c r="D73" s="24" t="s">
        <v>56</v>
      </c>
      <c r="E73" s="26">
        <v>116.2</v>
      </c>
      <c r="F73" s="26">
        <v>115.2</v>
      </c>
      <c r="G73" s="29">
        <v>5000</v>
      </c>
      <c r="H73" s="29">
        <v>5000</v>
      </c>
      <c r="I73" s="67"/>
    </row>
    <row r="74" spans="1:9" x14ac:dyDescent="0.3">
      <c r="A74" s="20"/>
      <c r="B74" s="71">
        <v>42143</v>
      </c>
      <c r="C74" s="24" t="s">
        <v>23</v>
      </c>
      <c r="D74" s="24" t="s">
        <v>56</v>
      </c>
      <c r="E74" s="29">
        <v>113.9</v>
      </c>
      <c r="F74" s="29">
        <v>112.4</v>
      </c>
      <c r="G74" s="29">
        <v>5000</v>
      </c>
      <c r="H74" s="29">
        <v>7500</v>
      </c>
      <c r="I74" s="67"/>
    </row>
    <row r="75" spans="1:9" x14ac:dyDescent="0.3">
      <c r="A75" s="20"/>
      <c r="B75" s="71">
        <v>42144</v>
      </c>
      <c r="C75" s="24" t="s">
        <v>23</v>
      </c>
      <c r="D75" s="24" t="s">
        <v>27</v>
      </c>
      <c r="E75" s="26">
        <v>112.8</v>
      </c>
      <c r="F75" s="26">
        <v>112.3</v>
      </c>
      <c r="G75" s="29">
        <v>5000</v>
      </c>
      <c r="H75" s="29">
        <v>2500</v>
      </c>
      <c r="I75" s="99"/>
    </row>
    <row r="76" spans="1:9" x14ac:dyDescent="0.3">
      <c r="A76" s="57"/>
      <c r="B76" s="71">
        <v>42145</v>
      </c>
      <c r="C76" s="24" t="s">
        <v>16</v>
      </c>
      <c r="D76" s="24" t="s">
        <v>29</v>
      </c>
      <c r="E76" s="26">
        <v>403</v>
      </c>
      <c r="F76" s="26">
        <v>404</v>
      </c>
      <c r="G76" s="29">
        <v>1000</v>
      </c>
      <c r="H76" s="29">
        <v>1000</v>
      </c>
      <c r="I76" s="57"/>
    </row>
    <row r="77" spans="1:9" x14ac:dyDescent="0.3">
      <c r="A77" s="57"/>
      <c r="B77" s="71">
        <v>42145</v>
      </c>
      <c r="C77" s="24" t="s">
        <v>23</v>
      </c>
      <c r="D77" s="24" t="s">
        <v>56</v>
      </c>
      <c r="E77" s="26">
        <v>111.9</v>
      </c>
      <c r="F77" s="26">
        <v>110.9</v>
      </c>
      <c r="G77" s="29">
        <v>5000</v>
      </c>
      <c r="H77" s="29">
        <v>5000</v>
      </c>
      <c r="I77" s="57"/>
    </row>
    <row r="78" spans="1:9" x14ac:dyDescent="0.3">
      <c r="A78" s="57"/>
      <c r="B78" s="71">
        <v>42146</v>
      </c>
      <c r="C78" s="24" t="s">
        <v>23</v>
      </c>
      <c r="D78" s="24" t="s">
        <v>56</v>
      </c>
      <c r="E78" s="26">
        <v>111.1</v>
      </c>
      <c r="F78" s="26">
        <v>110.1</v>
      </c>
      <c r="G78" s="29">
        <v>5000</v>
      </c>
      <c r="H78" s="29">
        <v>5000</v>
      </c>
      <c r="I78" s="57"/>
    </row>
    <row r="79" spans="1:9" x14ac:dyDescent="0.3">
      <c r="A79" s="57"/>
      <c r="B79" s="71">
        <v>42149</v>
      </c>
      <c r="C79" s="24" t="s">
        <v>23</v>
      </c>
      <c r="D79" s="24" t="s">
        <v>56</v>
      </c>
      <c r="E79" s="26">
        <v>110.2</v>
      </c>
      <c r="F79" s="26">
        <v>110.4</v>
      </c>
      <c r="G79" s="29">
        <v>5000</v>
      </c>
      <c r="H79" s="29">
        <v>-1000</v>
      </c>
      <c r="I79" s="57"/>
    </row>
    <row r="80" spans="1:9" x14ac:dyDescent="0.3">
      <c r="A80" s="57"/>
      <c r="B80" s="71">
        <v>42150</v>
      </c>
      <c r="C80" s="24" t="s">
        <v>23</v>
      </c>
      <c r="D80" s="24" t="s">
        <v>56</v>
      </c>
      <c r="E80" s="26">
        <v>110.7</v>
      </c>
      <c r="F80" s="26">
        <v>110.1</v>
      </c>
      <c r="G80" s="29">
        <v>5000</v>
      </c>
      <c r="H80" s="29">
        <v>3000</v>
      </c>
      <c r="I80" s="57"/>
    </row>
    <row r="81" spans="1:9" x14ac:dyDescent="0.3">
      <c r="A81" s="57"/>
      <c r="B81" s="71">
        <v>42150</v>
      </c>
      <c r="C81" s="24" t="s">
        <v>23</v>
      </c>
      <c r="D81" s="24" t="s">
        <v>29</v>
      </c>
      <c r="E81" s="29">
        <v>398</v>
      </c>
      <c r="F81" s="29">
        <v>395</v>
      </c>
      <c r="G81" s="29">
        <v>1000</v>
      </c>
      <c r="H81" s="29">
        <v>3000</v>
      </c>
      <c r="I81" s="57"/>
    </row>
    <row r="82" spans="1:9" x14ac:dyDescent="0.3">
      <c r="A82" s="57"/>
      <c r="B82" s="71">
        <v>42151</v>
      </c>
      <c r="C82" s="75" t="s">
        <v>23</v>
      </c>
      <c r="D82" s="75" t="s">
        <v>56</v>
      </c>
      <c r="E82" s="45">
        <v>110.1</v>
      </c>
      <c r="F82" s="75">
        <v>109.1</v>
      </c>
      <c r="G82" s="29">
        <v>5000</v>
      </c>
      <c r="H82" s="29">
        <v>5000</v>
      </c>
      <c r="I82" s="57"/>
    </row>
    <row r="83" spans="1:9" x14ac:dyDescent="0.3">
      <c r="A83" s="57"/>
      <c r="B83" s="71">
        <v>42152</v>
      </c>
      <c r="C83" s="75" t="s">
        <v>23</v>
      </c>
      <c r="D83" s="75" t="s">
        <v>56</v>
      </c>
      <c r="E83" s="75">
        <v>108.9</v>
      </c>
      <c r="F83" s="75">
        <v>109.9</v>
      </c>
      <c r="G83" s="29">
        <v>5000</v>
      </c>
      <c r="H83" s="29">
        <v>-5000</v>
      </c>
      <c r="I83" s="57"/>
    </row>
    <row r="84" spans="1:9" x14ac:dyDescent="0.3">
      <c r="A84" s="57"/>
      <c r="B84" s="71">
        <v>42153</v>
      </c>
      <c r="C84" s="75" t="s">
        <v>23</v>
      </c>
      <c r="D84" s="75" t="s">
        <v>28</v>
      </c>
      <c r="E84" s="75">
        <v>141.69999999999999</v>
      </c>
      <c r="F84" s="75">
        <v>141.19999999999999</v>
      </c>
      <c r="G84" s="29">
        <v>5000</v>
      </c>
      <c r="H84" s="29">
        <v>2500</v>
      </c>
      <c r="I84" s="57"/>
    </row>
    <row r="85" spans="1:9" ht="15.6" x14ac:dyDescent="0.3">
      <c r="A85" s="57"/>
      <c r="B85" s="71"/>
      <c r="C85" s="75"/>
      <c r="D85" s="75"/>
      <c r="E85" s="75"/>
      <c r="F85" s="75"/>
      <c r="G85" s="29"/>
      <c r="H85" s="96">
        <v>69000</v>
      </c>
      <c r="I85" s="57"/>
    </row>
    <row r="86" spans="1:9" ht="15.6" x14ac:dyDescent="0.3">
      <c r="A86" s="57"/>
      <c r="C86" s="18"/>
      <c r="D86" s="18"/>
      <c r="E86" s="18"/>
      <c r="F86" s="18"/>
      <c r="G86" s="18"/>
      <c r="H86" s="46"/>
      <c r="I86" s="57"/>
    </row>
    <row r="87" spans="1:9" x14ac:dyDescent="0.3">
      <c r="A87" s="57"/>
      <c r="C87" s="18"/>
      <c r="D87" s="18"/>
      <c r="E87" s="18"/>
      <c r="F87" s="18"/>
      <c r="G87" s="18"/>
      <c r="H87" s="18"/>
      <c r="I87" s="57"/>
    </row>
    <row r="88" spans="1:9" x14ac:dyDescent="0.3">
      <c r="A88" s="57"/>
      <c r="B88" s="18"/>
      <c r="C88" s="18"/>
      <c r="D88" s="18"/>
      <c r="E88" s="18"/>
      <c r="F88" s="18"/>
      <c r="G88" s="18"/>
      <c r="H88" s="18"/>
      <c r="I88" s="57"/>
    </row>
    <row r="89" spans="1:9" x14ac:dyDescent="0.3">
      <c r="A89" s="57"/>
      <c r="B89" s="18"/>
      <c r="C89" s="18"/>
      <c r="D89" s="18"/>
      <c r="E89" s="18"/>
      <c r="F89" s="18"/>
      <c r="G89" s="18"/>
      <c r="H89" s="18"/>
      <c r="I89" s="57"/>
    </row>
    <row r="90" spans="1:9" x14ac:dyDescent="0.3">
      <c r="A90" s="57"/>
      <c r="B90" s="18"/>
      <c r="C90" s="18"/>
      <c r="D90" s="18"/>
      <c r="E90" s="18"/>
      <c r="F90" s="18"/>
      <c r="G90" s="18"/>
      <c r="H90" s="18"/>
      <c r="I90" s="57"/>
    </row>
    <row r="91" spans="1:9" x14ac:dyDescent="0.3">
      <c r="A91" s="57"/>
      <c r="B91" s="18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</sheetData>
  <mergeCells count="3">
    <mergeCell ref="B1:H1"/>
    <mergeCell ref="B2:H2"/>
    <mergeCell ref="B3:H3"/>
  </mergeCells>
  <hyperlinks>
    <hyperlink ref="J2" location="MASTER!A1" display="Back" xr:uid="{00000000-0004-0000-1D00-000000000000}"/>
  </hyperlinks>
  <pageMargins left="0.7" right="0.7" top="0.75" bottom="0.75" header="0.3" footer="0.3"/>
  <pageSetup orientation="portrait" horizontalDpi="300" verticalDpi="0" r:id="rId1"/>
  <ignoredErrors>
    <ignoredError sqref="E42:F45 E32:F40 E41:F41 E46 E47:F48 F46 E49:F52 K8:N11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04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4" max="4" width="17.8867187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629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42156</v>
      </c>
      <c r="C5" s="24" t="s">
        <v>23</v>
      </c>
      <c r="D5" s="26" t="s">
        <v>24</v>
      </c>
      <c r="E5" s="29">
        <v>26820</v>
      </c>
      <c r="F5" s="29">
        <v>26750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42157</v>
      </c>
      <c r="C6" s="24" t="s">
        <v>55</v>
      </c>
      <c r="D6" s="26" t="s">
        <v>24</v>
      </c>
      <c r="E6" s="29">
        <v>27120</v>
      </c>
      <c r="F6" s="29">
        <v>27190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42158</v>
      </c>
      <c r="C7" s="24" t="s">
        <v>23</v>
      </c>
      <c r="D7" s="26" t="s">
        <v>22</v>
      </c>
      <c r="E7" s="29">
        <v>38300</v>
      </c>
      <c r="F7" s="29">
        <v>37950</v>
      </c>
      <c r="G7" s="29">
        <v>30</v>
      </c>
      <c r="H7" s="29">
        <v>10500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42158</v>
      </c>
      <c r="C8" s="24" t="s">
        <v>23</v>
      </c>
      <c r="D8" s="26" t="s">
        <v>24</v>
      </c>
      <c r="E8" s="29">
        <v>27160</v>
      </c>
      <c r="F8" s="29">
        <v>27040</v>
      </c>
      <c r="G8" s="29">
        <v>100</v>
      </c>
      <c r="H8" s="29">
        <v>12000</v>
      </c>
      <c r="I8" s="20"/>
      <c r="J8" s="100" t="s">
        <v>257</v>
      </c>
      <c r="K8" s="49" t="s">
        <v>621</v>
      </c>
      <c r="L8" s="101" t="s">
        <v>435</v>
      </c>
      <c r="M8" s="101" t="s">
        <v>261</v>
      </c>
      <c r="N8" s="101" t="s">
        <v>262</v>
      </c>
    </row>
    <row r="9" spans="1:14" x14ac:dyDescent="0.3">
      <c r="A9" s="20"/>
      <c r="B9" s="71">
        <v>42159</v>
      </c>
      <c r="C9" s="24" t="s">
        <v>23</v>
      </c>
      <c r="D9" s="26" t="s">
        <v>22</v>
      </c>
      <c r="E9" s="29">
        <v>37700</v>
      </c>
      <c r="F9" s="29">
        <v>37450</v>
      </c>
      <c r="G9" s="29">
        <v>30</v>
      </c>
      <c r="H9" s="29">
        <v>7500</v>
      </c>
      <c r="I9" s="20"/>
      <c r="J9" s="100" t="s">
        <v>258</v>
      </c>
      <c r="K9" s="101" t="s">
        <v>260</v>
      </c>
      <c r="L9" s="101" t="s">
        <v>267</v>
      </c>
      <c r="M9" s="101" t="s">
        <v>266</v>
      </c>
      <c r="N9" s="101" t="s">
        <v>262</v>
      </c>
    </row>
    <row r="10" spans="1:14" x14ac:dyDescent="0.3">
      <c r="A10" s="20"/>
      <c r="B10" s="71">
        <v>42159</v>
      </c>
      <c r="C10" s="24" t="s">
        <v>23</v>
      </c>
      <c r="D10" s="26" t="s">
        <v>24</v>
      </c>
      <c r="E10" s="29">
        <v>27060</v>
      </c>
      <c r="F10" s="29">
        <v>26940</v>
      </c>
      <c r="G10" s="29">
        <v>100</v>
      </c>
      <c r="H10" s="29">
        <v>12000</v>
      </c>
      <c r="I10" s="20"/>
      <c r="J10" s="100" t="s">
        <v>259</v>
      </c>
      <c r="K10" s="101" t="s">
        <v>435</v>
      </c>
      <c r="L10" s="101" t="s">
        <v>265</v>
      </c>
      <c r="M10" s="101" t="s">
        <v>264</v>
      </c>
      <c r="N10" s="101" t="s">
        <v>290</v>
      </c>
    </row>
    <row r="11" spans="1:14" x14ac:dyDescent="0.3">
      <c r="A11" s="20"/>
      <c r="B11" s="71">
        <v>42160</v>
      </c>
      <c r="C11" s="24" t="s">
        <v>23</v>
      </c>
      <c r="D11" s="26" t="s">
        <v>22</v>
      </c>
      <c r="E11" s="29">
        <v>37100</v>
      </c>
      <c r="F11" s="29">
        <v>36800</v>
      </c>
      <c r="G11" s="29">
        <v>100</v>
      </c>
      <c r="H11" s="29">
        <v>9000</v>
      </c>
      <c r="I11" s="20"/>
      <c r="J11" s="100" t="s">
        <v>300</v>
      </c>
      <c r="K11" s="101" t="s">
        <v>623</v>
      </c>
      <c r="L11" s="101" t="s">
        <v>492</v>
      </c>
      <c r="M11" s="101" t="s">
        <v>270</v>
      </c>
      <c r="N11" s="101" t="s">
        <v>290</v>
      </c>
    </row>
    <row r="12" spans="1:14" x14ac:dyDescent="0.3">
      <c r="A12" s="20"/>
      <c r="B12" s="71">
        <v>42160</v>
      </c>
      <c r="C12" s="24" t="s">
        <v>23</v>
      </c>
      <c r="D12" s="26" t="s">
        <v>24</v>
      </c>
      <c r="E12" s="29">
        <v>26840</v>
      </c>
      <c r="F12" s="29">
        <v>26670</v>
      </c>
      <c r="G12" s="29">
        <v>100</v>
      </c>
      <c r="H12" s="29">
        <v>17000</v>
      </c>
      <c r="I12" s="20"/>
      <c r="J12" s="34"/>
    </row>
    <row r="13" spans="1:14" x14ac:dyDescent="0.3">
      <c r="A13" s="20"/>
      <c r="B13" s="71">
        <v>42163</v>
      </c>
      <c r="C13" s="24" t="s">
        <v>16</v>
      </c>
      <c r="D13" s="24" t="s">
        <v>24</v>
      </c>
      <c r="E13" s="29">
        <v>26810</v>
      </c>
      <c r="F13" s="29">
        <v>26770</v>
      </c>
      <c r="G13" s="29">
        <v>100</v>
      </c>
      <c r="H13" s="29">
        <v>-4000</v>
      </c>
      <c r="I13" s="20"/>
      <c r="J13" s="34"/>
      <c r="K13" s="87" t="s">
        <v>647</v>
      </c>
      <c r="L13" s="88"/>
      <c r="M13" s="89"/>
    </row>
    <row r="14" spans="1:14" x14ac:dyDescent="0.3">
      <c r="A14" s="20"/>
      <c r="B14" s="71">
        <v>42164</v>
      </c>
      <c r="C14" s="24" t="s">
        <v>23</v>
      </c>
      <c r="D14" s="26" t="s">
        <v>24</v>
      </c>
      <c r="E14" s="29">
        <v>26820</v>
      </c>
      <c r="F14" s="29">
        <v>26840</v>
      </c>
      <c r="G14" s="29">
        <v>100</v>
      </c>
      <c r="H14" s="69">
        <v>-2000</v>
      </c>
      <c r="I14" s="20"/>
      <c r="J14" s="34"/>
    </row>
    <row r="15" spans="1:14" x14ac:dyDescent="0.3">
      <c r="A15" s="20"/>
      <c r="B15" s="71">
        <v>42165</v>
      </c>
      <c r="C15" s="24" t="s">
        <v>23</v>
      </c>
      <c r="D15" s="26" t="s">
        <v>22</v>
      </c>
      <c r="E15" s="29">
        <v>36950</v>
      </c>
      <c r="F15" s="29">
        <v>36800</v>
      </c>
      <c r="G15" s="29">
        <v>30</v>
      </c>
      <c r="H15" s="69">
        <v>4500</v>
      </c>
      <c r="I15" s="20"/>
      <c r="J15" s="34"/>
    </row>
    <row r="16" spans="1:14" x14ac:dyDescent="0.3">
      <c r="A16" s="20"/>
      <c r="B16" s="71">
        <v>42166</v>
      </c>
      <c r="C16" s="24" t="s">
        <v>23</v>
      </c>
      <c r="D16" s="26" t="s">
        <v>22</v>
      </c>
      <c r="E16" s="29">
        <v>36650</v>
      </c>
      <c r="F16" s="29">
        <v>36500</v>
      </c>
      <c r="G16" s="29">
        <v>30</v>
      </c>
      <c r="H16" s="69">
        <v>4500</v>
      </c>
      <c r="I16" s="20"/>
      <c r="J16" s="34"/>
    </row>
    <row r="17" spans="1:10" x14ac:dyDescent="0.3">
      <c r="A17" s="20"/>
      <c r="B17" s="71">
        <v>42167</v>
      </c>
      <c r="C17" s="24" t="s">
        <v>23</v>
      </c>
      <c r="D17" s="26" t="s">
        <v>22</v>
      </c>
      <c r="E17" s="29">
        <v>36700</v>
      </c>
      <c r="F17" s="29">
        <v>36550</v>
      </c>
      <c r="G17" s="29">
        <v>30</v>
      </c>
      <c r="H17" s="69">
        <v>4500</v>
      </c>
      <c r="I17" s="20"/>
      <c r="J17" s="34"/>
    </row>
    <row r="18" spans="1:10" x14ac:dyDescent="0.3">
      <c r="A18" s="20"/>
      <c r="B18" s="71">
        <v>42170</v>
      </c>
      <c r="C18" s="24" t="s">
        <v>23</v>
      </c>
      <c r="D18" s="26" t="s">
        <v>24</v>
      </c>
      <c r="E18" s="29">
        <v>26930</v>
      </c>
      <c r="F18" s="29">
        <v>26760</v>
      </c>
      <c r="G18" s="29">
        <v>100</v>
      </c>
      <c r="H18" s="69">
        <v>17000</v>
      </c>
      <c r="I18" s="20"/>
      <c r="J18" s="34"/>
    </row>
    <row r="19" spans="1:10" x14ac:dyDescent="0.3">
      <c r="A19" s="20"/>
      <c r="B19" s="71">
        <v>42171</v>
      </c>
      <c r="C19" s="24" t="s">
        <v>23</v>
      </c>
      <c r="D19" s="26" t="s">
        <v>24</v>
      </c>
      <c r="E19" s="29">
        <v>27000</v>
      </c>
      <c r="F19" s="29">
        <v>26930</v>
      </c>
      <c r="G19" s="29">
        <v>100</v>
      </c>
      <c r="H19" s="69">
        <v>7000</v>
      </c>
      <c r="I19" s="20"/>
      <c r="J19" s="34"/>
    </row>
    <row r="20" spans="1:10" x14ac:dyDescent="0.3">
      <c r="A20" s="20"/>
      <c r="B20" s="71">
        <v>42172</v>
      </c>
      <c r="C20" s="24" t="s">
        <v>23</v>
      </c>
      <c r="D20" s="26" t="s">
        <v>24</v>
      </c>
      <c r="E20" s="29">
        <v>26870</v>
      </c>
      <c r="F20" s="29">
        <v>26800</v>
      </c>
      <c r="G20" s="29">
        <v>100</v>
      </c>
      <c r="H20" s="69">
        <v>7000</v>
      </c>
      <c r="I20" s="20"/>
      <c r="J20" s="34"/>
    </row>
    <row r="21" spans="1:10" x14ac:dyDescent="0.3">
      <c r="A21" s="20"/>
      <c r="B21" s="71">
        <v>42173</v>
      </c>
      <c r="C21" s="24" t="s">
        <v>16</v>
      </c>
      <c r="D21" s="26" t="s">
        <v>24</v>
      </c>
      <c r="E21" s="29">
        <v>27100</v>
      </c>
      <c r="F21" s="29">
        <v>27220</v>
      </c>
      <c r="G21" s="29">
        <v>100</v>
      </c>
      <c r="H21" s="69">
        <v>12000</v>
      </c>
      <c r="I21" s="20"/>
      <c r="J21" s="34"/>
    </row>
    <row r="22" spans="1:10" ht="15.6" x14ac:dyDescent="0.3">
      <c r="A22" s="20"/>
      <c r="B22" s="71">
        <v>42174</v>
      </c>
      <c r="C22" s="24" t="s">
        <v>23</v>
      </c>
      <c r="D22" s="26" t="s">
        <v>24</v>
      </c>
      <c r="E22" s="29">
        <v>27090</v>
      </c>
      <c r="F22" s="29">
        <v>27050</v>
      </c>
      <c r="G22" s="29">
        <v>100</v>
      </c>
      <c r="H22" s="79">
        <v>4000</v>
      </c>
      <c r="I22" s="20"/>
      <c r="J22" s="34"/>
    </row>
    <row r="23" spans="1:10" x14ac:dyDescent="0.3">
      <c r="A23" s="20"/>
      <c r="B23" s="71">
        <v>42177</v>
      </c>
      <c r="C23" s="24" t="s">
        <v>23</v>
      </c>
      <c r="D23" s="26" t="s">
        <v>24</v>
      </c>
      <c r="E23" s="29">
        <v>26975</v>
      </c>
      <c r="F23" s="29">
        <v>26805</v>
      </c>
      <c r="G23" s="29">
        <v>100</v>
      </c>
      <c r="H23" s="69">
        <v>17000</v>
      </c>
      <c r="I23" s="20"/>
      <c r="J23" s="34"/>
    </row>
    <row r="24" spans="1:10" x14ac:dyDescent="0.3">
      <c r="A24" s="20"/>
      <c r="B24" s="71">
        <v>42178</v>
      </c>
      <c r="C24" s="24" t="s">
        <v>23</v>
      </c>
      <c r="D24" s="26" t="s">
        <v>24</v>
      </c>
      <c r="E24" s="29">
        <v>26790</v>
      </c>
      <c r="F24" s="29">
        <v>26660</v>
      </c>
      <c r="G24" s="29">
        <v>100</v>
      </c>
      <c r="H24" s="69">
        <v>13000</v>
      </c>
      <c r="I24" s="20"/>
      <c r="J24" s="34"/>
    </row>
    <row r="25" spans="1:10" x14ac:dyDescent="0.3">
      <c r="A25" s="20"/>
      <c r="B25" s="71">
        <v>42179</v>
      </c>
      <c r="C25" s="24" t="s">
        <v>23</v>
      </c>
      <c r="D25" s="26" t="s">
        <v>24</v>
      </c>
      <c r="E25" s="29">
        <v>26590</v>
      </c>
      <c r="F25" s="29">
        <v>26480</v>
      </c>
      <c r="G25" s="29">
        <v>100</v>
      </c>
      <c r="H25" s="69">
        <v>11000</v>
      </c>
      <c r="I25" s="20"/>
      <c r="J25" s="34"/>
    </row>
    <row r="26" spans="1:10" x14ac:dyDescent="0.3">
      <c r="A26" s="20"/>
      <c r="B26" s="71">
        <v>42180</v>
      </c>
      <c r="C26" s="24" t="s">
        <v>23</v>
      </c>
      <c r="D26" s="26" t="s">
        <v>24</v>
      </c>
      <c r="E26" s="29">
        <v>26500</v>
      </c>
      <c r="F26" s="29">
        <v>26430</v>
      </c>
      <c r="G26" s="29">
        <v>100</v>
      </c>
      <c r="H26" s="69">
        <v>7000</v>
      </c>
      <c r="I26" s="20"/>
    </row>
    <row r="27" spans="1:10" x14ac:dyDescent="0.3">
      <c r="A27" s="20"/>
      <c r="B27" s="71">
        <v>42181</v>
      </c>
      <c r="C27" s="24" t="s">
        <v>23</v>
      </c>
      <c r="D27" s="26" t="s">
        <v>24</v>
      </c>
      <c r="E27" s="26">
        <v>26500</v>
      </c>
      <c r="F27" s="26">
        <v>26430</v>
      </c>
      <c r="G27" s="29">
        <v>100</v>
      </c>
      <c r="H27" s="69">
        <v>7000</v>
      </c>
      <c r="I27" s="20"/>
    </row>
    <row r="28" spans="1:10" x14ac:dyDescent="0.3">
      <c r="A28" s="20"/>
      <c r="B28" s="71">
        <v>42184</v>
      </c>
      <c r="C28" s="24" t="s">
        <v>23</v>
      </c>
      <c r="D28" s="26" t="s">
        <v>24</v>
      </c>
      <c r="E28" s="26">
        <v>26780</v>
      </c>
      <c r="F28" s="26">
        <v>26710</v>
      </c>
      <c r="G28" s="29">
        <v>100</v>
      </c>
      <c r="H28" s="69">
        <v>7000</v>
      </c>
      <c r="I28" s="20"/>
    </row>
    <row r="29" spans="1:10" x14ac:dyDescent="0.3">
      <c r="A29" s="20"/>
      <c r="B29" s="71">
        <v>42185</v>
      </c>
      <c r="C29" s="29" t="s">
        <v>23</v>
      </c>
      <c r="D29" s="36" t="s">
        <v>24</v>
      </c>
      <c r="E29" s="36">
        <v>26620</v>
      </c>
      <c r="F29" s="29">
        <v>26450</v>
      </c>
      <c r="G29" s="29">
        <v>100</v>
      </c>
      <c r="H29" s="69">
        <v>17000</v>
      </c>
      <c r="I29" s="20"/>
    </row>
    <row r="30" spans="1:10" ht="15.6" x14ac:dyDescent="0.3">
      <c r="A30" s="20"/>
      <c r="B30" s="71"/>
      <c r="C30" s="29"/>
      <c r="D30" s="36"/>
      <c r="E30" s="36"/>
      <c r="F30" s="29"/>
      <c r="G30" s="29"/>
      <c r="H30" s="96">
        <v>215500</v>
      </c>
      <c r="I30" s="20"/>
    </row>
    <row r="31" spans="1:10" ht="15.6" x14ac:dyDescent="0.3">
      <c r="A31" s="20"/>
      <c r="B31" s="71"/>
      <c r="C31" s="29"/>
      <c r="D31" s="36"/>
      <c r="E31" s="36"/>
      <c r="F31" s="29"/>
      <c r="G31" s="29"/>
      <c r="H31" s="80"/>
      <c r="I31" s="20"/>
    </row>
    <row r="32" spans="1:10" x14ac:dyDescent="0.3">
      <c r="A32" s="20"/>
      <c r="B32" s="71"/>
      <c r="C32" s="29"/>
      <c r="D32" s="36"/>
      <c r="E32" s="36"/>
      <c r="F32" s="29"/>
      <c r="G32" s="29"/>
      <c r="H32" s="29"/>
      <c r="I32" s="20"/>
    </row>
    <row r="33" spans="1:9" x14ac:dyDescent="0.3">
      <c r="A33" s="20"/>
      <c r="B33" s="71"/>
      <c r="C33" s="29"/>
      <c r="D33" s="36"/>
      <c r="E33" s="36"/>
      <c r="F33" s="29"/>
      <c r="G33" s="29"/>
      <c r="H33" s="29"/>
      <c r="I33" s="20"/>
    </row>
    <row r="34" spans="1:9" ht="15.6" x14ac:dyDescent="0.3">
      <c r="A34" s="20"/>
      <c r="B34" s="61" t="s">
        <v>628</v>
      </c>
      <c r="C34" s="62"/>
      <c r="D34" s="63"/>
      <c r="E34" s="62"/>
      <c r="F34" s="62"/>
      <c r="G34" s="62"/>
      <c r="H34" s="62"/>
      <c r="I34" s="20"/>
    </row>
    <row r="35" spans="1:9" x14ac:dyDescent="0.3">
      <c r="A35" s="20"/>
      <c r="B35" s="71">
        <v>42156</v>
      </c>
      <c r="C35" s="24" t="s">
        <v>23</v>
      </c>
      <c r="D35" s="24" t="s">
        <v>25</v>
      </c>
      <c r="E35" s="49" t="s">
        <v>597</v>
      </c>
      <c r="F35" s="49" t="s">
        <v>601</v>
      </c>
      <c r="G35" s="25">
        <v>100</v>
      </c>
      <c r="H35" s="29">
        <v>-3500</v>
      </c>
      <c r="I35" s="20"/>
    </row>
    <row r="36" spans="1:9" x14ac:dyDescent="0.3">
      <c r="A36" s="20"/>
      <c r="B36" s="71">
        <v>42157</v>
      </c>
      <c r="C36" s="24" t="s">
        <v>16</v>
      </c>
      <c r="D36" s="24" t="s">
        <v>25</v>
      </c>
      <c r="E36" s="83" t="s">
        <v>630</v>
      </c>
      <c r="F36" s="49" t="s">
        <v>631</v>
      </c>
      <c r="G36" s="25">
        <v>100</v>
      </c>
      <c r="H36" s="29">
        <v>4500</v>
      </c>
      <c r="I36" s="20"/>
    </row>
    <row r="37" spans="1:9" x14ac:dyDescent="0.3">
      <c r="A37" s="20"/>
      <c r="B37" s="71">
        <v>42158</v>
      </c>
      <c r="C37" s="24" t="s">
        <v>23</v>
      </c>
      <c r="D37" s="24" t="s">
        <v>25</v>
      </c>
      <c r="E37" s="49" t="s">
        <v>632</v>
      </c>
      <c r="F37" s="49" t="s">
        <v>633</v>
      </c>
      <c r="G37" s="25">
        <v>100</v>
      </c>
      <c r="H37" s="29">
        <v>5500</v>
      </c>
      <c r="I37" s="20"/>
    </row>
    <row r="38" spans="1:9" x14ac:dyDescent="0.3">
      <c r="A38" s="20"/>
      <c r="B38" s="71">
        <v>42159</v>
      </c>
      <c r="C38" s="24" t="s">
        <v>23</v>
      </c>
      <c r="D38" s="24" t="s">
        <v>25</v>
      </c>
      <c r="E38" s="49" t="s">
        <v>412</v>
      </c>
      <c r="F38" s="49" t="s">
        <v>634</v>
      </c>
      <c r="G38" s="25">
        <v>100</v>
      </c>
      <c r="H38" s="29">
        <v>6000</v>
      </c>
      <c r="I38" s="20"/>
    </row>
    <row r="39" spans="1:9" x14ac:dyDescent="0.3">
      <c r="A39" s="20"/>
      <c r="B39" s="71">
        <v>42160</v>
      </c>
      <c r="C39" s="24" t="s">
        <v>23</v>
      </c>
      <c r="D39" s="24" t="s">
        <v>25</v>
      </c>
      <c r="E39" s="49" t="s">
        <v>413</v>
      </c>
      <c r="F39" s="49" t="s">
        <v>612</v>
      </c>
      <c r="G39" s="25">
        <v>100</v>
      </c>
      <c r="H39" s="29">
        <v>-3500</v>
      </c>
      <c r="I39" s="20"/>
    </row>
    <row r="40" spans="1:9" x14ac:dyDescent="0.3">
      <c r="A40" s="20"/>
      <c r="B40" s="71">
        <v>42163</v>
      </c>
      <c r="C40" s="24" t="s">
        <v>16</v>
      </c>
      <c r="D40" s="24" t="s">
        <v>25</v>
      </c>
      <c r="E40" s="49" t="s">
        <v>594</v>
      </c>
      <c r="F40" s="49" t="s">
        <v>636</v>
      </c>
      <c r="G40" s="25">
        <v>100</v>
      </c>
      <c r="H40" s="29">
        <v>-3500</v>
      </c>
      <c r="I40" s="20"/>
    </row>
    <row r="41" spans="1:9" x14ac:dyDescent="0.3">
      <c r="A41" s="20"/>
      <c r="B41" s="71">
        <v>42164</v>
      </c>
      <c r="C41" s="24" t="s">
        <v>23</v>
      </c>
      <c r="D41" s="24" t="s">
        <v>25</v>
      </c>
      <c r="E41" s="49" t="s">
        <v>593</v>
      </c>
      <c r="F41" s="49" t="s">
        <v>637</v>
      </c>
      <c r="G41" s="25">
        <v>100</v>
      </c>
      <c r="H41" s="29">
        <v>-3500</v>
      </c>
      <c r="I41" s="20"/>
    </row>
    <row r="42" spans="1:9" x14ac:dyDescent="0.3">
      <c r="A42" s="20"/>
      <c r="B42" s="71">
        <v>42165</v>
      </c>
      <c r="C42" s="24" t="s">
        <v>23</v>
      </c>
      <c r="D42" s="24" t="s">
        <v>26</v>
      </c>
      <c r="E42" s="49" t="s">
        <v>638</v>
      </c>
      <c r="F42" s="49" t="s">
        <v>639</v>
      </c>
      <c r="G42" s="25">
        <v>1250</v>
      </c>
      <c r="H42" s="29">
        <v>-3750</v>
      </c>
      <c r="I42" s="20"/>
    </row>
    <row r="43" spans="1:9" x14ac:dyDescent="0.3">
      <c r="A43" s="20"/>
      <c r="B43" s="71">
        <v>42166</v>
      </c>
      <c r="C43" s="24" t="s">
        <v>23</v>
      </c>
      <c r="D43" s="24" t="s">
        <v>25</v>
      </c>
      <c r="E43" s="49" t="s">
        <v>640</v>
      </c>
      <c r="F43" s="49" t="s">
        <v>641</v>
      </c>
      <c r="G43" s="25">
        <v>100</v>
      </c>
      <c r="H43" s="29">
        <v>4500</v>
      </c>
      <c r="I43" s="20"/>
    </row>
    <row r="44" spans="1:9" x14ac:dyDescent="0.3">
      <c r="A44" s="20"/>
      <c r="B44" s="71">
        <v>42167</v>
      </c>
      <c r="C44" s="24" t="s">
        <v>23</v>
      </c>
      <c r="D44" s="24" t="s">
        <v>25</v>
      </c>
      <c r="E44" s="49" t="s">
        <v>641</v>
      </c>
      <c r="F44" s="49" t="s">
        <v>429</v>
      </c>
      <c r="G44" s="25">
        <v>100</v>
      </c>
      <c r="H44" s="29">
        <v>2500</v>
      </c>
      <c r="I44" s="20"/>
    </row>
    <row r="45" spans="1:9" x14ac:dyDescent="0.3">
      <c r="A45" s="20"/>
      <c r="B45" s="71">
        <v>42170</v>
      </c>
      <c r="C45" s="24" t="s">
        <v>23</v>
      </c>
      <c r="D45" s="24" t="s">
        <v>25</v>
      </c>
      <c r="E45" s="49" t="s">
        <v>608</v>
      </c>
      <c r="F45" s="49" t="s">
        <v>591</v>
      </c>
      <c r="G45" s="25">
        <v>100</v>
      </c>
      <c r="H45" s="29">
        <v>4000</v>
      </c>
      <c r="I45" s="20"/>
    </row>
    <row r="46" spans="1:9" x14ac:dyDescent="0.3">
      <c r="A46" s="20"/>
      <c r="B46" s="71">
        <v>42171</v>
      </c>
      <c r="C46" s="24" t="s">
        <v>23</v>
      </c>
      <c r="D46" s="24" t="s">
        <v>25</v>
      </c>
      <c r="E46" s="49" t="s">
        <v>606</v>
      </c>
      <c r="F46" s="49" t="s">
        <v>608</v>
      </c>
      <c r="G46" s="25">
        <v>100</v>
      </c>
      <c r="H46" s="29">
        <v>2500</v>
      </c>
      <c r="I46" s="20"/>
    </row>
    <row r="47" spans="1:9" x14ac:dyDescent="0.3">
      <c r="A47" s="20"/>
      <c r="B47" s="71">
        <v>42172</v>
      </c>
      <c r="C47" s="24" t="s">
        <v>23</v>
      </c>
      <c r="D47" s="24" t="s">
        <v>25</v>
      </c>
      <c r="E47" s="49" t="s">
        <v>643</v>
      </c>
      <c r="F47" s="49" t="s">
        <v>609</v>
      </c>
      <c r="G47" s="25">
        <v>100</v>
      </c>
      <c r="H47" s="29">
        <v>7000</v>
      </c>
      <c r="I47" s="20"/>
    </row>
    <row r="48" spans="1:9" x14ac:dyDescent="0.3">
      <c r="A48" s="20"/>
      <c r="B48" s="71">
        <v>42173</v>
      </c>
      <c r="C48" s="24" t="s">
        <v>23</v>
      </c>
      <c r="D48" s="24" t="s">
        <v>25</v>
      </c>
      <c r="E48" s="49" t="s">
        <v>598</v>
      </c>
      <c r="F48" s="49" t="s">
        <v>594</v>
      </c>
      <c r="G48" s="25">
        <v>100</v>
      </c>
      <c r="H48" s="29">
        <v>2000</v>
      </c>
      <c r="I48" s="20"/>
    </row>
    <row r="49" spans="1:9" x14ac:dyDescent="0.3">
      <c r="A49" s="20"/>
      <c r="B49" s="71">
        <v>42174</v>
      </c>
      <c r="C49" s="24" t="s">
        <v>23</v>
      </c>
      <c r="D49" s="24" t="s">
        <v>25</v>
      </c>
      <c r="E49" s="49" t="s">
        <v>599</v>
      </c>
      <c r="F49" s="49" t="s">
        <v>644</v>
      </c>
      <c r="G49" s="25">
        <v>100</v>
      </c>
      <c r="H49" s="29">
        <v>3000</v>
      </c>
      <c r="I49" s="20"/>
    </row>
    <row r="50" spans="1:9" x14ac:dyDescent="0.3">
      <c r="A50" s="20"/>
      <c r="B50" s="71">
        <v>42177</v>
      </c>
      <c r="C50" s="24" t="s">
        <v>23</v>
      </c>
      <c r="D50" s="24" t="s">
        <v>26</v>
      </c>
      <c r="E50" s="49" t="s">
        <v>645</v>
      </c>
      <c r="F50" s="49" t="s">
        <v>507</v>
      </c>
      <c r="G50" s="25">
        <v>1250</v>
      </c>
      <c r="H50" s="29">
        <v>2500</v>
      </c>
      <c r="I50" s="20"/>
    </row>
    <row r="51" spans="1:9" x14ac:dyDescent="0.3">
      <c r="A51" s="20"/>
      <c r="B51" s="71">
        <v>42178</v>
      </c>
      <c r="C51" s="24" t="s">
        <v>23</v>
      </c>
      <c r="D51" s="24" t="s">
        <v>25</v>
      </c>
      <c r="E51" s="49" t="s">
        <v>633</v>
      </c>
      <c r="F51" s="49" t="s">
        <v>600</v>
      </c>
      <c r="G51" s="25">
        <v>100</v>
      </c>
      <c r="H51" s="29">
        <v>2500</v>
      </c>
      <c r="I51" s="20"/>
    </row>
    <row r="52" spans="1:9" x14ac:dyDescent="0.3">
      <c r="A52" s="20"/>
      <c r="B52" s="71">
        <v>42179</v>
      </c>
      <c r="C52" s="24" t="s">
        <v>23</v>
      </c>
      <c r="D52" s="24" t="s">
        <v>25</v>
      </c>
      <c r="E52" s="49" t="s">
        <v>409</v>
      </c>
      <c r="F52" s="49" t="s">
        <v>643</v>
      </c>
      <c r="G52" s="25">
        <v>100</v>
      </c>
      <c r="H52" s="29">
        <v>2500</v>
      </c>
      <c r="I52" s="20"/>
    </row>
    <row r="53" spans="1:9" x14ac:dyDescent="0.3">
      <c r="A53" s="20"/>
      <c r="B53" s="71">
        <v>42180</v>
      </c>
      <c r="C53" s="24" t="s">
        <v>23</v>
      </c>
      <c r="D53" s="24" t="s">
        <v>25</v>
      </c>
      <c r="E53" s="49" t="s">
        <v>646</v>
      </c>
      <c r="F53" s="49" t="s">
        <v>644</v>
      </c>
      <c r="G53" s="25">
        <v>10</v>
      </c>
      <c r="H53" s="29">
        <v>4000</v>
      </c>
      <c r="I53" s="20"/>
    </row>
    <row r="54" spans="1:9" x14ac:dyDescent="0.3">
      <c r="A54" s="20"/>
      <c r="B54" s="71">
        <v>42181</v>
      </c>
      <c r="C54" s="24" t="s">
        <v>23</v>
      </c>
      <c r="D54" s="24" t="s">
        <v>25</v>
      </c>
      <c r="E54" s="49" t="s">
        <v>597</v>
      </c>
      <c r="F54" s="49" t="s">
        <v>642</v>
      </c>
      <c r="G54" s="25">
        <v>100</v>
      </c>
      <c r="H54" s="29">
        <v>5500</v>
      </c>
      <c r="I54" s="20"/>
    </row>
    <row r="55" spans="1:9" x14ac:dyDescent="0.3">
      <c r="A55" s="20"/>
      <c r="B55" s="71">
        <v>42184</v>
      </c>
      <c r="C55" s="24" t="s">
        <v>23</v>
      </c>
      <c r="D55" s="24" t="s">
        <v>25</v>
      </c>
      <c r="E55" s="49" t="s">
        <v>644</v>
      </c>
      <c r="F55" s="49" t="s">
        <v>592</v>
      </c>
      <c r="G55" s="25">
        <v>100</v>
      </c>
      <c r="H55" s="29">
        <v>2500</v>
      </c>
      <c r="I55" s="20"/>
    </row>
    <row r="56" spans="1:9" x14ac:dyDescent="0.3">
      <c r="A56" s="20"/>
      <c r="B56" s="71">
        <v>42185</v>
      </c>
      <c r="C56" s="97" t="s">
        <v>23</v>
      </c>
      <c r="D56" s="24" t="s">
        <v>25</v>
      </c>
      <c r="E56" s="97">
        <v>3725</v>
      </c>
      <c r="F56" s="97">
        <v>3765</v>
      </c>
      <c r="G56" s="25">
        <v>100</v>
      </c>
      <c r="H56" s="69">
        <v>-4000</v>
      </c>
      <c r="I56" s="20"/>
    </row>
    <row r="57" spans="1:9" ht="15.6" x14ac:dyDescent="0.3">
      <c r="A57" s="20"/>
      <c r="B57" s="71"/>
      <c r="C57" s="97"/>
      <c r="D57" s="24"/>
      <c r="E57" s="97"/>
      <c r="F57" s="97"/>
      <c r="G57" s="25"/>
      <c r="H57" s="96">
        <v>39250</v>
      </c>
      <c r="I57" s="67"/>
    </row>
    <row r="58" spans="1:9" ht="15.6" x14ac:dyDescent="0.3">
      <c r="A58" s="20"/>
      <c r="B58" s="71"/>
      <c r="C58" s="24"/>
      <c r="D58" s="24"/>
      <c r="E58" s="97"/>
      <c r="F58" s="97"/>
      <c r="G58" s="25"/>
      <c r="H58" s="79"/>
      <c r="I58" s="67"/>
    </row>
    <row r="59" spans="1:9" x14ac:dyDescent="0.3">
      <c r="A59" s="20"/>
      <c r="B59" s="71"/>
      <c r="C59" s="29"/>
      <c r="D59" s="36"/>
      <c r="E59" s="29"/>
      <c r="F59" s="29"/>
      <c r="G59" s="29"/>
      <c r="H59" s="29"/>
      <c r="I59" s="67"/>
    </row>
    <row r="60" spans="1:9" x14ac:dyDescent="0.3">
      <c r="A60" s="20"/>
      <c r="B60" s="71"/>
      <c r="C60" s="29"/>
      <c r="D60" s="36"/>
      <c r="E60" s="29"/>
      <c r="F60" s="29"/>
      <c r="G60" s="29"/>
      <c r="H60" s="29"/>
      <c r="I60" s="67"/>
    </row>
    <row r="61" spans="1:9" ht="15.6" x14ac:dyDescent="0.3">
      <c r="A61" s="20"/>
      <c r="B61" s="61" t="s">
        <v>627</v>
      </c>
      <c r="C61" s="62"/>
      <c r="D61" s="63"/>
      <c r="E61" s="62"/>
      <c r="F61" s="62"/>
      <c r="G61" s="62"/>
      <c r="H61" s="64"/>
      <c r="I61" s="67"/>
    </row>
    <row r="62" spans="1:9" x14ac:dyDescent="0.3">
      <c r="A62" s="20"/>
      <c r="B62" s="71">
        <v>42156</v>
      </c>
      <c r="C62" s="24" t="s">
        <v>23</v>
      </c>
      <c r="D62" s="24" t="s">
        <v>27</v>
      </c>
      <c r="E62" s="29">
        <v>124.4</v>
      </c>
      <c r="F62" s="29">
        <v>122.9</v>
      </c>
      <c r="G62" s="29">
        <v>5000</v>
      </c>
      <c r="H62" s="29">
        <v>7500</v>
      </c>
      <c r="I62" s="67"/>
    </row>
    <row r="63" spans="1:9" x14ac:dyDescent="0.3">
      <c r="A63" s="20"/>
      <c r="B63" s="71">
        <v>42157</v>
      </c>
      <c r="C63" s="24" t="s">
        <v>23</v>
      </c>
      <c r="D63" s="24" t="s">
        <v>56</v>
      </c>
      <c r="E63" s="29">
        <v>111.3</v>
      </c>
      <c r="F63" s="29">
        <v>110.3</v>
      </c>
      <c r="G63" s="29">
        <v>5000</v>
      </c>
      <c r="H63" s="29">
        <v>5000</v>
      </c>
      <c r="I63" s="67"/>
    </row>
    <row r="64" spans="1:9" x14ac:dyDescent="0.3">
      <c r="A64" s="20"/>
      <c r="B64" s="71">
        <v>42158</v>
      </c>
      <c r="C64" s="24" t="s">
        <v>23</v>
      </c>
      <c r="D64" s="24" t="s">
        <v>27</v>
      </c>
      <c r="E64" s="29">
        <v>123</v>
      </c>
      <c r="F64" s="29">
        <v>124</v>
      </c>
      <c r="G64" s="29">
        <v>5000</v>
      </c>
      <c r="H64" s="29">
        <v>-5000</v>
      </c>
      <c r="I64" s="67"/>
    </row>
    <row r="65" spans="1:9" x14ac:dyDescent="0.3">
      <c r="A65" s="20"/>
      <c r="B65" s="71">
        <v>42159</v>
      </c>
      <c r="C65" s="24" t="s">
        <v>23</v>
      </c>
      <c r="D65" s="24" t="s">
        <v>635</v>
      </c>
      <c r="E65" s="29">
        <v>138.1</v>
      </c>
      <c r="F65" s="29">
        <v>137.6</v>
      </c>
      <c r="G65" s="29">
        <v>5000</v>
      </c>
      <c r="H65" s="29">
        <v>2500</v>
      </c>
      <c r="I65" s="67"/>
    </row>
    <row r="66" spans="1:9" x14ac:dyDescent="0.3">
      <c r="A66" s="20"/>
      <c r="B66" s="71">
        <v>42159</v>
      </c>
      <c r="C66" s="24" t="s">
        <v>23</v>
      </c>
      <c r="D66" s="24" t="s">
        <v>29</v>
      </c>
      <c r="E66" s="29">
        <v>387</v>
      </c>
      <c r="F66" s="29">
        <v>382</v>
      </c>
      <c r="G66" s="29">
        <v>1000</v>
      </c>
      <c r="H66" s="29">
        <v>5000</v>
      </c>
      <c r="I66" s="67"/>
    </row>
    <row r="67" spans="1:9" x14ac:dyDescent="0.3">
      <c r="A67" s="20"/>
      <c r="B67" s="71">
        <v>42160</v>
      </c>
      <c r="C67" s="24" t="s">
        <v>23</v>
      </c>
      <c r="D67" s="24" t="s">
        <v>28</v>
      </c>
      <c r="E67" s="29">
        <v>136.85</v>
      </c>
      <c r="F67" s="29">
        <v>135.35</v>
      </c>
      <c r="G67" s="29">
        <v>5000</v>
      </c>
      <c r="H67" s="29">
        <v>7500</v>
      </c>
      <c r="I67" s="67"/>
    </row>
    <row r="68" spans="1:9" x14ac:dyDescent="0.3">
      <c r="A68" s="20"/>
      <c r="B68" s="71">
        <v>42163</v>
      </c>
      <c r="C68" s="24" t="s">
        <v>23</v>
      </c>
      <c r="D68" s="24" t="s">
        <v>27</v>
      </c>
      <c r="E68" s="29">
        <v>122.3</v>
      </c>
      <c r="F68" s="29">
        <v>123.3</v>
      </c>
      <c r="G68" s="29">
        <v>5000</v>
      </c>
      <c r="H68" s="29">
        <v>-5000</v>
      </c>
      <c r="I68" s="67"/>
    </row>
    <row r="69" spans="1:9" x14ac:dyDescent="0.3">
      <c r="A69" s="20"/>
      <c r="B69" s="71">
        <v>42164</v>
      </c>
      <c r="C69" s="24" t="s">
        <v>23</v>
      </c>
      <c r="D69" s="24" t="s">
        <v>29</v>
      </c>
      <c r="E69" s="29">
        <v>384.5</v>
      </c>
      <c r="F69" s="29">
        <v>382</v>
      </c>
      <c r="G69" s="29">
        <v>1000</v>
      </c>
      <c r="H69" s="29">
        <v>2500</v>
      </c>
      <c r="I69" s="67"/>
    </row>
    <row r="70" spans="1:9" x14ac:dyDescent="0.3">
      <c r="A70" s="20"/>
      <c r="B70" s="71">
        <v>42165</v>
      </c>
      <c r="C70" s="24" t="s">
        <v>23</v>
      </c>
      <c r="D70" s="24" t="s">
        <v>56</v>
      </c>
      <c r="E70" s="29">
        <v>111.1</v>
      </c>
      <c r="F70" s="29">
        <v>111.2</v>
      </c>
      <c r="G70" s="29">
        <v>5000</v>
      </c>
      <c r="H70" s="29">
        <v>-500</v>
      </c>
      <c r="I70" s="67"/>
    </row>
    <row r="71" spans="1:9" x14ac:dyDescent="0.3">
      <c r="A71" s="20"/>
      <c r="B71" s="71">
        <v>42166</v>
      </c>
      <c r="C71" s="24" t="s">
        <v>23</v>
      </c>
      <c r="D71" s="24" t="s">
        <v>56</v>
      </c>
      <c r="E71" s="29">
        <v>110.3</v>
      </c>
      <c r="F71" s="29">
        <v>109.1</v>
      </c>
      <c r="G71" s="29">
        <v>5000</v>
      </c>
      <c r="H71" s="29">
        <v>6000</v>
      </c>
      <c r="I71" s="67"/>
    </row>
    <row r="72" spans="1:9" x14ac:dyDescent="0.3">
      <c r="A72" s="20"/>
      <c r="B72" s="71">
        <v>42167</v>
      </c>
      <c r="C72" s="24" t="s">
        <v>23</v>
      </c>
      <c r="D72" s="24" t="s">
        <v>29</v>
      </c>
      <c r="E72" s="29">
        <v>379</v>
      </c>
      <c r="F72" s="29">
        <v>378</v>
      </c>
      <c r="G72" s="29">
        <v>1000</v>
      </c>
      <c r="H72" s="29">
        <v>1000</v>
      </c>
      <c r="I72" s="67"/>
    </row>
    <row r="73" spans="1:9" x14ac:dyDescent="0.3">
      <c r="A73" s="20"/>
      <c r="B73" s="71">
        <v>42170</v>
      </c>
      <c r="C73" s="24" t="s">
        <v>23</v>
      </c>
      <c r="D73" s="24" t="s">
        <v>56</v>
      </c>
      <c r="E73" s="29">
        <v>108.9</v>
      </c>
      <c r="F73" s="29">
        <v>107.4</v>
      </c>
      <c r="G73" s="29">
        <v>5000</v>
      </c>
      <c r="H73" s="29">
        <v>7500</v>
      </c>
      <c r="I73" s="67"/>
    </row>
    <row r="74" spans="1:9" x14ac:dyDescent="0.3">
      <c r="A74" s="20"/>
      <c r="B74" s="71">
        <v>42171</v>
      </c>
      <c r="C74" s="24" t="s">
        <v>23</v>
      </c>
      <c r="D74" s="24" t="s">
        <v>56</v>
      </c>
      <c r="E74" s="26">
        <v>108.3</v>
      </c>
      <c r="F74" s="26">
        <v>107.3</v>
      </c>
      <c r="G74" s="29">
        <v>5000</v>
      </c>
      <c r="H74" s="29">
        <v>5000</v>
      </c>
      <c r="I74" s="67"/>
    </row>
    <row r="75" spans="1:9" x14ac:dyDescent="0.3">
      <c r="A75" s="20"/>
      <c r="B75" s="71">
        <v>42172</v>
      </c>
      <c r="C75" s="24" t="s">
        <v>23</v>
      </c>
      <c r="D75" s="24" t="s">
        <v>56</v>
      </c>
      <c r="E75" s="29">
        <v>107.6</v>
      </c>
      <c r="F75" s="29">
        <v>107.8</v>
      </c>
      <c r="G75" s="29">
        <v>5000</v>
      </c>
      <c r="H75" s="29">
        <v>-1000</v>
      </c>
      <c r="I75" s="99"/>
    </row>
    <row r="76" spans="1:9" x14ac:dyDescent="0.3">
      <c r="A76" s="57"/>
      <c r="B76" s="71">
        <v>42173</v>
      </c>
      <c r="C76" s="24" t="s">
        <v>23</v>
      </c>
      <c r="D76" s="24" t="s">
        <v>28</v>
      </c>
      <c r="E76" s="26">
        <v>133.30000000000001</v>
      </c>
      <c r="F76" s="26">
        <v>131.80000000000001</v>
      </c>
      <c r="G76" s="29">
        <v>5000</v>
      </c>
      <c r="H76" s="29">
        <v>7500</v>
      </c>
      <c r="I76" s="57"/>
    </row>
    <row r="77" spans="1:9" x14ac:dyDescent="0.3">
      <c r="A77" s="57"/>
      <c r="B77" s="71">
        <v>42174</v>
      </c>
      <c r="C77" s="24" t="s">
        <v>23</v>
      </c>
      <c r="D77" s="24" t="s">
        <v>27</v>
      </c>
      <c r="E77" s="26">
        <v>114.55</v>
      </c>
      <c r="F77" s="26">
        <v>113.05</v>
      </c>
      <c r="G77" s="29">
        <v>5000</v>
      </c>
      <c r="H77" s="29">
        <v>7500</v>
      </c>
      <c r="I77" s="57"/>
    </row>
    <row r="78" spans="1:9" x14ac:dyDescent="0.3">
      <c r="A78" s="57"/>
      <c r="B78" s="71">
        <v>42177</v>
      </c>
      <c r="C78" s="24" t="s">
        <v>23</v>
      </c>
      <c r="D78" s="24" t="s">
        <v>28</v>
      </c>
      <c r="E78" s="26">
        <v>129.30000000000001</v>
      </c>
      <c r="F78" s="26">
        <v>128.5</v>
      </c>
      <c r="G78" s="29">
        <v>5000</v>
      </c>
      <c r="H78" s="29">
        <v>3500</v>
      </c>
      <c r="I78" s="57"/>
    </row>
    <row r="79" spans="1:9" x14ac:dyDescent="0.3">
      <c r="A79" s="57"/>
      <c r="B79" s="71">
        <v>42178</v>
      </c>
      <c r="C79" s="24" t="s">
        <v>23</v>
      </c>
      <c r="D79" s="24" t="s">
        <v>28</v>
      </c>
      <c r="E79" s="26">
        <v>129.4</v>
      </c>
      <c r="F79" s="26">
        <v>128.4</v>
      </c>
      <c r="G79" s="29">
        <v>5000</v>
      </c>
      <c r="H79" s="29">
        <v>5000</v>
      </c>
      <c r="I79" s="57"/>
    </row>
    <row r="80" spans="1:9" x14ac:dyDescent="0.3">
      <c r="A80" s="57"/>
      <c r="B80" s="71">
        <v>42179</v>
      </c>
      <c r="C80" s="24" t="s">
        <v>16</v>
      </c>
      <c r="D80" s="24" t="s">
        <v>28</v>
      </c>
      <c r="E80" s="26">
        <v>131.19999999999999</v>
      </c>
      <c r="F80" s="26">
        <v>130.19999999999999</v>
      </c>
      <c r="G80" s="29">
        <v>5000</v>
      </c>
      <c r="H80" s="29">
        <v>-5000</v>
      </c>
      <c r="I80" s="57"/>
    </row>
    <row r="81" spans="1:9" x14ac:dyDescent="0.3">
      <c r="A81" s="57"/>
      <c r="B81" s="71">
        <v>42180</v>
      </c>
      <c r="C81" s="24" t="s">
        <v>23</v>
      </c>
      <c r="D81" s="24" t="s">
        <v>56</v>
      </c>
      <c r="E81" s="26">
        <v>106.75</v>
      </c>
      <c r="F81" s="26">
        <v>107</v>
      </c>
      <c r="G81" s="29">
        <v>5000</v>
      </c>
      <c r="H81" s="29">
        <v>-2500</v>
      </c>
      <c r="I81" s="57"/>
    </row>
    <row r="82" spans="1:9" x14ac:dyDescent="0.3">
      <c r="A82" s="57"/>
      <c r="B82" s="71">
        <v>42181</v>
      </c>
      <c r="C82" s="24" t="s">
        <v>23</v>
      </c>
      <c r="D82" s="24" t="s">
        <v>35</v>
      </c>
      <c r="E82" s="29">
        <v>800</v>
      </c>
      <c r="F82" s="29">
        <v>793</v>
      </c>
      <c r="G82" s="29">
        <v>250</v>
      </c>
      <c r="H82" s="29">
        <v>1250</v>
      </c>
      <c r="I82" s="57"/>
    </row>
    <row r="83" spans="1:9" x14ac:dyDescent="0.3">
      <c r="A83" s="57"/>
      <c r="B83" s="71">
        <v>42184</v>
      </c>
      <c r="C83" s="75" t="s">
        <v>23</v>
      </c>
      <c r="D83" s="75" t="s">
        <v>28</v>
      </c>
      <c r="E83" s="45">
        <v>128.6</v>
      </c>
      <c r="F83" s="75">
        <v>128.1</v>
      </c>
      <c r="G83" s="29">
        <v>5000</v>
      </c>
      <c r="H83" s="29">
        <v>2500</v>
      </c>
      <c r="I83" s="57"/>
    </row>
    <row r="84" spans="1:9" x14ac:dyDescent="0.3">
      <c r="A84" s="57"/>
      <c r="B84" s="71">
        <v>42185</v>
      </c>
      <c r="C84" s="75" t="s">
        <v>23</v>
      </c>
      <c r="D84" s="75" t="s">
        <v>29</v>
      </c>
      <c r="E84" s="75">
        <v>374.5</v>
      </c>
      <c r="F84" s="75">
        <v>370.5</v>
      </c>
      <c r="G84" s="29">
        <v>1000</v>
      </c>
      <c r="H84" s="29">
        <v>4000</v>
      </c>
      <c r="I84" s="57"/>
    </row>
    <row r="85" spans="1:9" ht="15.6" x14ac:dyDescent="0.3">
      <c r="A85" s="57"/>
      <c r="B85" s="71"/>
      <c r="C85" s="75"/>
      <c r="D85" s="75"/>
      <c r="E85" s="75"/>
      <c r="F85" s="75"/>
      <c r="G85" s="29"/>
      <c r="H85" s="96">
        <v>61750</v>
      </c>
      <c r="I85" s="57"/>
    </row>
    <row r="86" spans="1:9" ht="15.6" x14ac:dyDescent="0.3">
      <c r="A86" s="57"/>
      <c r="B86" s="71"/>
      <c r="C86" s="75"/>
      <c r="D86" s="75"/>
      <c r="E86" s="75"/>
      <c r="F86" s="75"/>
      <c r="G86" s="29"/>
      <c r="H86" s="96"/>
      <c r="I86" s="57"/>
    </row>
    <row r="87" spans="1:9" ht="15.6" x14ac:dyDescent="0.3">
      <c r="A87" s="57"/>
      <c r="C87" s="18"/>
      <c r="D87" s="18"/>
      <c r="E87" s="18"/>
      <c r="F87" s="18"/>
      <c r="G87" s="18"/>
      <c r="H87" s="46"/>
      <c r="I87" s="57"/>
    </row>
    <row r="88" spans="1:9" x14ac:dyDescent="0.3">
      <c r="A88" s="57"/>
      <c r="C88" s="18"/>
      <c r="D88" s="18"/>
      <c r="E88" s="18"/>
      <c r="F88" s="18"/>
      <c r="G88" s="18"/>
      <c r="H88" s="18"/>
      <c r="I88" s="57"/>
    </row>
    <row r="89" spans="1:9" x14ac:dyDescent="0.3">
      <c r="A89" s="57"/>
      <c r="B89" s="18"/>
      <c r="C89" s="18"/>
      <c r="D89" s="18"/>
      <c r="E89" s="18"/>
      <c r="F89" s="18"/>
      <c r="G89" s="18"/>
      <c r="H89" s="18"/>
      <c r="I89" s="57"/>
    </row>
    <row r="90" spans="1:9" x14ac:dyDescent="0.3">
      <c r="A90" s="57"/>
      <c r="B90" s="18"/>
      <c r="C90" s="18"/>
      <c r="D90" s="18"/>
      <c r="E90" s="18"/>
      <c r="F90" s="18"/>
      <c r="G90" s="18"/>
      <c r="H90" s="18"/>
      <c r="I90" s="57"/>
    </row>
    <row r="91" spans="1:9" x14ac:dyDescent="0.3">
      <c r="A91" s="57"/>
      <c r="B91" s="18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B92" s="18"/>
      <c r="C92" s="18"/>
      <c r="D92" s="18"/>
      <c r="E92" s="18"/>
      <c r="F92" s="18"/>
      <c r="G92" s="18"/>
      <c r="H92" s="18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</sheetData>
  <mergeCells count="3">
    <mergeCell ref="B1:H1"/>
    <mergeCell ref="B2:H2"/>
    <mergeCell ref="B3:H3"/>
  </mergeCells>
  <hyperlinks>
    <hyperlink ref="J2" location="MASTER!A1" display="Back" xr:uid="{00000000-0004-0000-1E00-000000000000}"/>
  </hyperlinks>
  <pageMargins left="0.7" right="0.7" top="0.75" bottom="0.75" header="0.3" footer="0.3"/>
  <ignoredErrors>
    <ignoredError sqref="E35:H39 E40 E41:F45 F40 E58:H58 E46:F55 K8:N9 K11:L11 K10:L10 N10 N11 M10:M11 E57:G57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03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4" max="4" width="17.8867187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648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42186</v>
      </c>
      <c r="C5" s="24" t="s">
        <v>23</v>
      </c>
      <c r="D5" s="26" t="s">
        <v>24</v>
      </c>
      <c r="E5" s="29">
        <v>26500</v>
      </c>
      <c r="F5" s="29">
        <v>26430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42187</v>
      </c>
      <c r="C6" s="24" t="s">
        <v>23</v>
      </c>
      <c r="D6" s="26" t="s">
        <v>24</v>
      </c>
      <c r="E6" s="29">
        <v>26330</v>
      </c>
      <c r="F6" s="29">
        <v>26160</v>
      </c>
      <c r="G6" s="29">
        <v>100</v>
      </c>
      <c r="H6" s="29">
        <v>17000</v>
      </c>
      <c r="I6" s="20"/>
      <c r="J6" s="34"/>
    </row>
    <row r="7" spans="1:14" x14ac:dyDescent="0.3">
      <c r="A7" s="20"/>
      <c r="B7" s="71">
        <v>42188</v>
      </c>
      <c r="C7" s="24" t="s">
        <v>55</v>
      </c>
      <c r="D7" s="26" t="s">
        <v>24</v>
      </c>
      <c r="E7" s="29">
        <v>26300</v>
      </c>
      <c r="F7" s="29">
        <v>26370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42191</v>
      </c>
      <c r="C8" s="24" t="s">
        <v>23</v>
      </c>
      <c r="D8" s="26" t="s">
        <v>24</v>
      </c>
      <c r="E8" s="29">
        <v>26330</v>
      </c>
      <c r="F8" s="29">
        <v>26210</v>
      </c>
      <c r="G8" s="29">
        <v>100</v>
      </c>
      <c r="H8" s="29">
        <v>12000</v>
      </c>
      <c r="I8" s="20"/>
      <c r="J8" s="100" t="s">
        <v>257</v>
      </c>
      <c r="K8" s="49" t="s">
        <v>435</v>
      </c>
      <c r="L8" s="101" t="s">
        <v>491</v>
      </c>
      <c r="M8" s="101" t="s">
        <v>261</v>
      </c>
      <c r="N8" s="101" t="s">
        <v>290</v>
      </c>
    </row>
    <row r="9" spans="1:14" x14ac:dyDescent="0.3">
      <c r="A9" s="20"/>
      <c r="B9" s="71">
        <v>42192</v>
      </c>
      <c r="C9" s="24" t="s">
        <v>23</v>
      </c>
      <c r="D9" s="26" t="s">
        <v>24</v>
      </c>
      <c r="E9" s="29">
        <v>26250</v>
      </c>
      <c r="F9" s="29">
        <v>26070</v>
      </c>
      <c r="G9" s="29">
        <v>100</v>
      </c>
      <c r="H9" s="29">
        <v>18000</v>
      </c>
      <c r="I9" s="20"/>
      <c r="J9" s="100" t="s">
        <v>258</v>
      </c>
      <c r="K9" s="101" t="s">
        <v>435</v>
      </c>
      <c r="L9" s="101" t="s">
        <v>491</v>
      </c>
      <c r="M9" s="101" t="s">
        <v>299</v>
      </c>
      <c r="N9" s="101" t="s">
        <v>262</v>
      </c>
    </row>
    <row r="10" spans="1:14" x14ac:dyDescent="0.3">
      <c r="A10" s="20"/>
      <c r="B10" s="71">
        <v>42193</v>
      </c>
      <c r="C10" s="24" t="s">
        <v>23</v>
      </c>
      <c r="D10" s="26" t="s">
        <v>24</v>
      </c>
      <c r="E10" s="29">
        <v>25950</v>
      </c>
      <c r="F10" s="29">
        <v>25890</v>
      </c>
      <c r="G10" s="29">
        <v>100</v>
      </c>
      <c r="H10" s="29">
        <v>7000</v>
      </c>
      <c r="I10" s="20"/>
      <c r="J10" s="100" t="s">
        <v>259</v>
      </c>
      <c r="K10" s="101" t="s">
        <v>435</v>
      </c>
      <c r="L10" s="101" t="s">
        <v>491</v>
      </c>
      <c r="M10" s="101" t="s">
        <v>299</v>
      </c>
      <c r="N10" s="101" t="s">
        <v>262</v>
      </c>
    </row>
    <row r="11" spans="1:14" x14ac:dyDescent="0.3">
      <c r="A11" s="20"/>
      <c r="B11" s="71">
        <v>42194</v>
      </c>
      <c r="C11" s="24" t="s">
        <v>23</v>
      </c>
      <c r="D11" s="26" t="s">
        <v>24</v>
      </c>
      <c r="E11" s="29">
        <v>26090</v>
      </c>
      <c r="F11" s="29">
        <v>26090</v>
      </c>
      <c r="G11" s="29">
        <v>100</v>
      </c>
      <c r="H11" s="29">
        <v>0</v>
      </c>
      <c r="I11" s="20"/>
      <c r="J11" s="100" t="s">
        <v>300</v>
      </c>
      <c r="K11" s="104" t="s">
        <v>670</v>
      </c>
      <c r="L11" s="101" t="s">
        <v>671</v>
      </c>
      <c r="M11" s="101" t="s">
        <v>436</v>
      </c>
      <c r="N11" s="101" t="s">
        <v>290</v>
      </c>
    </row>
    <row r="12" spans="1:14" x14ac:dyDescent="0.3">
      <c r="A12" s="20"/>
      <c r="B12" s="71">
        <v>42195</v>
      </c>
      <c r="C12" s="24" t="s">
        <v>23</v>
      </c>
      <c r="D12" s="26" t="s">
        <v>24</v>
      </c>
      <c r="E12" s="29">
        <v>26120</v>
      </c>
      <c r="F12" s="29">
        <v>26050</v>
      </c>
      <c r="G12" s="29">
        <v>100</v>
      </c>
      <c r="H12" s="69">
        <v>7000</v>
      </c>
      <c r="I12" s="20"/>
      <c r="J12" s="34"/>
    </row>
    <row r="13" spans="1:14" x14ac:dyDescent="0.3">
      <c r="A13" s="20"/>
      <c r="B13" s="71">
        <v>42198</v>
      </c>
      <c r="C13" s="24" t="s">
        <v>23</v>
      </c>
      <c r="D13" s="26" t="s">
        <v>24</v>
      </c>
      <c r="E13" s="29">
        <v>26000</v>
      </c>
      <c r="F13" s="29">
        <v>25945</v>
      </c>
      <c r="G13" s="29">
        <v>100</v>
      </c>
      <c r="H13" s="69">
        <v>5500</v>
      </c>
      <c r="I13" s="20"/>
      <c r="J13" s="34"/>
      <c r="K13" s="87" t="s">
        <v>493</v>
      </c>
      <c r="L13" s="88"/>
      <c r="M13" s="89"/>
    </row>
    <row r="14" spans="1:14" x14ac:dyDescent="0.3">
      <c r="A14" s="20"/>
      <c r="B14" s="71">
        <v>42199</v>
      </c>
      <c r="C14" s="24" t="s">
        <v>23</v>
      </c>
      <c r="D14" s="26" t="s">
        <v>24</v>
      </c>
      <c r="E14" s="29">
        <v>25990</v>
      </c>
      <c r="F14" s="29">
        <v>25920</v>
      </c>
      <c r="G14" s="29">
        <v>100</v>
      </c>
      <c r="H14" s="69">
        <v>7000</v>
      </c>
      <c r="I14" s="20"/>
      <c r="J14" s="34"/>
    </row>
    <row r="15" spans="1:14" x14ac:dyDescent="0.3">
      <c r="A15" s="20"/>
      <c r="B15" s="71">
        <v>42200</v>
      </c>
      <c r="C15" s="24" t="s">
        <v>23</v>
      </c>
      <c r="D15" s="26" t="s">
        <v>24</v>
      </c>
      <c r="E15" s="29">
        <v>25940</v>
      </c>
      <c r="F15" s="29">
        <v>25770</v>
      </c>
      <c r="G15" s="29">
        <v>100</v>
      </c>
      <c r="H15" s="69">
        <v>17000</v>
      </c>
      <c r="I15" s="20"/>
      <c r="J15" s="34"/>
    </row>
    <row r="16" spans="1:14" x14ac:dyDescent="0.3">
      <c r="A16" s="20"/>
      <c r="B16" s="71">
        <v>42201</v>
      </c>
      <c r="C16" s="24" t="s">
        <v>23</v>
      </c>
      <c r="D16" s="26" t="s">
        <v>24</v>
      </c>
      <c r="E16" s="29">
        <v>25785</v>
      </c>
      <c r="F16" s="29">
        <v>25715</v>
      </c>
      <c r="G16" s="29">
        <v>100</v>
      </c>
      <c r="H16" s="69">
        <v>7000</v>
      </c>
      <c r="I16" s="20"/>
      <c r="J16" s="34"/>
    </row>
    <row r="17" spans="1:10" x14ac:dyDescent="0.3">
      <c r="A17" s="20"/>
      <c r="B17" s="71">
        <v>42202</v>
      </c>
      <c r="C17" s="24" t="s">
        <v>23</v>
      </c>
      <c r="D17" s="26" t="s">
        <v>24</v>
      </c>
      <c r="E17" s="29">
        <v>25730</v>
      </c>
      <c r="F17" s="29">
        <v>25560</v>
      </c>
      <c r="G17" s="29">
        <v>100</v>
      </c>
      <c r="H17" s="69">
        <v>17000</v>
      </c>
      <c r="I17" s="20"/>
      <c r="J17" s="34"/>
    </row>
    <row r="18" spans="1:10" x14ac:dyDescent="0.3">
      <c r="A18" s="20"/>
      <c r="B18" s="71">
        <v>42205</v>
      </c>
      <c r="C18" s="24" t="s">
        <v>23</v>
      </c>
      <c r="D18" s="26" t="s">
        <v>24</v>
      </c>
      <c r="E18" s="29">
        <v>24950</v>
      </c>
      <c r="F18" s="29">
        <v>25050</v>
      </c>
      <c r="G18" s="29">
        <v>100</v>
      </c>
      <c r="H18" s="69">
        <v>-10000</v>
      </c>
      <c r="I18" s="20"/>
      <c r="J18" s="34"/>
    </row>
    <row r="19" spans="1:10" x14ac:dyDescent="0.3">
      <c r="A19" s="20"/>
      <c r="B19" s="71">
        <v>42206</v>
      </c>
      <c r="C19" s="24" t="s">
        <v>23</v>
      </c>
      <c r="D19" s="26" t="s">
        <v>24</v>
      </c>
      <c r="E19" s="29">
        <v>24940</v>
      </c>
      <c r="F19" s="29">
        <v>24890</v>
      </c>
      <c r="G19" s="29">
        <v>100</v>
      </c>
      <c r="H19" s="69">
        <v>5000</v>
      </c>
      <c r="I19" s="20"/>
      <c r="J19" s="34"/>
    </row>
    <row r="20" spans="1:10" ht="15.6" x14ac:dyDescent="0.3">
      <c r="A20" s="20"/>
      <c r="B20" s="71">
        <v>42207</v>
      </c>
      <c r="C20" s="24" t="s">
        <v>23</v>
      </c>
      <c r="D20" s="26" t="s">
        <v>24</v>
      </c>
      <c r="E20" s="29">
        <v>24680</v>
      </c>
      <c r="F20" s="29">
        <v>24580</v>
      </c>
      <c r="G20" s="29">
        <v>100</v>
      </c>
      <c r="H20" s="79">
        <v>10000</v>
      </c>
      <c r="I20" s="20"/>
      <c r="J20" s="34"/>
    </row>
    <row r="21" spans="1:10" x14ac:dyDescent="0.3">
      <c r="A21" s="20"/>
      <c r="B21" s="71">
        <v>42208</v>
      </c>
      <c r="C21" s="24" t="s">
        <v>23</v>
      </c>
      <c r="D21" s="26" t="s">
        <v>24</v>
      </c>
      <c r="E21" s="29">
        <v>24780</v>
      </c>
      <c r="F21" s="29">
        <v>24880</v>
      </c>
      <c r="G21" s="29">
        <v>100</v>
      </c>
      <c r="H21" s="69">
        <v>-10000</v>
      </c>
      <c r="I21" s="20"/>
      <c r="J21" s="34"/>
    </row>
    <row r="22" spans="1:10" x14ac:dyDescent="0.3">
      <c r="A22" s="20"/>
      <c r="B22" s="71">
        <v>42209</v>
      </c>
      <c r="C22" s="24" t="s">
        <v>23</v>
      </c>
      <c r="D22" s="26" t="s">
        <v>24</v>
      </c>
      <c r="E22" s="29">
        <v>24540</v>
      </c>
      <c r="F22" s="29">
        <v>24470</v>
      </c>
      <c r="G22" s="29">
        <v>100</v>
      </c>
      <c r="H22" s="69">
        <v>7000</v>
      </c>
      <c r="I22" s="20"/>
      <c r="J22" s="34"/>
    </row>
    <row r="23" spans="1:10" x14ac:dyDescent="0.3">
      <c r="A23" s="20"/>
      <c r="B23" s="71">
        <v>42212</v>
      </c>
      <c r="C23" s="24" t="s">
        <v>23</v>
      </c>
      <c r="D23" s="26" t="s">
        <v>24</v>
      </c>
      <c r="E23" s="29">
        <v>24910</v>
      </c>
      <c r="F23" s="29">
        <v>24770</v>
      </c>
      <c r="G23" s="29">
        <v>100</v>
      </c>
      <c r="H23" s="69">
        <v>14000</v>
      </c>
      <c r="I23" s="20"/>
      <c r="J23" s="34"/>
    </row>
    <row r="24" spans="1:10" x14ac:dyDescent="0.3">
      <c r="A24" s="20"/>
      <c r="B24" s="71">
        <v>42213</v>
      </c>
      <c r="C24" s="24" t="s">
        <v>23</v>
      </c>
      <c r="D24" s="26" t="s">
        <v>24</v>
      </c>
      <c r="E24" s="29">
        <v>24810</v>
      </c>
      <c r="F24" s="29">
        <v>24740</v>
      </c>
      <c r="G24" s="29">
        <v>100</v>
      </c>
      <c r="H24" s="69">
        <v>7000</v>
      </c>
      <c r="I24" s="20"/>
      <c r="J24" s="34"/>
    </row>
    <row r="25" spans="1:10" x14ac:dyDescent="0.3">
      <c r="A25" s="20"/>
      <c r="B25" s="71">
        <v>42214</v>
      </c>
      <c r="C25" s="24" t="s">
        <v>23</v>
      </c>
      <c r="D25" s="26" t="s">
        <v>24</v>
      </c>
      <c r="E25" s="26">
        <v>24800</v>
      </c>
      <c r="F25" s="26">
        <v>24730</v>
      </c>
      <c r="G25" s="29">
        <v>100</v>
      </c>
      <c r="H25" s="69">
        <v>7000</v>
      </c>
      <c r="I25" s="20"/>
      <c r="J25" s="34"/>
    </row>
    <row r="26" spans="1:10" x14ac:dyDescent="0.3">
      <c r="A26" s="20"/>
      <c r="B26" s="71">
        <v>42215</v>
      </c>
      <c r="C26" s="24" t="s">
        <v>23</v>
      </c>
      <c r="D26" s="26" t="s">
        <v>24</v>
      </c>
      <c r="E26" s="26">
        <v>24690</v>
      </c>
      <c r="F26" s="26">
        <v>24620</v>
      </c>
      <c r="G26" s="29">
        <v>100</v>
      </c>
      <c r="H26" s="69">
        <v>7000</v>
      </c>
      <c r="I26" s="20"/>
    </row>
    <row r="27" spans="1:10" x14ac:dyDescent="0.3">
      <c r="A27" s="20"/>
      <c r="B27" s="71">
        <v>42216</v>
      </c>
      <c r="C27" s="29" t="s">
        <v>23</v>
      </c>
      <c r="D27" s="26" t="s">
        <v>24</v>
      </c>
      <c r="E27" s="36">
        <v>24590</v>
      </c>
      <c r="F27" s="29">
        <v>24690</v>
      </c>
      <c r="G27" s="29">
        <v>100</v>
      </c>
      <c r="H27" s="69">
        <v>-10000</v>
      </c>
      <c r="I27" s="20"/>
    </row>
    <row r="28" spans="1:10" ht="18" x14ac:dyDescent="0.35">
      <c r="A28" s="20"/>
      <c r="B28" s="71"/>
      <c r="C28" s="29"/>
      <c r="D28" s="36"/>
      <c r="E28" s="36"/>
      <c r="F28" s="29"/>
      <c r="G28" s="29"/>
      <c r="H28" s="105">
        <v>155500</v>
      </c>
      <c r="I28" s="20"/>
    </row>
    <row r="29" spans="1:10" ht="15.6" x14ac:dyDescent="0.3">
      <c r="A29" s="20"/>
      <c r="B29" s="71"/>
      <c r="C29" s="29"/>
      <c r="D29" s="36"/>
      <c r="E29" s="36"/>
      <c r="F29" s="29"/>
      <c r="G29" s="29"/>
      <c r="H29" s="80"/>
      <c r="I29" s="20"/>
    </row>
    <row r="30" spans="1:10" x14ac:dyDescent="0.3">
      <c r="A30" s="20"/>
      <c r="B30" s="71"/>
      <c r="C30" s="29"/>
      <c r="D30" s="36"/>
      <c r="E30" s="36"/>
      <c r="F30" s="29"/>
      <c r="G30" s="29"/>
      <c r="H30" s="29"/>
      <c r="I30" s="20"/>
    </row>
    <row r="31" spans="1:10" x14ac:dyDescent="0.3">
      <c r="A31" s="20"/>
      <c r="B31" s="71"/>
      <c r="C31" s="29"/>
      <c r="D31" s="36"/>
      <c r="E31" s="36"/>
      <c r="F31" s="29"/>
      <c r="G31" s="29"/>
      <c r="H31" s="29"/>
      <c r="I31" s="20"/>
    </row>
    <row r="32" spans="1:10" ht="15.6" x14ac:dyDescent="0.3">
      <c r="A32" s="20"/>
      <c r="B32" s="61" t="s">
        <v>649</v>
      </c>
      <c r="C32" s="62"/>
      <c r="D32" s="63"/>
      <c r="E32" s="62"/>
      <c r="F32" s="62"/>
      <c r="G32" s="62"/>
      <c r="H32" s="62"/>
      <c r="I32" s="20"/>
    </row>
    <row r="33" spans="1:9" x14ac:dyDescent="0.3">
      <c r="A33" s="20"/>
      <c r="B33" s="71">
        <v>42186</v>
      </c>
      <c r="C33" s="24" t="s">
        <v>23</v>
      </c>
      <c r="D33" s="24" t="s">
        <v>25</v>
      </c>
      <c r="E33" s="49" t="s">
        <v>636</v>
      </c>
      <c r="F33" s="49" t="s">
        <v>413</v>
      </c>
      <c r="G33" s="25">
        <v>100</v>
      </c>
      <c r="H33" s="29">
        <v>5500</v>
      </c>
      <c r="I33" s="20"/>
    </row>
    <row r="34" spans="1:9" x14ac:dyDescent="0.3">
      <c r="A34" s="20"/>
      <c r="B34" s="71">
        <v>42187</v>
      </c>
      <c r="C34" s="24" t="s">
        <v>23</v>
      </c>
      <c r="D34" s="24" t="s">
        <v>25</v>
      </c>
      <c r="E34" s="83" t="s">
        <v>651</v>
      </c>
      <c r="F34" s="49" t="s">
        <v>652</v>
      </c>
      <c r="G34" s="25">
        <v>100</v>
      </c>
      <c r="H34" s="29">
        <v>-3500</v>
      </c>
      <c r="I34" s="20"/>
    </row>
    <row r="35" spans="1:9" x14ac:dyDescent="0.3">
      <c r="A35" s="20"/>
      <c r="B35" s="71">
        <v>42188</v>
      </c>
      <c r="C35" s="24" t="s">
        <v>23</v>
      </c>
      <c r="D35" s="24" t="s">
        <v>25</v>
      </c>
      <c r="E35" s="49" t="s">
        <v>426</v>
      </c>
      <c r="F35" s="49" t="s">
        <v>653</v>
      </c>
      <c r="G35" s="25">
        <v>100</v>
      </c>
      <c r="H35" s="29">
        <v>6000</v>
      </c>
      <c r="I35" s="20"/>
    </row>
    <row r="36" spans="1:9" x14ac:dyDescent="0.3">
      <c r="A36" s="20"/>
      <c r="B36" s="71">
        <v>42191</v>
      </c>
      <c r="C36" s="24" t="s">
        <v>23</v>
      </c>
      <c r="D36" s="24" t="s">
        <v>25</v>
      </c>
      <c r="E36" s="49" t="s">
        <v>654</v>
      </c>
      <c r="F36" s="49" t="s">
        <v>423</v>
      </c>
      <c r="G36" s="25">
        <v>100</v>
      </c>
      <c r="H36" s="29">
        <v>5500</v>
      </c>
      <c r="I36" s="20"/>
    </row>
    <row r="37" spans="1:9" x14ac:dyDescent="0.3">
      <c r="A37" s="20"/>
      <c r="B37" s="71">
        <v>42192</v>
      </c>
      <c r="C37" s="24" t="s">
        <v>23</v>
      </c>
      <c r="D37" s="24" t="s">
        <v>25</v>
      </c>
      <c r="E37" s="49" t="s">
        <v>655</v>
      </c>
      <c r="F37" s="49" t="s">
        <v>573</v>
      </c>
      <c r="G37" s="25">
        <v>100</v>
      </c>
      <c r="H37" s="29">
        <v>6500</v>
      </c>
      <c r="I37" s="20"/>
    </row>
    <row r="38" spans="1:9" x14ac:dyDescent="0.3">
      <c r="A38" s="20"/>
      <c r="B38" s="71">
        <v>42193</v>
      </c>
      <c r="C38" s="24" t="s">
        <v>23</v>
      </c>
      <c r="D38" s="24" t="s">
        <v>25</v>
      </c>
      <c r="E38" s="49" t="s">
        <v>656</v>
      </c>
      <c r="F38" s="49" t="s">
        <v>657</v>
      </c>
      <c r="G38" s="25">
        <v>100</v>
      </c>
      <c r="H38" s="29">
        <v>-4000</v>
      </c>
      <c r="I38" s="20"/>
    </row>
    <row r="39" spans="1:9" x14ac:dyDescent="0.3">
      <c r="A39" s="20"/>
      <c r="B39" s="71">
        <v>42194</v>
      </c>
      <c r="C39" s="24" t="s">
        <v>23</v>
      </c>
      <c r="D39" s="24" t="s">
        <v>25</v>
      </c>
      <c r="E39" s="49" t="s">
        <v>657</v>
      </c>
      <c r="F39" s="49" t="s">
        <v>658</v>
      </c>
      <c r="G39" s="25">
        <v>100</v>
      </c>
      <c r="H39" s="29">
        <v>1500</v>
      </c>
      <c r="I39" s="20"/>
    </row>
    <row r="40" spans="1:9" x14ac:dyDescent="0.3">
      <c r="A40" s="20"/>
      <c r="B40" s="71">
        <v>42195</v>
      </c>
      <c r="C40" s="24" t="s">
        <v>23</v>
      </c>
      <c r="D40" s="24" t="s">
        <v>25</v>
      </c>
      <c r="E40" s="49" t="s">
        <v>659</v>
      </c>
      <c r="F40" s="49" t="s">
        <v>660</v>
      </c>
      <c r="G40" s="25">
        <v>100</v>
      </c>
      <c r="H40" s="29">
        <v>6000</v>
      </c>
      <c r="I40" s="20"/>
    </row>
    <row r="41" spans="1:9" x14ac:dyDescent="0.3">
      <c r="A41" s="20"/>
      <c r="B41" s="71">
        <v>42198</v>
      </c>
      <c r="C41" s="24" t="s">
        <v>23</v>
      </c>
      <c r="D41" s="24" t="s">
        <v>25</v>
      </c>
      <c r="E41" s="49" t="s">
        <v>656</v>
      </c>
      <c r="F41" s="49" t="s">
        <v>661</v>
      </c>
      <c r="G41" s="25">
        <v>100</v>
      </c>
      <c r="H41" s="29">
        <v>-3000</v>
      </c>
      <c r="I41" s="20"/>
    </row>
    <row r="42" spans="1:9" x14ac:dyDescent="0.3">
      <c r="A42" s="20"/>
      <c r="B42" s="71">
        <v>42199</v>
      </c>
      <c r="C42" s="24" t="s">
        <v>23</v>
      </c>
      <c r="D42" s="24" t="s">
        <v>25</v>
      </c>
      <c r="E42" s="49" t="s">
        <v>662</v>
      </c>
      <c r="F42" s="49" t="s">
        <v>663</v>
      </c>
      <c r="G42" s="25">
        <v>100</v>
      </c>
      <c r="H42" s="29">
        <v>1500</v>
      </c>
      <c r="I42" s="20"/>
    </row>
    <row r="43" spans="1:9" x14ac:dyDescent="0.3">
      <c r="A43" s="20"/>
      <c r="B43" s="71">
        <v>42200</v>
      </c>
      <c r="C43" s="24" t="s">
        <v>23</v>
      </c>
      <c r="D43" s="24" t="s">
        <v>25</v>
      </c>
      <c r="E43" s="49" t="s">
        <v>664</v>
      </c>
      <c r="F43" s="49" t="s">
        <v>665</v>
      </c>
      <c r="G43" s="25">
        <v>100</v>
      </c>
      <c r="H43" s="29">
        <v>6500</v>
      </c>
      <c r="I43" s="20"/>
    </row>
    <row r="44" spans="1:9" x14ac:dyDescent="0.3">
      <c r="A44" s="20"/>
      <c r="B44" s="71">
        <v>42201</v>
      </c>
      <c r="C44" s="24" t="s">
        <v>23</v>
      </c>
      <c r="D44" s="24" t="s">
        <v>25</v>
      </c>
      <c r="E44" s="49" t="s">
        <v>466</v>
      </c>
      <c r="F44" s="49" t="s">
        <v>666</v>
      </c>
      <c r="G44" s="25">
        <v>100</v>
      </c>
      <c r="H44" s="29">
        <v>3500</v>
      </c>
      <c r="I44" s="20"/>
    </row>
    <row r="45" spans="1:9" x14ac:dyDescent="0.3">
      <c r="A45" s="20"/>
      <c r="B45" s="71">
        <v>42202</v>
      </c>
      <c r="C45" s="24" t="s">
        <v>23</v>
      </c>
      <c r="D45" s="24" t="s">
        <v>25</v>
      </c>
      <c r="E45" s="49" t="s">
        <v>663</v>
      </c>
      <c r="F45" s="49" t="s">
        <v>499</v>
      </c>
      <c r="G45" s="25">
        <v>100</v>
      </c>
      <c r="H45" s="29">
        <v>4500</v>
      </c>
      <c r="I45" s="20"/>
    </row>
    <row r="46" spans="1:9" x14ac:dyDescent="0.3">
      <c r="A46" s="20"/>
      <c r="B46" s="71">
        <v>42205</v>
      </c>
      <c r="C46" s="24" t="s">
        <v>23</v>
      </c>
      <c r="D46" s="24" t="s">
        <v>25</v>
      </c>
      <c r="E46" s="49" t="s">
        <v>663</v>
      </c>
      <c r="F46" s="49" t="s">
        <v>667</v>
      </c>
      <c r="G46" s="25">
        <v>100</v>
      </c>
      <c r="H46" s="29">
        <v>5000</v>
      </c>
      <c r="I46" s="20"/>
    </row>
    <row r="47" spans="1:9" x14ac:dyDescent="0.3">
      <c r="A47" s="20"/>
      <c r="B47" s="71">
        <v>42206</v>
      </c>
      <c r="C47" s="24" t="s">
        <v>23</v>
      </c>
      <c r="D47" s="24" t="s">
        <v>25</v>
      </c>
      <c r="E47" s="49" t="s">
        <v>511</v>
      </c>
      <c r="F47" s="49" t="s">
        <v>572</v>
      </c>
      <c r="G47" s="25">
        <v>100</v>
      </c>
      <c r="H47" s="29">
        <v>1500</v>
      </c>
      <c r="I47" s="20"/>
    </row>
    <row r="48" spans="1:9" x14ac:dyDescent="0.3">
      <c r="A48" s="20"/>
      <c r="B48" s="71">
        <v>42207</v>
      </c>
      <c r="C48" s="24" t="s">
        <v>23</v>
      </c>
      <c r="D48" s="24" t="s">
        <v>25</v>
      </c>
      <c r="E48" s="49" t="s">
        <v>572</v>
      </c>
      <c r="F48" s="49" t="s">
        <v>667</v>
      </c>
      <c r="G48" s="25">
        <v>100</v>
      </c>
      <c r="H48" s="29">
        <v>2500</v>
      </c>
      <c r="I48" s="20"/>
    </row>
    <row r="49" spans="1:9" x14ac:dyDescent="0.3">
      <c r="A49" s="20"/>
      <c r="B49" s="71">
        <v>42208</v>
      </c>
      <c r="C49" s="24" t="s">
        <v>23</v>
      </c>
      <c r="D49" s="24" t="s">
        <v>25</v>
      </c>
      <c r="E49" s="49" t="s">
        <v>542</v>
      </c>
      <c r="F49" s="49" t="s">
        <v>465</v>
      </c>
      <c r="G49" s="25">
        <v>100</v>
      </c>
      <c r="H49" s="29">
        <v>6000</v>
      </c>
      <c r="I49" s="20"/>
    </row>
    <row r="50" spans="1:9" x14ac:dyDescent="0.3">
      <c r="A50" s="20"/>
      <c r="B50" s="71">
        <v>42209</v>
      </c>
      <c r="C50" s="24" t="s">
        <v>23</v>
      </c>
      <c r="D50" s="24" t="s">
        <v>25</v>
      </c>
      <c r="E50" s="49" t="s">
        <v>663</v>
      </c>
      <c r="F50" s="49" t="s">
        <v>465</v>
      </c>
      <c r="G50" s="25">
        <v>100</v>
      </c>
      <c r="H50" s="29">
        <v>3500</v>
      </c>
      <c r="I50" s="20"/>
    </row>
    <row r="51" spans="1:9" x14ac:dyDescent="0.3">
      <c r="A51" s="20"/>
      <c r="B51" s="71">
        <v>42212</v>
      </c>
      <c r="C51" s="24" t="s">
        <v>23</v>
      </c>
      <c r="D51" s="24" t="s">
        <v>25</v>
      </c>
      <c r="E51" s="49" t="s">
        <v>668</v>
      </c>
      <c r="F51" s="49" t="s">
        <v>669</v>
      </c>
      <c r="G51" s="25">
        <v>100</v>
      </c>
      <c r="H51" s="29">
        <v>3500</v>
      </c>
      <c r="I51" s="20"/>
    </row>
    <row r="52" spans="1:9" x14ac:dyDescent="0.3">
      <c r="A52" s="20"/>
      <c r="B52" s="71">
        <v>42213</v>
      </c>
      <c r="C52" s="97" t="s">
        <v>23</v>
      </c>
      <c r="D52" s="24" t="s">
        <v>25</v>
      </c>
      <c r="E52" s="97">
        <v>3035</v>
      </c>
      <c r="F52" s="97">
        <v>3010</v>
      </c>
      <c r="G52" s="25">
        <v>100</v>
      </c>
      <c r="H52" s="69">
        <v>2500</v>
      </c>
      <c r="I52" s="20"/>
    </row>
    <row r="53" spans="1:9" x14ac:dyDescent="0.3">
      <c r="A53" s="20"/>
      <c r="B53" s="71">
        <v>42214</v>
      </c>
      <c r="C53" s="97" t="s">
        <v>23</v>
      </c>
      <c r="D53" s="24" t="s">
        <v>25</v>
      </c>
      <c r="E53" s="97">
        <v>3065</v>
      </c>
      <c r="F53" s="97">
        <v>3048</v>
      </c>
      <c r="G53" s="25">
        <v>100</v>
      </c>
      <c r="H53" s="69">
        <v>1700</v>
      </c>
      <c r="I53" s="20"/>
    </row>
    <row r="54" spans="1:9" ht="15.6" x14ac:dyDescent="0.3">
      <c r="A54" s="20"/>
      <c r="B54" s="71">
        <v>42215</v>
      </c>
      <c r="C54" s="24" t="s">
        <v>23</v>
      </c>
      <c r="D54" s="24" t="s">
        <v>26</v>
      </c>
      <c r="E54" s="97">
        <v>183</v>
      </c>
      <c r="F54" s="97">
        <v>179</v>
      </c>
      <c r="G54" s="25">
        <v>1250</v>
      </c>
      <c r="H54" s="79">
        <v>5000</v>
      </c>
      <c r="I54" s="20"/>
    </row>
    <row r="55" spans="1:9" x14ac:dyDescent="0.3">
      <c r="A55" s="20"/>
      <c r="B55" s="71">
        <v>42216</v>
      </c>
      <c r="C55" s="29" t="s">
        <v>23</v>
      </c>
      <c r="D55" s="24" t="s">
        <v>25</v>
      </c>
      <c r="E55" s="29">
        <v>3100</v>
      </c>
      <c r="F55" s="29">
        <v>3065</v>
      </c>
      <c r="G55" s="25">
        <v>100</v>
      </c>
      <c r="H55" s="29">
        <v>3500</v>
      </c>
      <c r="I55" s="20"/>
    </row>
    <row r="56" spans="1:9" ht="18" x14ac:dyDescent="0.35">
      <c r="A56" s="20"/>
      <c r="B56" s="71"/>
      <c r="C56" s="29"/>
      <c r="D56" s="36"/>
      <c r="E56" s="29"/>
      <c r="F56" s="29"/>
      <c r="G56" s="29"/>
      <c r="H56" s="105">
        <v>71200</v>
      </c>
      <c r="I56" s="20"/>
    </row>
    <row r="57" spans="1:9" x14ac:dyDescent="0.3">
      <c r="A57" s="20"/>
      <c r="B57" s="71"/>
      <c r="C57" s="29"/>
      <c r="D57" s="36"/>
      <c r="E57" s="29"/>
      <c r="F57" s="29"/>
      <c r="G57" s="29"/>
      <c r="H57" s="29"/>
      <c r="I57" s="67"/>
    </row>
    <row r="58" spans="1:9" x14ac:dyDescent="0.3">
      <c r="A58" s="20"/>
      <c r="B58" s="71"/>
      <c r="C58" s="29"/>
      <c r="D58" s="36"/>
      <c r="E58" s="29"/>
      <c r="F58" s="29"/>
      <c r="G58" s="29"/>
      <c r="H58" s="29"/>
      <c r="I58" s="67"/>
    </row>
    <row r="59" spans="1:9" x14ac:dyDescent="0.3">
      <c r="A59" s="20"/>
      <c r="B59" s="71"/>
      <c r="C59" s="29"/>
      <c r="D59" s="36"/>
      <c r="E59" s="29"/>
      <c r="F59" s="29"/>
      <c r="G59" s="29"/>
      <c r="H59" s="29"/>
      <c r="I59" s="67"/>
    </row>
    <row r="60" spans="1:9" ht="15.6" x14ac:dyDescent="0.3">
      <c r="A60" s="20"/>
      <c r="B60" s="61" t="s">
        <v>650</v>
      </c>
      <c r="C60" s="62"/>
      <c r="D60" s="63"/>
      <c r="E60" s="62"/>
      <c r="F60" s="62"/>
      <c r="G60" s="62"/>
      <c r="H60" s="64"/>
      <c r="I60" s="67"/>
    </row>
    <row r="61" spans="1:9" x14ac:dyDescent="0.3">
      <c r="A61" s="20"/>
      <c r="B61" s="71">
        <v>42186</v>
      </c>
      <c r="C61" s="24" t="s">
        <v>23</v>
      </c>
      <c r="D61" s="24" t="s">
        <v>56</v>
      </c>
      <c r="E61" s="29">
        <v>106.3</v>
      </c>
      <c r="F61" s="29">
        <v>107.3</v>
      </c>
      <c r="G61" s="29">
        <v>5000</v>
      </c>
      <c r="H61" s="29">
        <v>-5000</v>
      </c>
      <c r="I61" s="67"/>
    </row>
    <row r="62" spans="1:9" x14ac:dyDescent="0.3">
      <c r="A62" s="20"/>
      <c r="B62" s="71">
        <v>42187</v>
      </c>
      <c r="C62" s="24" t="s">
        <v>23</v>
      </c>
      <c r="D62" s="24" t="s">
        <v>29</v>
      </c>
      <c r="E62" s="29">
        <v>373.5</v>
      </c>
      <c r="F62" s="29">
        <v>372</v>
      </c>
      <c r="G62" s="29">
        <v>1000</v>
      </c>
      <c r="H62" s="29">
        <v>1500</v>
      </c>
      <c r="I62" s="67"/>
    </row>
    <row r="63" spans="1:9" x14ac:dyDescent="0.3">
      <c r="A63" s="20"/>
      <c r="B63" s="71">
        <v>42188</v>
      </c>
      <c r="C63" s="24" t="s">
        <v>23</v>
      </c>
      <c r="D63" s="24" t="s">
        <v>56</v>
      </c>
      <c r="E63" s="29">
        <v>108.6</v>
      </c>
      <c r="F63" s="29">
        <v>107.8</v>
      </c>
      <c r="G63" s="29">
        <v>5000</v>
      </c>
      <c r="H63" s="29">
        <v>4000</v>
      </c>
      <c r="I63" s="67"/>
    </row>
    <row r="64" spans="1:9" x14ac:dyDescent="0.3">
      <c r="A64" s="20"/>
      <c r="B64" s="71">
        <v>42191</v>
      </c>
      <c r="C64" s="24" t="s">
        <v>23</v>
      </c>
      <c r="D64" s="24" t="s">
        <v>56</v>
      </c>
      <c r="E64" s="29">
        <v>106.7</v>
      </c>
      <c r="F64" s="29">
        <v>105.9</v>
      </c>
      <c r="G64" s="29">
        <v>5000</v>
      </c>
      <c r="H64" s="29">
        <v>4000</v>
      </c>
      <c r="I64" s="67"/>
    </row>
    <row r="65" spans="1:9" x14ac:dyDescent="0.3">
      <c r="A65" s="20"/>
      <c r="B65" s="71">
        <v>42192</v>
      </c>
      <c r="C65" s="24" t="s">
        <v>23</v>
      </c>
      <c r="D65" s="24" t="s">
        <v>56</v>
      </c>
      <c r="E65" s="29">
        <v>105.8</v>
      </c>
      <c r="F65" s="29">
        <v>104.3</v>
      </c>
      <c r="G65" s="29">
        <v>5000</v>
      </c>
      <c r="H65" s="29">
        <v>7500</v>
      </c>
      <c r="I65" s="67"/>
    </row>
    <row r="66" spans="1:9" x14ac:dyDescent="0.3">
      <c r="A66" s="20"/>
      <c r="B66" s="71">
        <v>42193</v>
      </c>
      <c r="C66" s="24" t="s">
        <v>23</v>
      </c>
      <c r="D66" s="24" t="s">
        <v>56</v>
      </c>
      <c r="E66" s="29">
        <v>103.8</v>
      </c>
      <c r="F66" s="29">
        <v>102.8</v>
      </c>
      <c r="G66" s="29">
        <v>5000</v>
      </c>
      <c r="H66" s="29">
        <v>5000</v>
      </c>
      <c r="I66" s="67"/>
    </row>
    <row r="67" spans="1:9" x14ac:dyDescent="0.3">
      <c r="A67" s="20"/>
      <c r="B67" s="71">
        <v>42194</v>
      </c>
      <c r="C67" s="24" t="s">
        <v>23</v>
      </c>
      <c r="D67" s="24" t="s">
        <v>27</v>
      </c>
      <c r="E67" s="29">
        <v>112.8</v>
      </c>
      <c r="F67" s="29">
        <v>113.8</v>
      </c>
      <c r="G67" s="29">
        <v>5000</v>
      </c>
      <c r="H67" s="29">
        <v>-5000</v>
      </c>
      <c r="I67" s="67"/>
    </row>
    <row r="68" spans="1:9" x14ac:dyDescent="0.3">
      <c r="A68" s="20"/>
      <c r="B68" s="71">
        <v>42195</v>
      </c>
      <c r="C68" s="24" t="s">
        <v>23</v>
      </c>
      <c r="D68" s="24" t="s">
        <v>29</v>
      </c>
      <c r="E68" s="29">
        <v>359</v>
      </c>
      <c r="F68" s="29">
        <v>357</v>
      </c>
      <c r="G68" s="29">
        <v>1000</v>
      </c>
      <c r="H68" s="29">
        <v>2000</v>
      </c>
      <c r="I68" s="67"/>
    </row>
    <row r="69" spans="1:9" x14ac:dyDescent="0.3">
      <c r="A69" s="20"/>
      <c r="B69" s="71">
        <v>42198</v>
      </c>
      <c r="C69" s="24" t="s">
        <v>16</v>
      </c>
      <c r="D69" s="24" t="s">
        <v>28</v>
      </c>
      <c r="E69" s="29">
        <v>129.1</v>
      </c>
      <c r="F69" s="29">
        <v>130.6</v>
      </c>
      <c r="G69" s="29">
        <v>5000</v>
      </c>
      <c r="H69" s="29">
        <v>7500</v>
      </c>
      <c r="I69" s="67"/>
    </row>
    <row r="70" spans="1:9" x14ac:dyDescent="0.3">
      <c r="A70" s="20"/>
      <c r="B70" s="71">
        <v>42199</v>
      </c>
      <c r="C70" s="24" t="s">
        <v>23</v>
      </c>
      <c r="D70" s="24" t="s">
        <v>56</v>
      </c>
      <c r="E70" s="29">
        <v>106.7</v>
      </c>
      <c r="F70" s="29">
        <v>105.9</v>
      </c>
      <c r="G70" s="29">
        <v>5000</v>
      </c>
      <c r="H70" s="29">
        <v>4000</v>
      </c>
      <c r="I70" s="67"/>
    </row>
    <row r="71" spans="1:9" x14ac:dyDescent="0.3">
      <c r="A71" s="20"/>
      <c r="B71" s="71">
        <v>42200</v>
      </c>
      <c r="C71" s="24" t="s">
        <v>16</v>
      </c>
      <c r="D71" s="24" t="s">
        <v>56</v>
      </c>
      <c r="E71" s="26">
        <v>107.1</v>
      </c>
      <c r="F71" s="26">
        <v>107.6</v>
      </c>
      <c r="G71" s="29">
        <v>5000</v>
      </c>
      <c r="H71" s="29">
        <v>2500</v>
      </c>
      <c r="I71" s="67"/>
    </row>
    <row r="72" spans="1:9" x14ac:dyDescent="0.3">
      <c r="A72" s="20"/>
      <c r="B72" s="71">
        <v>42201</v>
      </c>
      <c r="C72" s="24" t="s">
        <v>23</v>
      </c>
      <c r="D72" s="24" t="s">
        <v>28</v>
      </c>
      <c r="E72" s="26">
        <v>132.69999999999999</v>
      </c>
      <c r="F72" s="26">
        <v>132.19999999999999</v>
      </c>
      <c r="G72" s="29">
        <v>5000</v>
      </c>
      <c r="H72" s="29">
        <v>2500</v>
      </c>
      <c r="I72" s="67"/>
    </row>
    <row r="73" spans="1:9" x14ac:dyDescent="0.3">
      <c r="A73" s="20"/>
      <c r="B73" s="71">
        <v>42202</v>
      </c>
      <c r="C73" s="24" t="s">
        <v>23</v>
      </c>
      <c r="D73" s="24" t="s">
        <v>28</v>
      </c>
      <c r="E73" s="26">
        <v>130.9</v>
      </c>
      <c r="F73" s="26">
        <v>130.69999999999999</v>
      </c>
      <c r="G73" s="29">
        <v>5000</v>
      </c>
      <c r="H73" s="29">
        <v>1000</v>
      </c>
      <c r="I73" s="67"/>
    </row>
    <row r="74" spans="1:9" x14ac:dyDescent="0.3">
      <c r="A74" s="20"/>
      <c r="B74" s="71">
        <v>42205</v>
      </c>
      <c r="C74" s="24" t="s">
        <v>23</v>
      </c>
      <c r="D74" s="24" t="s">
        <v>56</v>
      </c>
      <c r="E74" s="26">
        <v>105.6</v>
      </c>
      <c r="F74" s="26">
        <v>104.9</v>
      </c>
      <c r="G74" s="29">
        <v>5000</v>
      </c>
      <c r="H74" s="29">
        <v>3500</v>
      </c>
      <c r="I74" s="99"/>
    </row>
    <row r="75" spans="1:9" x14ac:dyDescent="0.3">
      <c r="A75" s="57"/>
      <c r="B75" s="71">
        <v>42206</v>
      </c>
      <c r="C75" s="24" t="s">
        <v>23</v>
      </c>
      <c r="D75" s="24" t="s">
        <v>56</v>
      </c>
      <c r="E75" s="26">
        <v>105.15</v>
      </c>
      <c r="F75" s="26">
        <v>103.65</v>
      </c>
      <c r="G75" s="29">
        <v>5000</v>
      </c>
      <c r="H75" s="29">
        <v>7500</v>
      </c>
      <c r="I75" s="57"/>
    </row>
    <row r="76" spans="1:9" x14ac:dyDescent="0.3">
      <c r="A76" s="57"/>
      <c r="B76" s="71">
        <v>42207</v>
      </c>
      <c r="C76" s="24" t="s">
        <v>23</v>
      </c>
      <c r="D76" s="24" t="s">
        <v>56</v>
      </c>
      <c r="E76" s="26">
        <v>103.2</v>
      </c>
      <c r="F76" s="26">
        <v>102.7</v>
      </c>
      <c r="G76" s="29">
        <v>5000</v>
      </c>
      <c r="H76" s="29">
        <v>2500</v>
      </c>
      <c r="I76" s="57"/>
    </row>
    <row r="77" spans="1:9" x14ac:dyDescent="0.3">
      <c r="A77" s="57"/>
      <c r="B77" s="71">
        <v>42208</v>
      </c>
      <c r="C77" s="24" t="s">
        <v>23</v>
      </c>
      <c r="D77" s="24" t="s">
        <v>56</v>
      </c>
      <c r="E77" s="26">
        <v>103.4</v>
      </c>
      <c r="F77" s="26">
        <v>102.4</v>
      </c>
      <c r="G77" s="29">
        <v>5000</v>
      </c>
      <c r="H77" s="29">
        <v>5000</v>
      </c>
      <c r="I77" s="57"/>
    </row>
    <row r="78" spans="1:9" x14ac:dyDescent="0.3">
      <c r="A78" s="57"/>
      <c r="B78" s="71">
        <v>42209</v>
      </c>
      <c r="C78" s="24" t="s">
        <v>23</v>
      </c>
      <c r="D78" s="24" t="s">
        <v>56</v>
      </c>
      <c r="E78" s="26">
        <v>102.5</v>
      </c>
      <c r="F78" s="26">
        <v>102</v>
      </c>
      <c r="G78" s="29">
        <v>5000</v>
      </c>
      <c r="H78" s="29">
        <v>2500</v>
      </c>
      <c r="I78" s="57"/>
    </row>
    <row r="79" spans="1:9" x14ac:dyDescent="0.3">
      <c r="A79" s="57"/>
      <c r="B79" s="71">
        <v>42212</v>
      </c>
      <c r="C79" s="24" t="s">
        <v>23</v>
      </c>
      <c r="D79" s="24" t="s">
        <v>28</v>
      </c>
      <c r="E79" s="29">
        <v>124.7</v>
      </c>
      <c r="F79" s="29">
        <v>123.7</v>
      </c>
      <c r="G79" s="29">
        <v>5000</v>
      </c>
      <c r="H79" s="29">
        <v>5000</v>
      </c>
      <c r="I79" s="57"/>
    </row>
    <row r="80" spans="1:9" x14ac:dyDescent="0.3">
      <c r="A80" s="57"/>
      <c r="B80" s="71">
        <v>42213</v>
      </c>
      <c r="C80" s="75" t="s">
        <v>23</v>
      </c>
      <c r="D80" s="75" t="s">
        <v>28</v>
      </c>
      <c r="E80" s="45">
        <v>123.9</v>
      </c>
      <c r="F80" s="75">
        <v>124.9</v>
      </c>
      <c r="G80" s="29">
        <v>5000</v>
      </c>
      <c r="H80" s="29">
        <v>-5000</v>
      </c>
      <c r="I80" s="57"/>
    </row>
    <row r="81" spans="1:9" x14ac:dyDescent="0.3">
      <c r="A81" s="57"/>
      <c r="B81" s="71">
        <v>42214</v>
      </c>
      <c r="C81" s="75" t="s">
        <v>23</v>
      </c>
      <c r="D81" s="75" t="s">
        <v>29</v>
      </c>
      <c r="E81" s="75">
        <v>342.5</v>
      </c>
      <c r="F81" s="75">
        <v>340</v>
      </c>
      <c r="G81" s="29">
        <v>1000</v>
      </c>
      <c r="H81" s="29">
        <v>2500</v>
      </c>
      <c r="I81" s="57"/>
    </row>
    <row r="82" spans="1:9" x14ac:dyDescent="0.3">
      <c r="A82" s="57"/>
      <c r="B82" s="71">
        <v>42215</v>
      </c>
      <c r="C82" s="75" t="s">
        <v>23</v>
      </c>
      <c r="D82" s="75" t="s">
        <v>56</v>
      </c>
      <c r="E82" s="75">
        <v>103.7</v>
      </c>
      <c r="F82" s="75">
        <v>102.7</v>
      </c>
      <c r="G82" s="29">
        <v>5000</v>
      </c>
      <c r="H82" s="69">
        <v>5000</v>
      </c>
      <c r="I82" s="57"/>
    </row>
    <row r="83" spans="1:9" x14ac:dyDescent="0.3">
      <c r="A83" s="57"/>
      <c r="B83" s="71">
        <v>42216</v>
      </c>
      <c r="C83" s="75" t="s">
        <v>23</v>
      </c>
      <c r="D83" s="75" t="s">
        <v>56</v>
      </c>
      <c r="E83" s="75">
        <v>104.4</v>
      </c>
      <c r="F83" s="75">
        <v>103.4</v>
      </c>
      <c r="G83" s="29">
        <v>5000</v>
      </c>
      <c r="H83" s="69">
        <v>5000</v>
      </c>
      <c r="I83" s="57"/>
    </row>
    <row r="84" spans="1:9" ht="18" x14ac:dyDescent="0.35">
      <c r="A84" s="57"/>
      <c r="C84" s="18"/>
      <c r="D84" s="18"/>
      <c r="E84" s="18"/>
      <c r="F84" s="18"/>
      <c r="G84" s="18"/>
      <c r="H84" s="105">
        <v>65000</v>
      </c>
      <c r="I84" s="57"/>
    </row>
    <row r="85" spans="1:9" x14ac:dyDescent="0.3">
      <c r="A85" s="57"/>
      <c r="C85" s="18"/>
      <c r="D85" s="18"/>
      <c r="E85" s="18"/>
      <c r="F85" s="18"/>
      <c r="G85" s="18"/>
      <c r="H85" s="18"/>
      <c r="I85" s="57"/>
    </row>
    <row r="86" spans="1:9" x14ac:dyDescent="0.3">
      <c r="A86" s="57"/>
      <c r="B86" s="18"/>
      <c r="C86" s="18"/>
      <c r="D86" s="18"/>
      <c r="E86" s="18"/>
      <c r="F86" s="18"/>
      <c r="G86" s="18"/>
      <c r="H86" s="18"/>
      <c r="I86" s="57"/>
    </row>
    <row r="87" spans="1:9" x14ac:dyDescent="0.3">
      <c r="A87" s="57"/>
      <c r="B87" s="18"/>
      <c r="C87" s="18"/>
      <c r="D87" s="18"/>
      <c r="E87" s="18"/>
      <c r="F87" s="18"/>
      <c r="G87" s="18"/>
      <c r="H87" s="18"/>
      <c r="I87" s="57"/>
    </row>
    <row r="88" spans="1:9" x14ac:dyDescent="0.3">
      <c r="A88" s="57"/>
      <c r="B88" s="18"/>
      <c r="C88" s="18"/>
      <c r="D88" s="18"/>
      <c r="E88" s="18"/>
      <c r="F88" s="18"/>
      <c r="G88" s="18"/>
      <c r="H88" s="18"/>
      <c r="I88" s="57"/>
    </row>
    <row r="89" spans="1:9" x14ac:dyDescent="0.3">
      <c r="A89" s="57"/>
      <c r="B89" s="18"/>
      <c r="C89" s="18"/>
      <c r="D89" s="18"/>
      <c r="E89" s="18"/>
      <c r="F89" s="18"/>
      <c r="G89" s="18"/>
      <c r="H89" s="18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</sheetData>
  <mergeCells count="3">
    <mergeCell ref="B1:H1"/>
    <mergeCell ref="B2:H2"/>
    <mergeCell ref="B3:H3"/>
  </mergeCells>
  <hyperlinks>
    <hyperlink ref="J2" location="MASTER!A1" display="Back" xr:uid="{00000000-0004-0000-1F00-000000000000}"/>
  </hyperlinks>
  <pageMargins left="0.7" right="0.7" top="0.75" bottom="0.75" header="0.3" footer="0.3"/>
  <pageSetup orientation="portrait" r:id="rId1"/>
  <ignoredErrors>
    <ignoredError sqref="E33:F37 E38 E39:F39 F38 E40 E41:F42 F40 E43 E44:F44 F43 E45 E46:F47 F45 E48 E49:F51 F48 K8:N10 K11 L11:N11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103"/>
  <sheetViews>
    <sheetView workbookViewId="0">
      <selection activeCell="E24" sqref="E24"/>
    </sheetView>
  </sheetViews>
  <sheetFormatPr defaultColWidth="14.88671875" defaultRowHeight="14.4" x14ac:dyDescent="0.3"/>
  <cols>
    <col min="1" max="1" width="9.6640625" customWidth="1"/>
    <col min="4" max="4" width="17.8867187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5" t="s">
        <v>674</v>
      </c>
      <c r="C3" s="295"/>
      <c r="D3" s="295"/>
      <c r="E3" s="295"/>
      <c r="F3" s="295"/>
      <c r="G3" s="295"/>
      <c r="H3" s="295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42219</v>
      </c>
      <c r="C5" s="24" t="s">
        <v>23</v>
      </c>
      <c r="D5" s="26" t="s">
        <v>24</v>
      </c>
      <c r="E5" s="29">
        <v>24960</v>
      </c>
      <c r="F5" s="29">
        <v>24890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42220</v>
      </c>
      <c r="C6" s="24" t="s">
        <v>23</v>
      </c>
      <c r="D6" s="26" t="s">
        <v>24</v>
      </c>
      <c r="E6" s="29">
        <v>24840</v>
      </c>
      <c r="F6" s="29">
        <v>24770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42221</v>
      </c>
      <c r="C7" s="24" t="s">
        <v>23</v>
      </c>
      <c r="D7" s="26" t="s">
        <v>24</v>
      </c>
      <c r="E7" s="29">
        <v>24750</v>
      </c>
      <c r="F7" s="29">
        <v>24680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42222</v>
      </c>
      <c r="C8" s="24" t="s">
        <v>23</v>
      </c>
      <c r="D8" s="26" t="s">
        <v>24</v>
      </c>
      <c r="E8" s="29">
        <v>24700</v>
      </c>
      <c r="F8" s="29">
        <v>24800</v>
      </c>
      <c r="G8" s="29">
        <v>100</v>
      </c>
      <c r="H8" s="29">
        <v>-10000</v>
      </c>
      <c r="I8" s="20"/>
      <c r="J8" s="100" t="s">
        <v>257</v>
      </c>
      <c r="K8" s="49" t="s">
        <v>260</v>
      </c>
      <c r="L8" s="101" t="s">
        <v>491</v>
      </c>
      <c r="M8" s="101" t="s">
        <v>261</v>
      </c>
      <c r="N8" s="101" t="s">
        <v>262</v>
      </c>
    </row>
    <row r="9" spans="1:14" x14ac:dyDescent="0.3">
      <c r="A9" s="20"/>
      <c r="B9" s="71">
        <v>42223</v>
      </c>
      <c r="C9" s="24" t="s">
        <v>23</v>
      </c>
      <c r="D9" s="26" t="s">
        <v>24</v>
      </c>
      <c r="E9" s="29">
        <v>24850</v>
      </c>
      <c r="F9" s="29">
        <v>24780</v>
      </c>
      <c r="G9" s="29">
        <v>100</v>
      </c>
      <c r="H9" s="29">
        <v>7000</v>
      </c>
      <c r="I9" s="20"/>
      <c r="J9" s="100" t="s">
        <v>258</v>
      </c>
      <c r="K9" s="101" t="s">
        <v>622</v>
      </c>
      <c r="L9" s="101" t="s">
        <v>553</v>
      </c>
      <c r="M9" s="101" t="s">
        <v>261</v>
      </c>
      <c r="N9" s="101" t="s">
        <v>290</v>
      </c>
    </row>
    <row r="10" spans="1:14" x14ac:dyDescent="0.3">
      <c r="A10" s="20"/>
      <c r="B10" s="71">
        <v>42224</v>
      </c>
      <c r="C10" s="24" t="s">
        <v>16</v>
      </c>
      <c r="D10" s="26" t="s">
        <v>24</v>
      </c>
      <c r="E10" s="29">
        <v>25040</v>
      </c>
      <c r="F10" s="29">
        <v>25150</v>
      </c>
      <c r="G10" s="29">
        <v>100</v>
      </c>
      <c r="H10" s="29">
        <v>11000</v>
      </c>
      <c r="I10" s="20"/>
      <c r="J10" s="100" t="s">
        <v>259</v>
      </c>
      <c r="K10" s="101" t="s">
        <v>435</v>
      </c>
      <c r="L10" s="101" t="s">
        <v>491</v>
      </c>
      <c r="M10" s="101" t="s">
        <v>299</v>
      </c>
      <c r="N10" s="101" t="s">
        <v>262</v>
      </c>
    </row>
    <row r="11" spans="1:14" x14ac:dyDescent="0.3">
      <c r="A11" s="20"/>
      <c r="B11" s="71">
        <v>42227</v>
      </c>
      <c r="C11" s="24" t="s">
        <v>16</v>
      </c>
      <c r="D11" s="26" t="s">
        <v>24</v>
      </c>
      <c r="E11" s="29">
        <v>25180</v>
      </c>
      <c r="F11" s="29">
        <v>25350</v>
      </c>
      <c r="G11" s="29">
        <v>100</v>
      </c>
      <c r="H11" s="29">
        <v>17000</v>
      </c>
      <c r="I11" s="20"/>
      <c r="J11" s="100" t="s">
        <v>300</v>
      </c>
      <c r="K11" s="104" t="s">
        <v>670</v>
      </c>
      <c r="L11" s="101" t="s">
        <v>583</v>
      </c>
      <c r="M11" s="101" t="s">
        <v>302</v>
      </c>
      <c r="N11" s="101" t="s">
        <v>290</v>
      </c>
    </row>
    <row r="12" spans="1:14" x14ac:dyDescent="0.3">
      <c r="A12" s="20"/>
      <c r="B12" s="71">
        <v>42228</v>
      </c>
      <c r="C12" s="24" t="s">
        <v>16</v>
      </c>
      <c r="D12" s="26" t="s">
        <v>24</v>
      </c>
      <c r="E12" s="29">
        <v>25670</v>
      </c>
      <c r="F12" s="29">
        <v>25840</v>
      </c>
      <c r="G12" s="29">
        <v>100</v>
      </c>
      <c r="H12" s="69">
        <v>17000</v>
      </c>
      <c r="I12" s="20"/>
      <c r="J12" s="34"/>
    </row>
    <row r="13" spans="1:14" x14ac:dyDescent="0.3">
      <c r="A13" s="20"/>
      <c r="B13" s="71">
        <v>42229</v>
      </c>
      <c r="C13" s="24" t="s">
        <v>23</v>
      </c>
      <c r="D13" s="26" t="s">
        <v>24</v>
      </c>
      <c r="E13" s="29">
        <v>25880</v>
      </c>
      <c r="F13" s="29">
        <v>25990</v>
      </c>
      <c r="G13" s="29">
        <v>100</v>
      </c>
      <c r="H13" s="69">
        <v>-10000</v>
      </c>
      <c r="I13" s="20"/>
      <c r="J13" s="34"/>
      <c r="K13" s="87" t="s">
        <v>700</v>
      </c>
      <c r="L13" s="88"/>
      <c r="M13" s="89"/>
    </row>
    <row r="14" spans="1:14" x14ac:dyDescent="0.3">
      <c r="A14" s="20"/>
      <c r="B14" s="71">
        <v>42230</v>
      </c>
      <c r="C14" s="24" t="s">
        <v>23</v>
      </c>
      <c r="D14" s="26" t="s">
        <v>24</v>
      </c>
      <c r="E14" s="29">
        <v>25820</v>
      </c>
      <c r="F14" s="29">
        <v>25750</v>
      </c>
      <c r="G14" s="29">
        <v>100</v>
      </c>
      <c r="H14" s="69">
        <v>7000</v>
      </c>
      <c r="I14" s="20"/>
      <c r="J14" s="34"/>
    </row>
    <row r="15" spans="1:14" x14ac:dyDescent="0.3">
      <c r="A15" s="20"/>
      <c r="B15" s="71">
        <v>42233</v>
      </c>
      <c r="C15" s="24" t="s">
        <v>16</v>
      </c>
      <c r="D15" s="26" t="s">
        <v>24</v>
      </c>
      <c r="E15" s="29">
        <v>25930</v>
      </c>
      <c r="F15" s="29">
        <v>26050</v>
      </c>
      <c r="G15" s="29">
        <v>100</v>
      </c>
      <c r="H15" s="69">
        <v>12000</v>
      </c>
      <c r="I15" s="20"/>
      <c r="J15" s="34"/>
    </row>
    <row r="16" spans="1:14" x14ac:dyDescent="0.3">
      <c r="A16" s="20"/>
      <c r="B16" s="71">
        <v>42234</v>
      </c>
      <c r="C16" s="24" t="s">
        <v>23</v>
      </c>
      <c r="D16" s="26" t="s">
        <v>24</v>
      </c>
      <c r="E16" s="29">
        <v>26000</v>
      </c>
      <c r="F16" s="29">
        <v>25880</v>
      </c>
      <c r="G16" s="29">
        <v>100</v>
      </c>
      <c r="H16" s="69">
        <v>12000</v>
      </c>
      <c r="I16" s="20"/>
      <c r="J16" s="34"/>
    </row>
    <row r="17" spans="1:10" x14ac:dyDescent="0.3">
      <c r="A17" s="20"/>
      <c r="B17" s="71">
        <v>42235</v>
      </c>
      <c r="C17" s="24" t="s">
        <v>23</v>
      </c>
      <c r="D17" s="26" t="s">
        <v>24</v>
      </c>
      <c r="E17" s="29">
        <v>26000</v>
      </c>
      <c r="F17" s="29">
        <v>25930</v>
      </c>
      <c r="G17" s="29">
        <v>100</v>
      </c>
      <c r="H17" s="69">
        <v>7000</v>
      </c>
      <c r="I17" s="20"/>
      <c r="J17" s="34"/>
    </row>
    <row r="18" spans="1:10" x14ac:dyDescent="0.3">
      <c r="A18" s="20"/>
      <c r="B18" s="71">
        <v>42236</v>
      </c>
      <c r="C18" s="24" t="s">
        <v>16</v>
      </c>
      <c r="D18" s="26" t="s">
        <v>24</v>
      </c>
      <c r="E18" s="29">
        <v>26390</v>
      </c>
      <c r="F18" s="29">
        <v>26560</v>
      </c>
      <c r="G18" s="29">
        <v>100</v>
      </c>
      <c r="H18" s="69">
        <v>17000</v>
      </c>
      <c r="I18" s="20"/>
      <c r="J18" s="34"/>
    </row>
    <row r="19" spans="1:10" x14ac:dyDescent="0.3">
      <c r="A19" s="20"/>
      <c r="B19" s="71">
        <v>42237</v>
      </c>
      <c r="C19" s="24" t="s">
        <v>16</v>
      </c>
      <c r="D19" s="26" t="s">
        <v>24</v>
      </c>
      <c r="E19" s="29">
        <v>27240</v>
      </c>
      <c r="F19" s="29">
        <v>27310</v>
      </c>
      <c r="G19" s="29">
        <v>100</v>
      </c>
      <c r="H19" s="69">
        <v>7000</v>
      </c>
      <c r="I19" s="20"/>
      <c r="J19" s="34"/>
    </row>
    <row r="20" spans="1:10" ht="15.6" x14ac:dyDescent="0.3">
      <c r="A20" s="20"/>
      <c r="B20" s="71">
        <v>42240</v>
      </c>
      <c r="C20" s="24" t="s">
        <v>16</v>
      </c>
      <c r="D20" s="26" t="s">
        <v>24</v>
      </c>
      <c r="E20" s="29">
        <v>23700</v>
      </c>
      <c r="F20" s="29">
        <v>27470</v>
      </c>
      <c r="G20" s="29">
        <v>100</v>
      </c>
      <c r="H20" s="79">
        <v>17000</v>
      </c>
      <c r="I20" s="20"/>
      <c r="J20" s="34"/>
    </row>
    <row r="21" spans="1:10" ht="15.6" x14ac:dyDescent="0.3">
      <c r="A21" s="20"/>
      <c r="B21" s="71">
        <v>42240</v>
      </c>
      <c r="C21" s="24" t="s">
        <v>23</v>
      </c>
      <c r="D21" s="26" t="s">
        <v>24</v>
      </c>
      <c r="E21" s="29">
        <v>27650</v>
      </c>
      <c r="F21" s="29">
        <v>27480</v>
      </c>
      <c r="G21" s="29">
        <v>100</v>
      </c>
      <c r="H21" s="79">
        <v>17000</v>
      </c>
      <c r="I21" s="20"/>
      <c r="J21" s="34"/>
    </row>
    <row r="22" spans="1:10" x14ac:dyDescent="0.3">
      <c r="A22" s="20"/>
      <c r="B22" s="71">
        <v>42241</v>
      </c>
      <c r="C22" s="24" t="s">
        <v>23</v>
      </c>
      <c r="D22" s="26" t="s">
        <v>24</v>
      </c>
      <c r="E22" s="29">
        <v>27240</v>
      </c>
      <c r="F22" s="29">
        <v>27070</v>
      </c>
      <c r="G22" s="29">
        <v>100</v>
      </c>
      <c r="H22" s="69">
        <v>17000</v>
      </c>
      <c r="I22" s="20"/>
      <c r="J22" s="34"/>
    </row>
    <row r="23" spans="1:10" x14ac:dyDescent="0.3">
      <c r="A23" s="20"/>
      <c r="B23" s="71">
        <v>42242</v>
      </c>
      <c r="C23" s="24" t="s">
        <v>23</v>
      </c>
      <c r="D23" s="26" t="s">
        <v>24</v>
      </c>
      <c r="E23" s="29">
        <v>26710</v>
      </c>
      <c r="F23" s="29">
        <v>26540</v>
      </c>
      <c r="G23" s="29">
        <v>100</v>
      </c>
      <c r="H23" s="69">
        <v>17000</v>
      </c>
      <c r="I23" s="20"/>
      <c r="J23" s="34"/>
    </row>
    <row r="24" spans="1:10" x14ac:dyDescent="0.3">
      <c r="A24" s="20"/>
      <c r="B24" s="71">
        <v>42243</v>
      </c>
      <c r="C24" s="24" t="s">
        <v>23</v>
      </c>
      <c r="D24" s="26" t="s">
        <v>24</v>
      </c>
      <c r="E24" s="29">
        <v>26370</v>
      </c>
      <c r="F24" s="29">
        <v>26200</v>
      </c>
      <c r="G24" s="29">
        <v>100</v>
      </c>
      <c r="H24" s="69">
        <v>17000</v>
      </c>
      <c r="I24" s="20"/>
      <c r="J24" s="34"/>
    </row>
    <row r="25" spans="1:10" x14ac:dyDescent="0.3">
      <c r="A25" s="20"/>
      <c r="B25" s="71">
        <v>42244</v>
      </c>
      <c r="C25" s="24" t="s">
        <v>23</v>
      </c>
      <c r="D25" s="26" t="s">
        <v>24</v>
      </c>
      <c r="E25" s="29">
        <v>26510</v>
      </c>
      <c r="F25" s="29">
        <v>26440</v>
      </c>
      <c r="G25" s="29">
        <v>100</v>
      </c>
      <c r="H25" s="69">
        <v>7000</v>
      </c>
      <c r="I25" s="20"/>
      <c r="J25" s="34"/>
    </row>
    <row r="26" spans="1:10" x14ac:dyDescent="0.3">
      <c r="A26" s="20"/>
      <c r="B26" s="71">
        <v>42247</v>
      </c>
      <c r="C26" s="24" t="s">
        <v>23</v>
      </c>
      <c r="D26" s="26" t="s">
        <v>24</v>
      </c>
      <c r="E26" s="26">
        <v>26650</v>
      </c>
      <c r="F26" s="26">
        <v>26530</v>
      </c>
      <c r="G26" s="29">
        <v>100</v>
      </c>
      <c r="H26" s="69">
        <v>12000</v>
      </c>
      <c r="I26" s="20"/>
    </row>
    <row r="27" spans="1:10" ht="17.399999999999999" x14ac:dyDescent="0.3">
      <c r="A27" s="20"/>
      <c r="B27" s="71"/>
      <c r="C27" s="24"/>
      <c r="D27" s="26"/>
      <c r="E27" s="26"/>
      <c r="F27" s="26"/>
      <c r="G27" s="29"/>
      <c r="H27" s="106">
        <v>219000</v>
      </c>
      <c r="I27" s="20"/>
    </row>
    <row r="28" spans="1:10" x14ac:dyDescent="0.3">
      <c r="A28" s="20"/>
      <c r="B28" s="71"/>
      <c r="C28" s="29"/>
      <c r="D28" s="26"/>
      <c r="E28" s="36"/>
      <c r="F28" s="29"/>
      <c r="G28" s="29"/>
      <c r="H28" s="69"/>
      <c r="I28" s="20"/>
    </row>
    <row r="29" spans="1:10" ht="18" x14ac:dyDescent="0.35">
      <c r="A29" s="20"/>
      <c r="B29" s="71"/>
      <c r="C29" s="29"/>
      <c r="D29" s="36"/>
      <c r="E29" s="36"/>
      <c r="F29" s="29"/>
      <c r="G29" s="29"/>
      <c r="H29" s="105"/>
      <c r="I29" s="20"/>
    </row>
    <row r="30" spans="1:10" ht="15.6" x14ac:dyDescent="0.3">
      <c r="A30" s="20"/>
      <c r="B30" s="71"/>
      <c r="C30" s="29"/>
      <c r="D30" s="36"/>
      <c r="E30" s="36"/>
      <c r="F30" s="29"/>
      <c r="G30" s="29"/>
      <c r="H30" s="80"/>
      <c r="I30" s="20"/>
    </row>
    <row r="31" spans="1:10" x14ac:dyDescent="0.3">
      <c r="A31" s="20"/>
      <c r="B31" s="71"/>
      <c r="C31" s="29"/>
      <c r="D31" s="36"/>
      <c r="E31" s="36"/>
      <c r="F31" s="29"/>
      <c r="G31" s="29"/>
      <c r="H31" s="29"/>
      <c r="I31" s="20"/>
    </row>
    <row r="32" spans="1:10" x14ac:dyDescent="0.3">
      <c r="A32" s="20"/>
      <c r="B32" s="71"/>
      <c r="C32" s="29"/>
      <c r="D32" s="36"/>
      <c r="E32" s="36"/>
      <c r="F32" s="29"/>
      <c r="G32" s="29"/>
      <c r="H32" s="29"/>
      <c r="I32" s="20"/>
    </row>
    <row r="33" spans="1:9" ht="15.6" x14ac:dyDescent="0.3">
      <c r="A33" s="20"/>
      <c r="B33" s="61" t="s">
        <v>673</v>
      </c>
      <c r="C33" s="62"/>
      <c r="D33" s="63"/>
      <c r="E33" s="62"/>
      <c r="F33" s="62"/>
      <c r="G33" s="62"/>
      <c r="H33" s="62"/>
      <c r="I33" s="20"/>
    </row>
    <row r="34" spans="1:9" x14ac:dyDescent="0.3">
      <c r="A34" s="20"/>
      <c r="B34" s="71">
        <v>42219</v>
      </c>
      <c r="C34" s="24" t="s">
        <v>23</v>
      </c>
      <c r="D34" s="24" t="s">
        <v>25</v>
      </c>
      <c r="E34" s="49" t="s">
        <v>675</v>
      </c>
      <c r="F34" s="49" t="s">
        <v>478</v>
      </c>
      <c r="G34" s="25">
        <v>100</v>
      </c>
      <c r="H34" s="29">
        <v>6000</v>
      </c>
      <c r="I34" s="20"/>
    </row>
    <row r="35" spans="1:9" x14ac:dyDescent="0.3">
      <c r="A35" s="20"/>
      <c r="B35" s="71">
        <v>42220</v>
      </c>
      <c r="C35" s="24" t="s">
        <v>23</v>
      </c>
      <c r="D35" s="24" t="s">
        <v>25</v>
      </c>
      <c r="E35" s="83" t="s">
        <v>676</v>
      </c>
      <c r="F35" s="49" t="s">
        <v>478</v>
      </c>
      <c r="G35" s="25">
        <v>100</v>
      </c>
      <c r="H35" s="29">
        <v>-1000</v>
      </c>
      <c r="I35" s="20"/>
    </row>
    <row r="36" spans="1:9" x14ac:dyDescent="0.3">
      <c r="A36" s="20"/>
      <c r="B36" s="71">
        <v>42221</v>
      </c>
      <c r="C36" s="24" t="s">
        <v>23</v>
      </c>
      <c r="D36" s="24" t="s">
        <v>25</v>
      </c>
      <c r="E36" s="49" t="s">
        <v>677</v>
      </c>
      <c r="F36" s="49" t="s">
        <v>678</v>
      </c>
      <c r="G36" s="25">
        <v>100</v>
      </c>
      <c r="H36" s="29">
        <v>2500</v>
      </c>
      <c r="I36" s="20"/>
    </row>
    <row r="37" spans="1:9" x14ac:dyDescent="0.3">
      <c r="A37" s="20"/>
      <c r="B37" s="71">
        <v>42222</v>
      </c>
      <c r="C37" s="24" t="s">
        <v>23</v>
      </c>
      <c r="D37" s="24" t="s">
        <v>25</v>
      </c>
      <c r="E37" s="49" t="s">
        <v>472</v>
      </c>
      <c r="F37" s="49" t="s">
        <v>679</v>
      </c>
      <c r="G37" s="25">
        <v>100</v>
      </c>
      <c r="H37" s="29">
        <v>5000</v>
      </c>
      <c r="I37" s="20"/>
    </row>
    <row r="38" spans="1:9" x14ac:dyDescent="0.3">
      <c r="A38" s="20"/>
      <c r="B38" s="71">
        <v>42223</v>
      </c>
      <c r="C38" s="24" t="s">
        <v>23</v>
      </c>
      <c r="D38" s="24" t="s">
        <v>25</v>
      </c>
      <c r="E38" s="49" t="s">
        <v>545</v>
      </c>
      <c r="F38" s="49" t="s">
        <v>480</v>
      </c>
      <c r="G38" s="25">
        <v>100</v>
      </c>
      <c r="H38" s="29">
        <v>5000</v>
      </c>
      <c r="I38" s="20"/>
    </row>
    <row r="39" spans="1:9" x14ac:dyDescent="0.3">
      <c r="A39" s="20"/>
      <c r="B39" s="71">
        <v>42224</v>
      </c>
      <c r="C39" s="24" t="s">
        <v>23</v>
      </c>
      <c r="D39" s="24" t="s">
        <v>25</v>
      </c>
      <c r="E39" s="49" t="s">
        <v>680</v>
      </c>
      <c r="F39" s="49" t="s">
        <v>474</v>
      </c>
      <c r="G39" s="25">
        <v>100</v>
      </c>
      <c r="H39" s="29">
        <v>2500</v>
      </c>
      <c r="I39" s="20"/>
    </row>
    <row r="40" spans="1:9" x14ac:dyDescent="0.3">
      <c r="A40" s="20"/>
      <c r="B40" s="71">
        <v>42227</v>
      </c>
      <c r="C40" s="24" t="s">
        <v>23</v>
      </c>
      <c r="D40" s="24" t="s">
        <v>25</v>
      </c>
      <c r="E40" s="49" t="s">
        <v>545</v>
      </c>
      <c r="F40" s="49" t="s">
        <v>547</v>
      </c>
      <c r="G40" s="25">
        <v>100</v>
      </c>
      <c r="H40" s="29">
        <v>3500</v>
      </c>
      <c r="I40" s="20"/>
    </row>
    <row r="41" spans="1:9" x14ac:dyDescent="0.3">
      <c r="A41" s="20"/>
      <c r="B41" s="71">
        <v>42228</v>
      </c>
      <c r="C41" s="24" t="s">
        <v>23</v>
      </c>
      <c r="D41" s="24" t="s">
        <v>25</v>
      </c>
      <c r="E41" s="49" t="s">
        <v>487</v>
      </c>
      <c r="F41" s="49" t="s">
        <v>681</v>
      </c>
      <c r="G41" s="25">
        <v>100</v>
      </c>
      <c r="H41" s="29">
        <v>-500</v>
      </c>
      <c r="I41" s="20"/>
    </row>
    <row r="42" spans="1:9" x14ac:dyDescent="0.3">
      <c r="A42" s="20"/>
      <c r="B42" s="71">
        <v>42229</v>
      </c>
      <c r="C42" s="24" t="s">
        <v>23</v>
      </c>
      <c r="D42" s="24" t="s">
        <v>25</v>
      </c>
      <c r="E42" s="49" t="s">
        <v>680</v>
      </c>
      <c r="F42" s="49" t="s">
        <v>475</v>
      </c>
      <c r="G42" s="25">
        <v>100</v>
      </c>
      <c r="H42" s="29">
        <v>5500</v>
      </c>
      <c r="I42" s="20"/>
    </row>
    <row r="43" spans="1:9" x14ac:dyDescent="0.3">
      <c r="A43" s="20"/>
      <c r="B43" s="71">
        <v>42230</v>
      </c>
      <c r="C43" s="24" t="s">
        <v>23</v>
      </c>
      <c r="D43" s="24" t="s">
        <v>26</v>
      </c>
      <c r="E43" s="49" t="s">
        <v>638</v>
      </c>
      <c r="F43" s="49" t="s">
        <v>683</v>
      </c>
      <c r="G43" s="25">
        <v>1250</v>
      </c>
      <c r="H43" s="29">
        <v>2500</v>
      </c>
      <c r="I43" s="20"/>
    </row>
    <row r="44" spans="1:9" x14ac:dyDescent="0.3">
      <c r="A44" s="20"/>
      <c r="B44" s="71">
        <v>42230</v>
      </c>
      <c r="C44" s="24" t="s">
        <v>23</v>
      </c>
      <c r="D44" s="24" t="s">
        <v>25</v>
      </c>
      <c r="E44" s="49" t="s">
        <v>682</v>
      </c>
      <c r="F44" s="49" t="s">
        <v>484</v>
      </c>
      <c r="G44" s="25">
        <v>100</v>
      </c>
      <c r="H44" s="29">
        <v>2500</v>
      </c>
      <c r="I44" s="20"/>
    </row>
    <row r="45" spans="1:9" x14ac:dyDescent="0.3">
      <c r="A45" s="20"/>
      <c r="B45" s="71">
        <v>42233</v>
      </c>
      <c r="C45" s="24" t="s">
        <v>23</v>
      </c>
      <c r="D45" s="24" t="s">
        <v>26</v>
      </c>
      <c r="E45" s="49" t="s">
        <v>619</v>
      </c>
      <c r="F45" s="49" t="s">
        <v>686</v>
      </c>
      <c r="G45" s="25">
        <v>1250</v>
      </c>
      <c r="H45" s="29">
        <v>3750</v>
      </c>
      <c r="I45" s="20"/>
    </row>
    <row r="46" spans="1:9" x14ac:dyDescent="0.3">
      <c r="A46" s="20"/>
      <c r="B46" s="71">
        <v>42233</v>
      </c>
      <c r="C46" s="24" t="s">
        <v>23</v>
      </c>
      <c r="D46" s="24" t="s">
        <v>25</v>
      </c>
      <c r="E46" s="49" t="s">
        <v>682</v>
      </c>
      <c r="F46" s="49" t="s">
        <v>684</v>
      </c>
      <c r="G46" s="25">
        <v>100</v>
      </c>
      <c r="H46" s="29">
        <v>1500</v>
      </c>
      <c r="I46" s="20"/>
    </row>
    <row r="47" spans="1:9" x14ac:dyDescent="0.3">
      <c r="A47" s="20"/>
      <c r="B47" s="71">
        <v>42234</v>
      </c>
      <c r="C47" s="24" t="s">
        <v>23</v>
      </c>
      <c r="D47" s="24" t="s">
        <v>25</v>
      </c>
      <c r="E47" s="49" t="s">
        <v>684</v>
      </c>
      <c r="F47" s="49" t="s">
        <v>685</v>
      </c>
      <c r="G47" s="25">
        <v>100</v>
      </c>
      <c r="H47" s="29">
        <v>1500</v>
      </c>
      <c r="I47" s="20"/>
    </row>
    <row r="48" spans="1:9" x14ac:dyDescent="0.3">
      <c r="A48" s="20"/>
      <c r="B48" s="71">
        <v>42235</v>
      </c>
      <c r="C48" s="24" t="s">
        <v>23</v>
      </c>
      <c r="D48" s="24" t="s">
        <v>25</v>
      </c>
      <c r="E48" s="49" t="s">
        <v>475</v>
      </c>
      <c r="F48" s="49" t="s">
        <v>687</v>
      </c>
      <c r="G48" s="25">
        <v>100</v>
      </c>
      <c r="H48" s="29">
        <v>2500</v>
      </c>
      <c r="I48" s="20"/>
    </row>
    <row r="49" spans="1:9" x14ac:dyDescent="0.3">
      <c r="A49" s="20"/>
      <c r="B49" s="71">
        <v>42236</v>
      </c>
      <c r="C49" s="24" t="s">
        <v>16</v>
      </c>
      <c r="D49" s="24" t="s">
        <v>25</v>
      </c>
      <c r="E49" s="49" t="s">
        <v>688</v>
      </c>
      <c r="F49" s="49" t="s">
        <v>689</v>
      </c>
      <c r="G49" s="25">
        <v>100</v>
      </c>
      <c r="H49" s="29">
        <v>4500</v>
      </c>
      <c r="I49" s="20"/>
    </row>
    <row r="50" spans="1:9" x14ac:dyDescent="0.3">
      <c r="A50" s="20"/>
      <c r="B50" s="71">
        <v>42237</v>
      </c>
      <c r="C50" s="24" t="s">
        <v>23</v>
      </c>
      <c r="D50" s="24" t="s">
        <v>25</v>
      </c>
      <c r="E50" s="49" t="s">
        <v>690</v>
      </c>
      <c r="F50" s="49" t="s">
        <v>691</v>
      </c>
      <c r="G50" s="25">
        <v>100</v>
      </c>
      <c r="H50" s="29">
        <v>4000</v>
      </c>
      <c r="I50" s="20"/>
    </row>
    <row r="51" spans="1:9" x14ac:dyDescent="0.3">
      <c r="A51" s="20"/>
      <c r="B51" s="71">
        <v>42237</v>
      </c>
      <c r="C51" s="24" t="s">
        <v>23</v>
      </c>
      <c r="D51" s="24" t="s">
        <v>26</v>
      </c>
      <c r="E51" s="49" t="s">
        <v>692</v>
      </c>
      <c r="F51" s="49" t="s">
        <v>695</v>
      </c>
      <c r="G51" s="25">
        <v>1250</v>
      </c>
      <c r="H51" s="29">
        <v>3125</v>
      </c>
      <c r="I51" s="20"/>
    </row>
    <row r="52" spans="1:9" x14ac:dyDescent="0.3">
      <c r="A52" s="20"/>
      <c r="B52" s="71">
        <v>42240</v>
      </c>
      <c r="C52" s="24" t="s">
        <v>23</v>
      </c>
      <c r="D52" s="24" t="s">
        <v>25</v>
      </c>
      <c r="E52" s="49" t="s">
        <v>693</v>
      </c>
      <c r="F52" s="49" t="s">
        <v>694</v>
      </c>
      <c r="G52" s="25">
        <v>100</v>
      </c>
      <c r="H52" s="29">
        <v>4000</v>
      </c>
      <c r="I52" s="20"/>
    </row>
    <row r="53" spans="1:9" x14ac:dyDescent="0.3">
      <c r="A53" s="20"/>
      <c r="B53" s="71">
        <v>42241</v>
      </c>
      <c r="C53" s="24" t="s">
        <v>23</v>
      </c>
      <c r="D53" s="24" t="s">
        <v>25</v>
      </c>
      <c r="E53" s="49" t="s">
        <v>696</v>
      </c>
      <c r="F53" s="49" t="s">
        <v>534</v>
      </c>
      <c r="G53" s="25">
        <v>100</v>
      </c>
      <c r="H53" s="29">
        <v>-3500</v>
      </c>
      <c r="I53" s="20"/>
    </row>
    <row r="54" spans="1:9" x14ac:dyDescent="0.3">
      <c r="A54" s="20"/>
      <c r="B54" s="71">
        <v>42242</v>
      </c>
      <c r="C54" s="24" t="s">
        <v>23</v>
      </c>
      <c r="D54" s="24" t="s">
        <v>25</v>
      </c>
      <c r="E54" s="49" t="s">
        <v>697</v>
      </c>
      <c r="F54" s="49" t="s">
        <v>698</v>
      </c>
      <c r="G54" s="25">
        <v>100</v>
      </c>
      <c r="H54" s="29">
        <v>4500</v>
      </c>
      <c r="I54" s="20"/>
    </row>
    <row r="55" spans="1:9" x14ac:dyDescent="0.3">
      <c r="A55" s="20"/>
      <c r="B55" s="71">
        <v>42243</v>
      </c>
      <c r="C55" s="24" t="s">
        <v>23</v>
      </c>
      <c r="D55" s="24" t="s">
        <v>26</v>
      </c>
      <c r="E55" s="49" t="s">
        <v>686</v>
      </c>
      <c r="F55" s="49" t="s">
        <v>699</v>
      </c>
      <c r="G55" s="25">
        <v>1250</v>
      </c>
      <c r="H55" s="29">
        <v>2500</v>
      </c>
      <c r="I55" s="20"/>
    </row>
    <row r="56" spans="1:9" x14ac:dyDescent="0.3">
      <c r="A56" s="20"/>
      <c r="B56" s="71">
        <v>42244</v>
      </c>
      <c r="C56" s="97" t="s">
        <v>23</v>
      </c>
      <c r="D56" s="24" t="s">
        <v>25</v>
      </c>
      <c r="E56" s="97">
        <v>2855</v>
      </c>
      <c r="F56" s="97">
        <v>2800</v>
      </c>
      <c r="G56" s="25">
        <v>100</v>
      </c>
      <c r="H56" s="69">
        <v>5500</v>
      </c>
      <c r="I56" s="20"/>
    </row>
    <row r="57" spans="1:9" x14ac:dyDescent="0.3">
      <c r="A57" s="20"/>
      <c r="B57" s="71">
        <v>42247</v>
      </c>
      <c r="C57" s="97" t="s">
        <v>23</v>
      </c>
      <c r="D57" s="24" t="s">
        <v>25</v>
      </c>
      <c r="E57" s="97">
        <v>2965</v>
      </c>
      <c r="F57" s="97">
        <v>2940</v>
      </c>
      <c r="G57" s="25">
        <v>100</v>
      </c>
      <c r="H57" s="69">
        <v>2500</v>
      </c>
      <c r="I57" s="67"/>
    </row>
    <row r="58" spans="1:9" ht="17.399999999999999" x14ac:dyDescent="0.3">
      <c r="A58" s="20"/>
      <c r="B58" s="71"/>
      <c r="C58" s="24"/>
      <c r="D58" s="24"/>
      <c r="E58" s="97"/>
      <c r="F58" s="97"/>
      <c r="G58" s="25"/>
      <c r="H58" s="106">
        <v>69875</v>
      </c>
      <c r="I58" s="67"/>
    </row>
    <row r="59" spans="1:9" x14ac:dyDescent="0.3">
      <c r="A59" s="20"/>
      <c r="B59" s="71"/>
      <c r="C59" s="29"/>
      <c r="D59" s="24"/>
      <c r="E59" s="29"/>
      <c r="F59" s="29"/>
      <c r="G59" s="25"/>
      <c r="H59" s="29"/>
      <c r="I59" s="67"/>
    </row>
    <row r="60" spans="1:9" ht="18" x14ac:dyDescent="0.35">
      <c r="A60" s="20"/>
      <c r="B60" s="71"/>
      <c r="C60" s="29"/>
      <c r="D60" s="36"/>
      <c r="E60" s="29"/>
      <c r="F60" s="29"/>
      <c r="G60" s="29"/>
      <c r="H60" s="105"/>
      <c r="I60" s="67"/>
    </row>
    <row r="61" spans="1:9" x14ac:dyDescent="0.3">
      <c r="A61" s="20"/>
      <c r="B61" s="71"/>
      <c r="C61" s="29"/>
      <c r="D61" s="36"/>
      <c r="E61" s="29"/>
      <c r="F61" s="29"/>
      <c r="G61" s="29"/>
      <c r="H61" s="29"/>
      <c r="I61" s="67"/>
    </row>
    <row r="62" spans="1:9" x14ac:dyDescent="0.3">
      <c r="A62" s="20"/>
      <c r="B62" s="71"/>
      <c r="C62" s="29"/>
      <c r="D62" s="36"/>
      <c r="E62" s="29"/>
      <c r="F62" s="29"/>
      <c r="G62" s="29"/>
      <c r="H62" s="29"/>
      <c r="I62" s="67"/>
    </row>
    <row r="63" spans="1:9" x14ac:dyDescent="0.3">
      <c r="A63" s="20"/>
      <c r="B63" s="71"/>
      <c r="C63" s="29"/>
      <c r="D63" s="36"/>
      <c r="E63" s="29"/>
      <c r="F63" s="29"/>
      <c r="G63" s="29"/>
      <c r="H63" s="29"/>
      <c r="I63" s="67"/>
    </row>
    <row r="64" spans="1:9" ht="15.6" x14ac:dyDescent="0.3">
      <c r="A64" s="20"/>
      <c r="B64" s="61" t="s">
        <v>672</v>
      </c>
      <c r="C64" s="62"/>
      <c r="D64" s="63"/>
      <c r="E64" s="62"/>
      <c r="F64" s="62"/>
      <c r="G64" s="62"/>
      <c r="H64" s="64"/>
      <c r="I64" s="67"/>
    </row>
    <row r="65" spans="1:9" x14ac:dyDescent="0.3">
      <c r="A65" s="20"/>
      <c r="B65" s="71">
        <v>42219</v>
      </c>
      <c r="C65" s="24" t="s">
        <v>23</v>
      </c>
      <c r="D65" s="24" t="s">
        <v>56</v>
      </c>
      <c r="E65" s="29">
        <v>102.6</v>
      </c>
      <c r="F65" s="29">
        <v>102.1</v>
      </c>
      <c r="G65" s="29">
        <v>5000</v>
      </c>
      <c r="H65" s="29">
        <v>2500</v>
      </c>
      <c r="I65" s="67"/>
    </row>
    <row r="66" spans="1:9" x14ac:dyDescent="0.3">
      <c r="A66" s="20"/>
      <c r="B66" s="71">
        <v>42220</v>
      </c>
      <c r="C66" s="24" t="s">
        <v>23</v>
      </c>
      <c r="D66" s="24" t="s">
        <v>56</v>
      </c>
      <c r="E66" s="29">
        <v>102.3</v>
      </c>
      <c r="F66" s="29">
        <v>101.8</v>
      </c>
      <c r="G66" s="29">
        <v>5000</v>
      </c>
      <c r="H66" s="29">
        <v>2500</v>
      </c>
      <c r="I66" s="67"/>
    </row>
    <row r="67" spans="1:9" x14ac:dyDescent="0.3">
      <c r="A67" s="20"/>
      <c r="B67" s="71">
        <v>42221</v>
      </c>
      <c r="C67" s="24" t="s">
        <v>23</v>
      </c>
      <c r="D67" s="24" t="s">
        <v>56</v>
      </c>
      <c r="E67" s="29">
        <v>102.2</v>
      </c>
      <c r="F67" s="29">
        <v>100.7</v>
      </c>
      <c r="G67" s="29">
        <v>5000</v>
      </c>
      <c r="H67" s="29">
        <v>7500</v>
      </c>
      <c r="I67" s="67"/>
    </row>
    <row r="68" spans="1:9" x14ac:dyDescent="0.3">
      <c r="A68" s="20"/>
      <c r="B68" s="71">
        <v>42222</v>
      </c>
      <c r="C68" s="24" t="s">
        <v>23</v>
      </c>
      <c r="D68" s="24" t="s">
        <v>56</v>
      </c>
      <c r="E68" s="29">
        <v>101.2</v>
      </c>
      <c r="F68" s="29">
        <v>99.7</v>
      </c>
      <c r="G68" s="29">
        <v>5000</v>
      </c>
      <c r="H68" s="29">
        <v>7500</v>
      </c>
      <c r="I68" s="67"/>
    </row>
    <row r="69" spans="1:9" x14ac:dyDescent="0.3">
      <c r="A69" s="20"/>
      <c r="B69" s="71">
        <v>42223</v>
      </c>
      <c r="C69" s="24" t="s">
        <v>23</v>
      </c>
      <c r="D69" s="24" t="s">
        <v>28</v>
      </c>
      <c r="E69" s="29">
        <v>118.3</v>
      </c>
      <c r="F69" s="29">
        <v>117.8</v>
      </c>
      <c r="G69" s="29">
        <v>5000</v>
      </c>
      <c r="H69" s="29">
        <v>2500</v>
      </c>
      <c r="I69" s="67"/>
    </row>
    <row r="70" spans="1:9" x14ac:dyDescent="0.3">
      <c r="A70" s="20"/>
      <c r="B70" s="71">
        <v>42224</v>
      </c>
      <c r="C70" s="24" t="s">
        <v>23</v>
      </c>
      <c r="D70" s="24" t="s">
        <v>56</v>
      </c>
      <c r="E70" s="29">
        <v>100.35</v>
      </c>
      <c r="F70" s="29">
        <v>101.35</v>
      </c>
      <c r="G70" s="29">
        <v>5000</v>
      </c>
      <c r="H70" s="29">
        <v>-5000</v>
      </c>
      <c r="I70" s="67"/>
    </row>
    <row r="71" spans="1:9" x14ac:dyDescent="0.3">
      <c r="A71" s="20"/>
      <c r="B71" s="71">
        <v>42227</v>
      </c>
      <c r="C71" s="24" t="s">
        <v>23</v>
      </c>
      <c r="D71" s="24" t="s">
        <v>56</v>
      </c>
      <c r="E71" s="29">
        <v>101</v>
      </c>
      <c r="F71" s="29">
        <v>100.2</v>
      </c>
      <c r="G71" s="29">
        <v>5000</v>
      </c>
      <c r="H71" s="29">
        <v>4000</v>
      </c>
      <c r="I71" s="67"/>
    </row>
    <row r="72" spans="1:9" x14ac:dyDescent="0.3">
      <c r="A72" s="20"/>
      <c r="B72" s="71">
        <v>42228</v>
      </c>
      <c r="C72" s="24" t="s">
        <v>16</v>
      </c>
      <c r="D72" s="24" t="s">
        <v>29</v>
      </c>
      <c r="E72" s="29">
        <v>334</v>
      </c>
      <c r="F72" s="29">
        <v>337</v>
      </c>
      <c r="G72" s="29">
        <v>1000</v>
      </c>
      <c r="H72" s="29">
        <v>3000</v>
      </c>
      <c r="I72" s="67"/>
    </row>
    <row r="73" spans="1:9" x14ac:dyDescent="0.3">
      <c r="A73" s="20"/>
      <c r="B73" s="71">
        <v>42229</v>
      </c>
      <c r="C73" s="24" t="s">
        <v>23</v>
      </c>
      <c r="D73" s="24" t="s">
        <v>56</v>
      </c>
      <c r="E73" s="29">
        <v>101.7</v>
      </c>
      <c r="F73" s="29">
        <v>101.2</v>
      </c>
      <c r="G73" s="29">
        <v>5000</v>
      </c>
      <c r="H73" s="29">
        <v>2500</v>
      </c>
      <c r="I73" s="67"/>
    </row>
    <row r="74" spans="1:9" x14ac:dyDescent="0.3">
      <c r="A74" s="20"/>
      <c r="B74" s="71">
        <v>42230</v>
      </c>
      <c r="C74" s="24" t="s">
        <v>23</v>
      </c>
      <c r="D74" s="24" t="s">
        <v>56</v>
      </c>
      <c r="E74" s="29">
        <v>101.3</v>
      </c>
      <c r="F74" s="29">
        <v>100.8</v>
      </c>
      <c r="G74" s="29">
        <v>5000</v>
      </c>
      <c r="H74" s="29">
        <v>2500</v>
      </c>
      <c r="I74" s="99"/>
    </row>
    <row r="75" spans="1:9" x14ac:dyDescent="0.3">
      <c r="A75" s="57"/>
      <c r="B75" s="71">
        <v>42233</v>
      </c>
      <c r="C75" s="24" t="s">
        <v>23</v>
      </c>
      <c r="D75" s="24" t="s">
        <v>56</v>
      </c>
      <c r="E75" s="26">
        <v>101.7</v>
      </c>
      <c r="F75" s="26">
        <v>100.7</v>
      </c>
      <c r="G75" s="29">
        <v>5000</v>
      </c>
      <c r="H75" s="29">
        <v>5000</v>
      </c>
      <c r="I75" s="57"/>
    </row>
    <row r="76" spans="1:9" x14ac:dyDescent="0.3">
      <c r="A76" s="57"/>
      <c r="B76" s="71">
        <v>42234</v>
      </c>
      <c r="C76" s="24" t="s">
        <v>23</v>
      </c>
      <c r="D76" s="24" t="s">
        <v>56</v>
      </c>
      <c r="E76" s="26">
        <v>101.5</v>
      </c>
      <c r="F76" s="26">
        <v>100.5</v>
      </c>
      <c r="G76" s="29">
        <v>5000</v>
      </c>
      <c r="H76" s="29">
        <v>5000</v>
      </c>
      <c r="I76" s="57"/>
    </row>
    <row r="77" spans="1:9" x14ac:dyDescent="0.3">
      <c r="A77" s="57"/>
      <c r="B77" s="71">
        <v>42235</v>
      </c>
      <c r="C77" s="24" t="s">
        <v>23</v>
      </c>
      <c r="D77" s="24" t="s">
        <v>56</v>
      </c>
      <c r="E77" s="26">
        <v>101.6</v>
      </c>
      <c r="F77" s="26">
        <v>101.1</v>
      </c>
      <c r="G77" s="29">
        <v>5000</v>
      </c>
      <c r="H77" s="29">
        <v>2500</v>
      </c>
      <c r="I77" s="57"/>
    </row>
    <row r="78" spans="1:9" x14ac:dyDescent="0.3">
      <c r="A78" s="57"/>
      <c r="B78" s="71">
        <v>42236</v>
      </c>
      <c r="C78" s="24" t="s">
        <v>16</v>
      </c>
      <c r="D78" s="24" t="s">
        <v>28</v>
      </c>
      <c r="E78" s="26">
        <v>117</v>
      </c>
      <c r="F78" s="26">
        <v>118.5</v>
      </c>
      <c r="G78" s="29">
        <v>5000</v>
      </c>
      <c r="H78" s="29">
        <v>7500</v>
      </c>
      <c r="I78" s="57"/>
    </row>
    <row r="79" spans="1:9" x14ac:dyDescent="0.3">
      <c r="A79" s="57"/>
      <c r="B79" s="71">
        <v>42237</v>
      </c>
      <c r="C79" s="24" t="s">
        <v>16</v>
      </c>
      <c r="D79" s="24" t="s">
        <v>27</v>
      </c>
      <c r="E79" s="26">
        <v>112.5</v>
      </c>
      <c r="F79" s="26">
        <v>111.5</v>
      </c>
      <c r="G79" s="29">
        <v>5000</v>
      </c>
      <c r="H79" s="29">
        <v>-5000</v>
      </c>
      <c r="I79" s="57"/>
    </row>
    <row r="80" spans="1:9" x14ac:dyDescent="0.3">
      <c r="A80" s="57"/>
      <c r="B80" s="71">
        <v>42237</v>
      </c>
      <c r="C80" s="24" t="s">
        <v>23</v>
      </c>
      <c r="D80" s="24" t="s">
        <v>28</v>
      </c>
      <c r="E80" s="26">
        <v>118.1</v>
      </c>
      <c r="F80" s="26">
        <v>116.6</v>
      </c>
      <c r="G80" s="29">
        <v>5000</v>
      </c>
      <c r="H80" s="29">
        <v>7500</v>
      </c>
      <c r="I80" s="57"/>
    </row>
    <row r="81" spans="1:9" x14ac:dyDescent="0.3">
      <c r="A81" s="57"/>
      <c r="B81" s="71">
        <v>42240</v>
      </c>
      <c r="C81" s="24" t="s">
        <v>23</v>
      </c>
      <c r="D81" s="24" t="s">
        <v>56</v>
      </c>
      <c r="E81" s="26">
        <v>100.7</v>
      </c>
      <c r="F81" s="26">
        <v>99.7</v>
      </c>
      <c r="G81" s="29">
        <v>5000</v>
      </c>
      <c r="H81" s="29">
        <v>5000</v>
      </c>
      <c r="I81" s="57"/>
    </row>
    <row r="82" spans="1:9" x14ac:dyDescent="0.3">
      <c r="A82" s="57"/>
      <c r="B82" s="71">
        <v>42241</v>
      </c>
      <c r="C82" s="24" t="s">
        <v>23</v>
      </c>
      <c r="D82" s="24" t="s">
        <v>28</v>
      </c>
      <c r="E82" s="26">
        <v>114.3</v>
      </c>
      <c r="F82" s="26">
        <v>113.8</v>
      </c>
      <c r="G82" s="29">
        <v>5000</v>
      </c>
      <c r="H82" s="29">
        <v>2500</v>
      </c>
      <c r="I82" s="57"/>
    </row>
    <row r="83" spans="1:9" x14ac:dyDescent="0.3">
      <c r="A83" s="57"/>
      <c r="B83" s="71">
        <v>42242</v>
      </c>
      <c r="C83" s="24" t="s">
        <v>23</v>
      </c>
      <c r="D83" s="24" t="s">
        <v>28</v>
      </c>
      <c r="E83" s="26">
        <v>114.2</v>
      </c>
      <c r="F83" s="26">
        <v>112.7</v>
      </c>
      <c r="G83" s="29">
        <v>5000</v>
      </c>
      <c r="H83" s="29">
        <v>7500</v>
      </c>
      <c r="I83" s="57"/>
    </row>
    <row r="84" spans="1:9" x14ac:dyDescent="0.3">
      <c r="A84" s="57"/>
      <c r="B84" s="71">
        <v>42243</v>
      </c>
      <c r="C84" s="24" t="s">
        <v>16</v>
      </c>
      <c r="D84" s="24" t="s">
        <v>27</v>
      </c>
      <c r="E84" s="29">
        <v>109.5</v>
      </c>
      <c r="F84" s="29">
        <v>111</v>
      </c>
      <c r="G84" s="29">
        <v>5000</v>
      </c>
      <c r="H84" s="29">
        <v>7500</v>
      </c>
      <c r="I84" s="57"/>
    </row>
    <row r="85" spans="1:9" x14ac:dyDescent="0.3">
      <c r="A85" s="57"/>
      <c r="B85" s="71">
        <v>42244</v>
      </c>
      <c r="C85" s="24" t="s">
        <v>16</v>
      </c>
      <c r="D85" s="24" t="s">
        <v>27</v>
      </c>
      <c r="E85" s="29">
        <v>111.4</v>
      </c>
      <c r="F85" s="29">
        <v>110.4</v>
      </c>
      <c r="G85" s="29">
        <v>5000</v>
      </c>
      <c r="H85" s="29">
        <v>-5000</v>
      </c>
      <c r="I85" s="57"/>
    </row>
    <row r="86" spans="1:9" x14ac:dyDescent="0.3">
      <c r="A86" s="57"/>
      <c r="B86" s="71">
        <v>42244</v>
      </c>
      <c r="C86" s="75" t="s">
        <v>23</v>
      </c>
      <c r="D86" s="75" t="s">
        <v>35</v>
      </c>
      <c r="E86" s="45">
        <v>650</v>
      </c>
      <c r="F86" s="75">
        <v>644</v>
      </c>
      <c r="G86" s="29">
        <v>250</v>
      </c>
      <c r="H86" s="29">
        <v>1500</v>
      </c>
      <c r="I86" s="57"/>
    </row>
    <row r="87" spans="1:9" x14ac:dyDescent="0.3">
      <c r="A87" s="57"/>
      <c r="B87" s="71">
        <v>42247</v>
      </c>
      <c r="C87" s="75" t="s">
        <v>23</v>
      </c>
      <c r="D87" s="75" t="s">
        <v>56</v>
      </c>
      <c r="E87" s="75">
        <v>107</v>
      </c>
      <c r="F87" s="75">
        <v>106.7</v>
      </c>
      <c r="G87" s="29">
        <v>5000</v>
      </c>
      <c r="H87" s="29">
        <v>1500</v>
      </c>
      <c r="I87" s="57"/>
    </row>
    <row r="88" spans="1:9" ht="17.399999999999999" x14ac:dyDescent="0.3">
      <c r="A88" s="57"/>
      <c r="B88" s="71"/>
      <c r="C88" s="75"/>
      <c r="D88" s="75"/>
      <c r="E88" s="75"/>
      <c r="F88" s="75"/>
      <c r="G88" s="29"/>
      <c r="H88" s="106">
        <v>72500</v>
      </c>
      <c r="I88" s="57"/>
    </row>
    <row r="89" spans="1:9" x14ac:dyDescent="0.3">
      <c r="A89" s="57"/>
      <c r="B89" s="71"/>
      <c r="C89" s="75"/>
      <c r="D89" s="75"/>
      <c r="E89" s="75"/>
      <c r="F89" s="75"/>
      <c r="G89" s="29"/>
      <c r="H89" s="69"/>
      <c r="I89" s="57"/>
    </row>
    <row r="90" spans="1:9" ht="18" x14ac:dyDescent="0.35">
      <c r="A90" s="57"/>
      <c r="C90" s="18"/>
      <c r="D90" s="18"/>
      <c r="E90" s="18"/>
      <c r="F90" s="18"/>
      <c r="G90" s="18"/>
      <c r="H90" s="105"/>
      <c r="I90" s="57"/>
    </row>
    <row r="91" spans="1:9" x14ac:dyDescent="0.3">
      <c r="A91" s="57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B92" s="18"/>
      <c r="C92" s="18"/>
      <c r="D92" s="18"/>
      <c r="E92" s="18"/>
      <c r="F92" s="18"/>
      <c r="G92" s="18"/>
      <c r="H92" s="18"/>
      <c r="I92" s="57"/>
    </row>
    <row r="93" spans="1:9" x14ac:dyDescent="0.3">
      <c r="A93" s="57"/>
      <c r="B93" s="18"/>
      <c r="C93" s="18"/>
      <c r="D93" s="18"/>
      <c r="E93" s="18"/>
      <c r="F93" s="18"/>
      <c r="G93" s="18"/>
      <c r="H93" s="18"/>
      <c r="I93" s="57"/>
    </row>
    <row r="94" spans="1:9" x14ac:dyDescent="0.3">
      <c r="A94" s="57"/>
      <c r="B94" s="18"/>
      <c r="C94" s="18"/>
      <c r="D94" s="18"/>
      <c r="E94" s="18"/>
      <c r="F94" s="18"/>
      <c r="G94" s="18"/>
      <c r="H94" s="18"/>
      <c r="I94" s="57"/>
    </row>
    <row r="95" spans="1:9" x14ac:dyDescent="0.3">
      <c r="A95" s="57"/>
      <c r="B95" s="18"/>
      <c r="C95" s="18"/>
      <c r="D95" s="18"/>
      <c r="E95" s="18"/>
      <c r="F95" s="18"/>
      <c r="G95" s="18"/>
      <c r="H95" s="18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</sheetData>
  <mergeCells count="3">
    <mergeCell ref="B1:H1"/>
    <mergeCell ref="B2:H2"/>
    <mergeCell ref="B3:H3"/>
  </mergeCells>
  <hyperlinks>
    <hyperlink ref="J2" location="MASTER!A1" display="Back" xr:uid="{00000000-0004-0000-2000-000000000000}"/>
  </hyperlinks>
  <pageMargins left="0.7" right="0.7" top="0.75" bottom="0.75" header="0.3" footer="0.3"/>
  <pageSetup orientation="portrait" r:id="rId1"/>
  <ignoredErrors>
    <ignoredError sqref="E46:F47 E34:F44 E45:F45 E48:F52 E53:F56 K8:N11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97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4" max="4" width="17.8867187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4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4" ht="15.6" x14ac:dyDescent="0.3">
      <c r="A3" s="19"/>
      <c r="B3" s="296" t="s">
        <v>704</v>
      </c>
      <c r="C3" s="296"/>
      <c r="D3" s="296"/>
      <c r="E3" s="296"/>
      <c r="F3" s="296"/>
      <c r="G3" s="296"/>
      <c r="H3" s="296"/>
      <c r="I3" s="19"/>
    </row>
    <row r="4" spans="1:14" ht="15.6" x14ac:dyDescent="0.3">
      <c r="A4" s="20"/>
      <c r="B4" s="295" t="s">
        <v>703</v>
      </c>
      <c r="C4" s="295"/>
      <c r="D4" s="295"/>
      <c r="E4" s="295"/>
      <c r="F4" s="295"/>
      <c r="G4" s="295"/>
      <c r="H4" s="295"/>
      <c r="I4" s="20"/>
    </row>
    <row r="5" spans="1:14" x14ac:dyDescent="0.3">
      <c r="A5" s="20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6</v>
      </c>
      <c r="H5" s="60" t="s">
        <v>7</v>
      </c>
      <c r="I5" s="20"/>
      <c r="J5" s="34"/>
    </row>
    <row r="6" spans="1:14" x14ac:dyDescent="0.3">
      <c r="A6" s="20"/>
      <c r="B6" s="71">
        <v>42248</v>
      </c>
      <c r="C6" s="24" t="s">
        <v>23</v>
      </c>
      <c r="D6" s="26" t="s">
        <v>24</v>
      </c>
      <c r="E6" s="29">
        <v>26870</v>
      </c>
      <c r="F6" s="29">
        <v>26800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42249</v>
      </c>
      <c r="C7" s="24" t="s">
        <v>55</v>
      </c>
      <c r="D7" s="26" t="s">
        <v>24</v>
      </c>
      <c r="E7" s="29">
        <v>26750</v>
      </c>
      <c r="F7" s="29">
        <v>26820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42250</v>
      </c>
      <c r="C8" s="24" t="s">
        <v>23</v>
      </c>
      <c r="D8" s="26" t="s">
        <v>24</v>
      </c>
      <c r="E8" s="29">
        <v>26550</v>
      </c>
      <c r="F8" s="29">
        <v>26380</v>
      </c>
      <c r="G8" s="29">
        <v>100</v>
      </c>
      <c r="H8" s="29">
        <v>17000</v>
      </c>
      <c r="I8" s="20"/>
      <c r="J8" s="100" t="s">
        <v>257</v>
      </c>
      <c r="K8" s="49" t="s">
        <v>491</v>
      </c>
      <c r="L8" s="101" t="s">
        <v>267</v>
      </c>
      <c r="M8" s="101" t="s">
        <v>299</v>
      </c>
      <c r="N8" s="101" t="s">
        <v>262</v>
      </c>
    </row>
    <row r="9" spans="1:14" x14ac:dyDescent="0.3">
      <c r="A9" s="20"/>
      <c r="B9" s="71">
        <v>42251</v>
      </c>
      <c r="C9" s="24" t="s">
        <v>16</v>
      </c>
      <c r="D9" s="26" t="s">
        <v>24</v>
      </c>
      <c r="E9" s="29">
        <v>26500</v>
      </c>
      <c r="F9" s="29">
        <v>26570</v>
      </c>
      <c r="G9" s="29">
        <v>100</v>
      </c>
      <c r="H9" s="29">
        <v>7000</v>
      </c>
      <c r="I9" s="20"/>
      <c r="J9" s="100" t="s">
        <v>258</v>
      </c>
      <c r="K9" s="101" t="s">
        <v>553</v>
      </c>
      <c r="L9" s="101" t="s">
        <v>491</v>
      </c>
      <c r="M9" s="101" t="s">
        <v>290</v>
      </c>
      <c r="N9" s="101" t="s">
        <v>262</v>
      </c>
    </row>
    <row r="10" spans="1:14" x14ac:dyDescent="0.3">
      <c r="A10" s="20"/>
      <c r="B10" s="71">
        <v>42255</v>
      </c>
      <c r="C10" s="24" t="s">
        <v>23</v>
      </c>
      <c r="D10" s="26" t="s">
        <v>24</v>
      </c>
      <c r="E10" s="29">
        <v>26450</v>
      </c>
      <c r="F10" s="29">
        <v>26400</v>
      </c>
      <c r="G10" s="29">
        <v>100</v>
      </c>
      <c r="H10" s="29">
        <v>5000</v>
      </c>
      <c r="I10" s="20"/>
      <c r="J10" s="100" t="s">
        <v>259</v>
      </c>
      <c r="K10" s="101" t="s">
        <v>491</v>
      </c>
      <c r="L10" s="101" t="s">
        <v>267</v>
      </c>
      <c r="M10" s="101" t="s">
        <v>299</v>
      </c>
      <c r="N10" s="101" t="s">
        <v>262</v>
      </c>
    </row>
    <row r="11" spans="1:14" x14ac:dyDescent="0.3">
      <c r="A11" s="20"/>
      <c r="B11" s="71">
        <v>42256</v>
      </c>
      <c r="C11" s="24" t="s">
        <v>23</v>
      </c>
      <c r="D11" s="26" t="s">
        <v>24</v>
      </c>
      <c r="E11" s="29">
        <v>26380</v>
      </c>
      <c r="F11" s="29">
        <v>26210</v>
      </c>
      <c r="G11" s="29">
        <v>100</v>
      </c>
      <c r="H11" s="29">
        <v>17000</v>
      </c>
      <c r="I11" s="20"/>
      <c r="J11" s="100" t="s">
        <v>300</v>
      </c>
      <c r="K11" s="104" t="s">
        <v>583</v>
      </c>
      <c r="L11" s="104" t="s">
        <v>269</v>
      </c>
      <c r="M11" s="104" t="s">
        <v>302</v>
      </c>
      <c r="N11" s="104">
        <f>SUM(N8:N10)</f>
        <v>0</v>
      </c>
    </row>
    <row r="12" spans="1:14" x14ac:dyDescent="0.3">
      <c r="A12" s="20"/>
      <c r="B12" s="71">
        <v>42257</v>
      </c>
      <c r="C12" s="24" t="s">
        <v>23</v>
      </c>
      <c r="D12" s="26" t="s">
        <v>24</v>
      </c>
      <c r="E12" s="29">
        <v>26130</v>
      </c>
      <c r="F12" s="29">
        <v>26060</v>
      </c>
      <c r="G12" s="29">
        <v>100</v>
      </c>
      <c r="H12" s="69">
        <v>7000</v>
      </c>
      <c r="I12" s="20"/>
      <c r="J12" s="34"/>
    </row>
    <row r="13" spans="1:14" x14ac:dyDescent="0.3">
      <c r="A13" s="20"/>
      <c r="B13" s="71">
        <v>42258</v>
      </c>
      <c r="C13" s="24" t="s">
        <v>23</v>
      </c>
      <c r="D13" s="26" t="s">
        <v>24</v>
      </c>
      <c r="E13" s="29">
        <v>26170</v>
      </c>
      <c r="F13" s="29">
        <v>26000</v>
      </c>
      <c r="G13" s="29">
        <v>100</v>
      </c>
      <c r="H13" s="69">
        <v>17000</v>
      </c>
      <c r="I13" s="20"/>
      <c r="J13" s="34"/>
      <c r="K13" s="87" t="s">
        <v>718</v>
      </c>
      <c r="L13" s="88"/>
      <c r="M13" s="89"/>
    </row>
    <row r="14" spans="1:14" x14ac:dyDescent="0.3">
      <c r="A14" s="20"/>
      <c r="B14" s="71">
        <v>42261</v>
      </c>
      <c r="C14" s="24" t="s">
        <v>23</v>
      </c>
      <c r="D14" s="26" t="s">
        <v>24</v>
      </c>
      <c r="E14" s="29">
        <v>26050</v>
      </c>
      <c r="F14" s="29">
        <v>25980</v>
      </c>
      <c r="G14" s="29">
        <v>100</v>
      </c>
      <c r="H14" s="69">
        <v>7000</v>
      </c>
      <c r="I14" s="20"/>
      <c r="J14" s="34"/>
    </row>
    <row r="15" spans="1:14" x14ac:dyDescent="0.3">
      <c r="A15" s="20"/>
      <c r="B15" s="71">
        <v>42262</v>
      </c>
      <c r="C15" s="24" t="s">
        <v>23</v>
      </c>
      <c r="D15" s="26" t="s">
        <v>24</v>
      </c>
      <c r="E15" s="29">
        <v>26070</v>
      </c>
      <c r="F15" s="29">
        <v>25950</v>
      </c>
      <c r="G15" s="29">
        <v>100</v>
      </c>
      <c r="H15" s="69">
        <v>12000</v>
      </c>
      <c r="I15" s="20"/>
      <c r="J15" s="34"/>
    </row>
    <row r="16" spans="1:14" x14ac:dyDescent="0.3">
      <c r="A16" s="20"/>
      <c r="B16" s="71">
        <v>42263</v>
      </c>
      <c r="C16" s="24" t="s">
        <v>16</v>
      </c>
      <c r="D16" s="26" t="s">
        <v>24</v>
      </c>
      <c r="E16" s="29">
        <v>26030</v>
      </c>
      <c r="F16" s="29">
        <v>26200</v>
      </c>
      <c r="G16" s="29">
        <v>100</v>
      </c>
      <c r="H16" s="69">
        <v>17000</v>
      </c>
      <c r="I16" s="20"/>
      <c r="J16" s="34"/>
    </row>
    <row r="17" spans="1:10" x14ac:dyDescent="0.3">
      <c r="A17" s="20"/>
      <c r="B17" s="71">
        <v>42263</v>
      </c>
      <c r="C17" s="24" t="s">
        <v>16</v>
      </c>
      <c r="D17" s="26" t="s">
        <v>22</v>
      </c>
      <c r="E17" s="29">
        <v>34800</v>
      </c>
      <c r="F17" s="29">
        <v>35250</v>
      </c>
      <c r="G17" s="29">
        <v>30</v>
      </c>
      <c r="H17" s="69">
        <v>13500</v>
      </c>
      <c r="I17" s="20"/>
      <c r="J17" s="34"/>
    </row>
    <row r="18" spans="1:10" x14ac:dyDescent="0.3">
      <c r="A18" s="20"/>
      <c r="B18" s="71">
        <v>42265</v>
      </c>
      <c r="C18" s="24" t="s">
        <v>23</v>
      </c>
      <c r="D18" s="26" t="s">
        <v>24</v>
      </c>
      <c r="E18" s="29">
        <v>26350</v>
      </c>
      <c r="F18" s="29">
        <v>26450</v>
      </c>
      <c r="G18" s="29">
        <v>100</v>
      </c>
      <c r="H18" s="69">
        <v>-10000</v>
      </c>
      <c r="I18" s="20"/>
      <c r="J18" s="34"/>
    </row>
    <row r="19" spans="1:10" x14ac:dyDescent="0.3">
      <c r="A19" s="20"/>
      <c r="B19" s="71">
        <v>42268</v>
      </c>
      <c r="C19" s="24" t="s">
        <v>16</v>
      </c>
      <c r="D19" s="26" t="s">
        <v>24</v>
      </c>
      <c r="E19" s="29">
        <v>26520</v>
      </c>
      <c r="F19" s="29">
        <v>26620</v>
      </c>
      <c r="G19" s="29">
        <v>100</v>
      </c>
      <c r="H19" s="69">
        <v>-10000</v>
      </c>
      <c r="I19" s="20"/>
      <c r="J19" s="34"/>
    </row>
    <row r="20" spans="1:10" ht="15.6" x14ac:dyDescent="0.3">
      <c r="A20" s="20"/>
      <c r="B20" s="71">
        <v>42269</v>
      </c>
      <c r="C20" s="24" t="s">
        <v>23</v>
      </c>
      <c r="D20" s="26" t="s">
        <v>24</v>
      </c>
      <c r="E20" s="29">
        <v>26400</v>
      </c>
      <c r="F20" s="29">
        <v>26230</v>
      </c>
      <c r="G20" s="29">
        <v>100</v>
      </c>
      <c r="H20" s="79">
        <v>17000</v>
      </c>
      <c r="I20" s="20"/>
      <c r="J20" s="34"/>
    </row>
    <row r="21" spans="1:10" ht="15.6" x14ac:dyDescent="0.3">
      <c r="A21" s="20"/>
      <c r="B21" s="71">
        <v>42270</v>
      </c>
      <c r="C21" s="24" t="s">
        <v>23</v>
      </c>
      <c r="D21" s="26" t="s">
        <v>24</v>
      </c>
      <c r="E21" s="29">
        <v>26270</v>
      </c>
      <c r="F21" s="29">
        <v>26225</v>
      </c>
      <c r="G21" s="29">
        <v>100</v>
      </c>
      <c r="H21" s="79">
        <v>4500</v>
      </c>
      <c r="I21" s="20"/>
      <c r="J21" s="34"/>
    </row>
    <row r="22" spans="1:10" x14ac:dyDescent="0.3">
      <c r="A22" s="20"/>
      <c r="B22" s="71">
        <v>42271</v>
      </c>
      <c r="C22" s="24" t="s">
        <v>23</v>
      </c>
      <c r="D22" s="26" t="s">
        <v>22</v>
      </c>
      <c r="E22" s="29">
        <v>35450</v>
      </c>
      <c r="F22" s="29">
        <v>35750</v>
      </c>
      <c r="G22" s="29">
        <v>30</v>
      </c>
      <c r="H22" s="69">
        <v>-9000</v>
      </c>
      <c r="I22" s="20"/>
      <c r="J22" s="34"/>
    </row>
    <row r="23" spans="1:10" x14ac:dyDescent="0.3">
      <c r="A23" s="20"/>
      <c r="B23" s="71">
        <v>42275</v>
      </c>
      <c r="C23" s="24" t="s">
        <v>23</v>
      </c>
      <c r="D23" s="26" t="s">
        <v>24</v>
      </c>
      <c r="E23" s="29">
        <v>26700</v>
      </c>
      <c r="F23" s="29">
        <v>26530</v>
      </c>
      <c r="G23" s="29">
        <v>100</v>
      </c>
      <c r="H23" s="69">
        <v>17000</v>
      </c>
      <c r="I23" s="20"/>
      <c r="J23" s="34"/>
    </row>
    <row r="24" spans="1:10" x14ac:dyDescent="0.3">
      <c r="A24" s="20"/>
      <c r="B24" s="71">
        <v>42276</v>
      </c>
      <c r="C24" s="24" t="s">
        <v>23</v>
      </c>
      <c r="D24" s="26" t="s">
        <v>24</v>
      </c>
      <c r="E24" s="29">
        <v>26320</v>
      </c>
      <c r="F24" s="29">
        <v>26250</v>
      </c>
      <c r="G24" s="29">
        <v>100</v>
      </c>
      <c r="H24" s="69">
        <v>7000</v>
      </c>
      <c r="I24" s="20"/>
    </row>
    <row r="25" spans="1:10" x14ac:dyDescent="0.3">
      <c r="A25" s="20"/>
      <c r="B25" s="71">
        <v>42277</v>
      </c>
      <c r="C25" s="24" t="s">
        <v>23</v>
      </c>
      <c r="D25" s="26" t="s">
        <v>24</v>
      </c>
      <c r="E25" s="29">
        <v>26100</v>
      </c>
      <c r="F25" s="29">
        <v>25930</v>
      </c>
      <c r="G25" s="29">
        <v>100</v>
      </c>
      <c r="H25" s="69">
        <v>17000</v>
      </c>
      <c r="I25" s="20"/>
    </row>
    <row r="26" spans="1:10" x14ac:dyDescent="0.3">
      <c r="A26" s="20"/>
      <c r="C26" s="24"/>
      <c r="D26" s="26"/>
      <c r="E26" s="26"/>
      <c r="F26" s="26"/>
      <c r="G26" s="29"/>
      <c r="H26" s="69"/>
      <c r="I26" s="20"/>
    </row>
    <row r="27" spans="1:10" ht="17.399999999999999" x14ac:dyDescent="0.3">
      <c r="A27" s="20"/>
      <c r="B27" s="71"/>
      <c r="C27" s="24"/>
      <c r="D27" s="26"/>
      <c r="E27" s="26"/>
      <c r="F27" s="26"/>
      <c r="G27" s="29"/>
      <c r="H27" s="106">
        <f>SUM(H6:H26)</f>
        <v>167000</v>
      </c>
      <c r="I27" s="20"/>
    </row>
    <row r="28" spans="1:10" x14ac:dyDescent="0.3">
      <c r="A28" s="20"/>
      <c r="B28" s="71"/>
      <c r="C28" s="29"/>
      <c r="D28" s="26"/>
      <c r="E28" s="36"/>
      <c r="F28" s="29"/>
      <c r="G28" s="29"/>
      <c r="H28" s="69"/>
      <c r="I28" s="20"/>
    </row>
    <row r="29" spans="1:10" ht="18" x14ac:dyDescent="0.35">
      <c r="A29" s="20"/>
      <c r="B29" s="71"/>
      <c r="C29" s="29"/>
      <c r="D29" s="36"/>
      <c r="E29" s="36"/>
      <c r="F29" s="29"/>
      <c r="G29" s="29"/>
      <c r="H29" s="105"/>
      <c r="I29" s="20"/>
    </row>
    <row r="30" spans="1:10" ht="15.6" x14ac:dyDescent="0.3">
      <c r="A30" s="20"/>
      <c r="B30" s="71"/>
      <c r="C30" s="29"/>
      <c r="D30" s="36"/>
      <c r="E30" s="36"/>
      <c r="F30" s="29"/>
      <c r="G30" s="29"/>
      <c r="H30" s="80"/>
      <c r="I30" s="20"/>
    </row>
    <row r="31" spans="1:10" x14ac:dyDescent="0.3">
      <c r="A31" s="20"/>
      <c r="B31" s="71"/>
      <c r="C31" s="29"/>
      <c r="D31" s="36"/>
      <c r="E31" s="36"/>
      <c r="F31" s="29"/>
      <c r="G31" s="29"/>
      <c r="H31" s="29"/>
      <c r="I31" s="20"/>
    </row>
    <row r="32" spans="1:10" x14ac:dyDescent="0.3">
      <c r="A32" s="20"/>
      <c r="B32" s="71"/>
      <c r="C32" s="29"/>
      <c r="D32" s="36"/>
      <c r="E32" s="36"/>
      <c r="F32" s="29"/>
      <c r="G32" s="29"/>
      <c r="H32" s="29"/>
      <c r="I32" s="20"/>
    </row>
    <row r="33" spans="1:9" ht="15.6" x14ac:dyDescent="0.3">
      <c r="A33" s="20"/>
      <c r="B33" s="61" t="s">
        <v>702</v>
      </c>
      <c r="C33" s="62"/>
      <c r="D33" s="63"/>
      <c r="E33" s="62"/>
      <c r="F33" s="62"/>
      <c r="G33" s="62"/>
      <c r="H33" s="62"/>
      <c r="I33" s="20"/>
    </row>
    <row r="34" spans="1:9" x14ac:dyDescent="0.3">
      <c r="A34" s="20"/>
      <c r="B34" s="71">
        <v>42248</v>
      </c>
      <c r="C34" s="24" t="s">
        <v>16</v>
      </c>
      <c r="D34" s="24" t="s">
        <v>25</v>
      </c>
      <c r="E34" s="49" t="s">
        <v>511</v>
      </c>
      <c r="F34" s="49" t="s">
        <v>662</v>
      </c>
      <c r="G34" s="25">
        <v>100</v>
      </c>
      <c r="H34" s="29">
        <v>2500</v>
      </c>
      <c r="I34" s="20"/>
    </row>
    <row r="35" spans="1:9" x14ac:dyDescent="0.3">
      <c r="A35" s="20"/>
      <c r="B35" s="71">
        <v>42248</v>
      </c>
      <c r="C35" s="24" t="s">
        <v>23</v>
      </c>
      <c r="D35" s="24" t="s">
        <v>25</v>
      </c>
      <c r="E35" s="49" t="s">
        <v>668</v>
      </c>
      <c r="F35" s="49" t="s">
        <v>669</v>
      </c>
      <c r="G35" s="25">
        <v>100</v>
      </c>
      <c r="H35" s="29">
        <v>4500</v>
      </c>
      <c r="I35" s="20"/>
    </row>
    <row r="36" spans="1:9" x14ac:dyDescent="0.3">
      <c r="A36" s="20"/>
      <c r="B36" s="71">
        <v>42249</v>
      </c>
      <c r="C36" s="24" t="s">
        <v>23</v>
      </c>
      <c r="D36" s="24" t="s">
        <v>25</v>
      </c>
      <c r="E36" s="83" t="s">
        <v>705</v>
      </c>
      <c r="F36" s="49" t="s">
        <v>706</v>
      </c>
      <c r="G36" s="25">
        <v>100</v>
      </c>
      <c r="H36" s="29">
        <v>5500</v>
      </c>
      <c r="I36" s="20"/>
    </row>
    <row r="37" spans="1:9" x14ac:dyDescent="0.3">
      <c r="A37" s="20"/>
      <c r="B37" s="71">
        <v>42249</v>
      </c>
      <c r="C37" s="24" t="s">
        <v>23</v>
      </c>
      <c r="D37" s="24" t="s">
        <v>25</v>
      </c>
      <c r="E37" s="83" t="s">
        <v>561</v>
      </c>
      <c r="F37" s="49" t="s">
        <v>707</v>
      </c>
      <c r="G37" s="25">
        <v>100</v>
      </c>
      <c r="H37" s="29">
        <v>1500</v>
      </c>
      <c r="I37" s="20"/>
    </row>
    <row r="38" spans="1:9" x14ac:dyDescent="0.3">
      <c r="A38" s="20"/>
      <c r="B38" s="71">
        <v>42250</v>
      </c>
      <c r="C38" s="24" t="s">
        <v>23</v>
      </c>
      <c r="D38" s="24" t="s">
        <v>25</v>
      </c>
      <c r="E38" s="49" t="s">
        <v>519</v>
      </c>
      <c r="F38" s="49" t="s">
        <v>549</v>
      </c>
      <c r="G38" s="25">
        <v>100</v>
      </c>
      <c r="H38" s="29">
        <v>1500</v>
      </c>
      <c r="I38" s="20"/>
    </row>
    <row r="39" spans="1:9" x14ac:dyDescent="0.3">
      <c r="A39" s="20"/>
      <c r="B39" s="71">
        <v>42251</v>
      </c>
      <c r="C39" s="24" t="s">
        <v>23</v>
      </c>
      <c r="D39" s="24" t="s">
        <v>25</v>
      </c>
      <c r="E39" s="49" t="s">
        <v>705</v>
      </c>
      <c r="F39" s="49" t="s">
        <v>708</v>
      </c>
      <c r="G39" s="25">
        <v>100</v>
      </c>
      <c r="H39" s="29">
        <v>1500</v>
      </c>
      <c r="I39" s="20"/>
    </row>
    <row r="40" spans="1:9" x14ac:dyDescent="0.3">
      <c r="A40" s="20"/>
      <c r="B40" s="71">
        <v>42255</v>
      </c>
      <c r="C40" s="24" t="s">
        <v>16</v>
      </c>
      <c r="D40" s="24" t="s">
        <v>25</v>
      </c>
      <c r="E40" s="49" t="s">
        <v>460</v>
      </c>
      <c r="F40" s="49" t="s">
        <v>669</v>
      </c>
      <c r="G40" s="25">
        <v>100</v>
      </c>
      <c r="H40" s="29">
        <v>4000</v>
      </c>
      <c r="I40" s="20"/>
    </row>
    <row r="41" spans="1:9" x14ac:dyDescent="0.3">
      <c r="A41" s="20"/>
      <c r="B41" s="71">
        <v>42256</v>
      </c>
      <c r="C41" s="24" t="s">
        <v>23</v>
      </c>
      <c r="D41" s="24" t="s">
        <v>25</v>
      </c>
      <c r="E41" s="49" t="s">
        <v>669</v>
      </c>
      <c r="F41" s="49" t="s">
        <v>471</v>
      </c>
      <c r="G41" s="25">
        <v>100</v>
      </c>
      <c r="H41" s="29">
        <v>7500</v>
      </c>
      <c r="I41" s="20"/>
    </row>
    <row r="42" spans="1:9" x14ac:dyDescent="0.3">
      <c r="A42" s="20"/>
      <c r="B42" s="71">
        <v>42257</v>
      </c>
      <c r="C42" s="24" t="s">
        <v>16</v>
      </c>
      <c r="D42" s="24" t="s">
        <v>25</v>
      </c>
      <c r="E42" s="49" t="s">
        <v>709</v>
      </c>
      <c r="F42" s="49" t="s">
        <v>675</v>
      </c>
      <c r="G42" s="25">
        <v>100</v>
      </c>
      <c r="H42" s="29">
        <v>7500</v>
      </c>
      <c r="I42" s="20"/>
    </row>
    <row r="43" spans="1:9" x14ac:dyDescent="0.3">
      <c r="A43" s="20"/>
      <c r="B43" s="71">
        <v>42258</v>
      </c>
      <c r="C43" s="24" t="s">
        <v>23</v>
      </c>
      <c r="D43" s="24" t="s">
        <v>25</v>
      </c>
      <c r="E43" s="49" t="s">
        <v>710</v>
      </c>
      <c r="F43" s="49" t="s">
        <v>561</v>
      </c>
      <c r="G43" s="25">
        <v>100</v>
      </c>
      <c r="H43" s="29">
        <v>6500</v>
      </c>
      <c r="I43" s="20"/>
    </row>
    <row r="44" spans="1:9" x14ac:dyDescent="0.3">
      <c r="A44" s="20"/>
      <c r="B44" s="71">
        <v>42261</v>
      </c>
      <c r="C44" s="24" t="s">
        <v>23</v>
      </c>
      <c r="D44" s="24" t="s">
        <v>25</v>
      </c>
      <c r="E44" s="49" t="s">
        <v>561</v>
      </c>
      <c r="F44" s="49" t="s">
        <v>712</v>
      </c>
      <c r="G44" s="25">
        <v>100</v>
      </c>
      <c r="H44" s="29">
        <v>5500</v>
      </c>
      <c r="I44" s="20"/>
    </row>
    <row r="45" spans="1:9" x14ac:dyDescent="0.3">
      <c r="A45" s="20"/>
      <c r="B45" s="71">
        <v>42262</v>
      </c>
      <c r="C45" s="24" t="s">
        <v>23</v>
      </c>
      <c r="D45" s="24" t="s">
        <v>25</v>
      </c>
      <c r="E45" s="49" t="s">
        <v>713</v>
      </c>
      <c r="F45" s="49" t="s">
        <v>478</v>
      </c>
      <c r="G45" s="25">
        <v>100</v>
      </c>
      <c r="H45" s="29">
        <v>1500</v>
      </c>
      <c r="I45" s="20"/>
    </row>
    <row r="46" spans="1:9" x14ac:dyDescent="0.3">
      <c r="A46" s="20"/>
      <c r="B46" s="71">
        <v>42263</v>
      </c>
      <c r="C46" s="24" t="s">
        <v>16</v>
      </c>
      <c r="D46" s="24" t="s">
        <v>25</v>
      </c>
      <c r="E46" s="49" t="s">
        <v>463</v>
      </c>
      <c r="F46" s="49" t="s">
        <v>549</v>
      </c>
      <c r="G46" s="25">
        <v>100</v>
      </c>
      <c r="H46" s="29">
        <v>6000</v>
      </c>
      <c r="I46" s="20"/>
    </row>
    <row r="47" spans="1:9" x14ac:dyDescent="0.3">
      <c r="A47" s="20"/>
      <c r="B47" s="71">
        <v>42265</v>
      </c>
      <c r="C47" s="24" t="s">
        <v>23</v>
      </c>
      <c r="D47" s="24" t="s">
        <v>25</v>
      </c>
      <c r="E47" s="49" t="s">
        <v>711</v>
      </c>
      <c r="F47" s="49" t="s">
        <v>460</v>
      </c>
      <c r="G47" s="25">
        <v>100</v>
      </c>
      <c r="H47" s="29">
        <v>6000</v>
      </c>
      <c r="I47" s="20"/>
    </row>
    <row r="48" spans="1:9" x14ac:dyDescent="0.3">
      <c r="A48" s="20"/>
      <c r="B48" s="71">
        <v>42268</v>
      </c>
      <c r="C48" s="24" t="s">
        <v>16</v>
      </c>
      <c r="D48" s="24" t="s">
        <v>25</v>
      </c>
      <c r="E48" s="49" t="s">
        <v>463</v>
      </c>
      <c r="F48" s="49" t="s">
        <v>549</v>
      </c>
      <c r="G48" s="25">
        <v>100</v>
      </c>
      <c r="H48" s="29">
        <v>6000</v>
      </c>
      <c r="I48" s="20"/>
    </row>
    <row r="49" spans="1:9" x14ac:dyDescent="0.3">
      <c r="A49" s="20"/>
      <c r="B49" s="71">
        <v>42269</v>
      </c>
      <c r="C49" s="24" t="s">
        <v>23</v>
      </c>
      <c r="D49" s="24" t="s">
        <v>25</v>
      </c>
      <c r="E49" s="49" t="s">
        <v>669</v>
      </c>
      <c r="F49" s="49" t="s">
        <v>460</v>
      </c>
      <c r="G49" s="25">
        <v>100</v>
      </c>
      <c r="H49" s="29">
        <v>4000</v>
      </c>
      <c r="I49" s="20"/>
    </row>
    <row r="50" spans="1:9" x14ac:dyDescent="0.3">
      <c r="A50" s="20"/>
      <c r="B50" s="71">
        <v>42270</v>
      </c>
      <c r="C50" s="24" t="s">
        <v>16</v>
      </c>
      <c r="D50" s="24" t="s">
        <v>25</v>
      </c>
      <c r="E50" s="49" t="s">
        <v>714</v>
      </c>
      <c r="F50" s="49" t="s">
        <v>715</v>
      </c>
      <c r="G50" s="25">
        <v>100</v>
      </c>
      <c r="H50" s="29">
        <v>1500</v>
      </c>
      <c r="I50" s="20"/>
    </row>
    <row r="51" spans="1:9" x14ac:dyDescent="0.3">
      <c r="A51" s="20"/>
      <c r="B51" s="71">
        <v>42271</v>
      </c>
      <c r="C51" s="24" t="s">
        <v>23</v>
      </c>
      <c r="D51" s="24" t="s">
        <v>25</v>
      </c>
      <c r="E51" s="49" t="s">
        <v>716</v>
      </c>
      <c r="F51" s="49" t="s">
        <v>707</v>
      </c>
      <c r="G51" s="25">
        <v>100</v>
      </c>
      <c r="H51" s="29">
        <v>4000</v>
      </c>
      <c r="I51" s="20"/>
    </row>
    <row r="52" spans="1:9" x14ac:dyDescent="0.3">
      <c r="A52" s="20"/>
      <c r="B52" s="71">
        <v>42275</v>
      </c>
      <c r="C52" s="24" t="s">
        <v>23</v>
      </c>
      <c r="D52" s="24" t="s">
        <v>25</v>
      </c>
      <c r="E52" s="49" t="s">
        <v>462</v>
      </c>
      <c r="F52" s="49" t="s">
        <v>470</v>
      </c>
      <c r="G52" s="25">
        <v>100</v>
      </c>
      <c r="H52" s="29">
        <v>4000</v>
      </c>
      <c r="I52" s="20"/>
    </row>
    <row r="53" spans="1:9" x14ac:dyDescent="0.3">
      <c r="A53" s="20"/>
      <c r="B53" s="71">
        <v>42276</v>
      </c>
      <c r="C53" s="24" t="s">
        <v>23</v>
      </c>
      <c r="D53" s="24" t="s">
        <v>25</v>
      </c>
      <c r="E53" s="49" t="s">
        <v>717</v>
      </c>
      <c r="F53" s="49" t="s">
        <v>675</v>
      </c>
      <c r="G53" s="25">
        <v>100</v>
      </c>
      <c r="H53" s="29">
        <v>-3500</v>
      </c>
      <c r="I53" s="67"/>
    </row>
    <row r="54" spans="1:9" x14ac:dyDescent="0.3">
      <c r="A54" s="20"/>
      <c r="B54" s="71">
        <v>42277</v>
      </c>
      <c r="C54" s="24" t="s">
        <v>23</v>
      </c>
      <c r="D54" s="24" t="s">
        <v>26</v>
      </c>
      <c r="E54" s="49" t="s">
        <v>508</v>
      </c>
      <c r="F54" s="49" t="s">
        <v>719</v>
      </c>
      <c r="G54" s="25">
        <v>1250</v>
      </c>
      <c r="H54" s="29">
        <v>3750</v>
      </c>
      <c r="I54" s="67"/>
    </row>
    <row r="55" spans="1:9" x14ac:dyDescent="0.3">
      <c r="A55" s="20"/>
      <c r="B55" s="71"/>
      <c r="C55" s="24"/>
      <c r="D55" s="24"/>
      <c r="E55" s="49"/>
      <c r="F55" s="49"/>
      <c r="G55" s="25"/>
      <c r="H55" s="29"/>
      <c r="I55" s="67"/>
    </row>
    <row r="56" spans="1:9" ht="17.399999999999999" x14ac:dyDescent="0.3">
      <c r="A56" s="20"/>
      <c r="B56" s="71"/>
      <c r="C56" s="97"/>
      <c r="D56" s="24"/>
      <c r="E56" s="97"/>
      <c r="F56" s="97"/>
      <c r="G56" s="25"/>
      <c r="H56" s="106">
        <f>SUM(H34:H55)</f>
        <v>81250</v>
      </c>
      <c r="I56" s="67"/>
    </row>
    <row r="57" spans="1:9" x14ac:dyDescent="0.3">
      <c r="A57" s="20"/>
      <c r="B57" s="71"/>
      <c r="C57" s="97"/>
      <c r="D57" s="24"/>
      <c r="E57" s="97"/>
      <c r="F57" s="97"/>
      <c r="G57" s="25"/>
      <c r="H57" s="69"/>
      <c r="I57" s="67"/>
    </row>
    <row r="58" spans="1:9" ht="17.399999999999999" x14ac:dyDescent="0.3">
      <c r="A58" s="20"/>
      <c r="B58" s="71"/>
      <c r="C58" s="24"/>
      <c r="D58" s="24"/>
      <c r="E58" s="97"/>
      <c r="F58" s="97"/>
      <c r="G58" s="25"/>
      <c r="H58" s="106"/>
      <c r="I58" s="67"/>
    </row>
    <row r="59" spans="1:9" x14ac:dyDescent="0.3">
      <c r="A59" s="20"/>
      <c r="B59" s="71"/>
      <c r="C59" s="29"/>
      <c r="D59" s="24"/>
      <c r="E59" s="29"/>
      <c r="F59" s="29"/>
      <c r="G59" s="25"/>
      <c r="H59" s="29"/>
      <c r="I59" s="67"/>
    </row>
    <row r="60" spans="1:9" ht="18" x14ac:dyDescent="0.35">
      <c r="A60" s="20"/>
      <c r="B60" s="71"/>
      <c r="C60" s="29"/>
      <c r="D60" s="36"/>
      <c r="E60" s="29"/>
      <c r="F60" s="29"/>
      <c r="G60" s="29"/>
      <c r="H60" s="105"/>
      <c r="I60" s="67"/>
    </row>
    <row r="61" spans="1:9" x14ac:dyDescent="0.3">
      <c r="A61" s="20"/>
      <c r="B61" s="71"/>
      <c r="C61" s="29"/>
      <c r="D61" s="36"/>
      <c r="E61" s="29"/>
      <c r="F61" s="29"/>
      <c r="G61" s="29"/>
      <c r="H61" s="29"/>
      <c r="I61" s="67"/>
    </row>
    <row r="62" spans="1:9" x14ac:dyDescent="0.3">
      <c r="A62" s="20"/>
      <c r="B62" s="71"/>
      <c r="C62" s="29"/>
      <c r="D62" s="36"/>
      <c r="E62" s="29"/>
      <c r="F62" s="29"/>
      <c r="G62" s="29"/>
      <c r="H62" s="29"/>
      <c r="I62" s="67"/>
    </row>
    <row r="63" spans="1:9" x14ac:dyDescent="0.3">
      <c r="A63" s="20"/>
      <c r="B63" s="71"/>
      <c r="C63" s="29"/>
      <c r="D63" s="36"/>
      <c r="E63" s="29"/>
      <c r="F63" s="29"/>
      <c r="G63" s="29"/>
      <c r="H63" s="29"/>
      <c r="I63" s="67"/>
    </row>
    <row r="64" spans="1:9" ht="15.6" x14ac:dyDescent="0.3">
      <c r="A64" s="20"/>
      <c r="B64" s="61" t="s">
        <v>701</v>
      </c>
      <c r="C64" s="62"/>
      <c r="D64" s="63"/>
      <c r="E64" s="62"/>
      <c r="F64" s="62"/>
      <c r="G64" s="62"/>
      <c r="H64" s="64"/>
      <c r="I64" s="67"/>
    </row>
    <row r="65" spans="1:9" x14ac:dyDescent="0.3">
      <c r="A65" s="20"/>
      <c r="B65" s="71">
        <v>42248</v>
      </c>
      <c r="C65" s="24" t="s">
        <v>23</v>
      </c>
      <c r="D65" s="24" t="s">
        <v>56</v>
      </c>
      <c r="E65" s="29">
        <v>105.4</v>
      </c>
      <c r="F65" s="29">
        <v>160.4</v>
      </c>
      <c r="G65" s="29">
        <v>5000</v>
      </c>
      <c r="H65" s="29">
        <v>-5000</v>
      </c>
      <c r="I65" s="67"/>
    </row>
    <row r="66" spans="1:9" x14ac:dyDescent="0.3">
      <c r="A66" s="20"/>
      <c r="B66" s="71">
        <v>42249</v>
      </c>
      <c r="C66" s="24" t="s">
        <v>16</v>
      </c>
      <c r="D66" s="24" t="s">
        <v>27</v>
      </c>
      <c r="E66" s="29">
        <v>115</v>
      </c>
      <c r="F66" s="29">
        <v>116</v>
      </c>
      <c r="G66" s="29">
        <v>5000</v>
      </c>
      <c r="H66" s="29">
        <v>5000</v>
      </c>
      <c r="I66" s="67"/>
    </row>
    <row r="67" spans="1:9" x14ac:dyDescent="0.3">
      <c r="A67" s="20"/>
      <c r="B67" s="71">
        <v>42250</v>
      </c>
      <c r="C67" s="24" t="s">
        <v>16</v>
      </c>
      <c r="D67" s="24" t="s">
        <v>28</v>
      </c>
      <c r="E67" s="29">
        <v>121.6</v>
      </c>
      <c r="F67" s="29">
        <v>122.1</v>
      </c>
      <c r="G67" s="29">
        <v>5000</v>
      </c>
      <c r="H67" s="29">
        <v>2500</v>
      </c>
      <c r="I67" s="67"/>
    </row>
    <row r="68" spans="1:9" x14ac:dyDescent="0.3">
      <c r="A68" s="20"/>
      <c r="B68" s="71">
        <v>42251</v>
      </c>
      <c r="C68" s="24" t="s">
        <v>16</v>
      </c>
      <c r="D68" s="24" t="s">
        <v>56</v>
      </c>
      <c r="E68" s="29">
        <v>108.3</v>
      </c>
      <c r="F68" s="29">
        <v>108.8</v>
      </c>
      <c r="G68" s="29">
        <v>5000</v>
      </c>
      <c r="H68" s="29">
        <v>2500</v>
      </c>
      <c r="I68" s="67"/>
    </row>
    <row r="69" spans="1:9" x14ac:dyDescent="0.3">
      <c r="A69" s="20"/>
      <c r="B69" s="71">
        <v>42255</v>
      </c>
      <c r="C69" s="24" t="s">
        <v>23</v>
      </c>
      <c r="D69" s="24" t="s">
        <v>56</v>
      </c>
      <c r="E69" s="29">
        <v>106.3</v>
      </c>
      <c r="F69" s="29">
        <v>107.3</v>
      </c>
      <c r="G69" s="29">
        <v>5000</v>
      </c>
      <c r="H69" s="29">
        <v>-5000</v>
      </c>
      <c r="I69" s="99"/>
    </row>
    <row r="70" spans="1:9" x14ac:dyDescent="0.3">
      <c r="A70" s="57"/>
      <c r="B70" s="71">
        <v>42256</v>
      </c>
      <c r="C70" s="24" t="s">
        <v>23</v>
      </c>
      <c r="D70" s="24" t="s">
        <v>35</v>
      </c>
      <c r="E70" s="29">
        <v>668</v>
      </c>
      <c r="F70" s="29">
        <v>665</v>
      </c>
      <c r="G70" s="29">
        <v>250</v>
      </c>
      <c r="H70" s="29">
        <v>750</v>
      </c>
      <c r="I70" s="57"/>
    </row>
    <row r="71" spans="1:9" x14ac:dyDescent="0.3">
      <c r="A71" s="57"/>
      <c r="B71" s="71">
        <v>42257</v>
      </c>
      <c r="C71" s="24" t="s">
        <v>16</v>
      </c>
      <c r="D71" s="24" t="s">
        <v>56</v>
      </c>
      <c r="E71" s="29">
        <v>108.5</v>
      </c>
      <c r="F71" s="29">
        <v>180.7</v>
      </c>
      <c r="G71" s="29">
        <v>5000</v>
      </c>
      <c r="H71" s="29">
        <v>1000</v>
      </c>
      <c r="I71" s="57"/>
    </row>
    <row r="72" spans="1:9" x14ac:dyDescent="0.3">
      <c r="A72" s="57"/>
      <c r="B72" s="71">
        <v>42258</v>
      </c>
      <c r="C72" s="24" t="s">
        <v>16</v>
      </c>
      <c r="D72" s="24" t="s">
        <v>27</v>
      </c>
      <c r="E72" s="29">
        <v>114.9</v>
      </c>
      <c r="F72" s="29">
        <v>113.9</v>
      </c>
      <c r="G72" s="29">
        <v>5000</v>
      </c>
      <c r="H72" s="29">
        <v>-5000</v>
      </c>
      <c r="I72" s="57"/>
    </row>
    <row r="73" spans="1:9" x14ac:dyDescent="0.3">
      <c r="A73" s="57"/>
      <c r="B73" s="71">
        <v>42261</v>
      </c>
      <c r="C73" s="24" t="s">
        <v>23</v>
      </c>
      <c r="D73" s="24" t="s">
        <v>27</v>
      </c>
      <c r="E73" s="29">
        <v>112.4</v>
      </c>
      <c r="F73" s="29">
        <v>110.9</v>
      </c>
      <c r="G73" s="29">
        <v>5000</v>
      </c>
      <c r="H73" s="29">
        <v>7500</v>
      </c>
      <c r="I73" s="57"/>
    </row>
    <row r="74" spans="1:9" x14ac:dyDescent="0.3">
      <c r="A74" s="57"/>
      <c r="B74" s="71">
        <v>42262</v>
      </c>
      <c r="C74" s="24" t="s">
        <v>23</v>
      </c>
      <c r="D74" s="24" t="s">
        <v>56</v>
      </c>
      <c r="E74" s="26">
        <v>107</v>
      </c>
      <c r="F74" s="26">
        <v>105.5</v>
      </c>
      <c r="G74" s="29">
        <v>5000</v>
      </c>
      <c r="H74" s="29">
        <v>7500</v>
      </c>
      <c r="I74" s="57"/>
    </row>
    <row r="75" spans="1:9" x14ac:dyDescent="0.3">
      <c r="A75" s="57"/>
      <c r="B75" s="71">
        <v>42263</v>
      </c>
      <c r="C75" s="24" t="s">
        <v>16</v>
      </c>
      <c r="D75" s="24" t="s">
        <v>27</v>
      </c>
      <c r="E75" s="26">
        <v>112.75</v>
      </c>
      <c r="F75" s="26">
        <v>113.6</v>
      </c>
      <c r="G75" s="29">
        <v>5000</v>
      </c>
      <c r="H75" s="29">
        <v>4000</v>
      </c>
      <c r="I75" s="57"/>
    </row>
    <row r="76" spans="1:9" x14ac:dyDescent="0.3">
      <c r="A76" s="57"/>
      <c r="B76" s="71">
        <v>42265</v>
      </c>
      <c r="C76" s="24" t="s">
        <v>23</v>
      </c>
      <c r="D76" s="24" t="s">
        <v>29</v>
      </c>
      <c r="E76" s="26">
        <v>361</v>
      </c>
      <c r="F76" s="26">
        <v>353</v>
      </c>
      <c r="G76" s="29">
        <v>1000</v>
      </c>
      <c r="H76" s="29">
        <v>8000</v>
      </c>
      <c r="I76" s="57"/>
    </row>
    <row r="77" spans="1:9" x14ac:dyDescent="0.3">
      <c r="A77" s="57"/>
      <c r="B77" s="71">
        <v>42268</v>
      </c>
      <c r="C77" s="24" t="s">
        <v>23</v>
      </c>
      <c r="D77" s="24" t="s">
        <v>56</v>
      </c>
      <c r="E77" s="26">
        <v>106.2</v>
      </c>
      <c r="F77" s="26">
        <v>105.9</v>
      </c>
      <c r="G77" s="29">
        <v>5000</v>
      </c>
      <c r="H77" s="29">
        <v>1500</v>
      </c>
      <c r="I77" s="57"/>
    </row>
    <row r="78" spans="1:9" x14ac:dyDescent="0.3">
      <c r="A78" s="57"/>
      <c r="B78" s="71">
        <v>42268</v>
      </c>
      <c r="C78" s="24" t="s">
        <v>16</v>
      </c>
      <c r="D78" s="24" t="s">
        <v>29</v>
      </c>
      <c r="E78" s="26">
        <v>353</v>
      </c>
      <c r="F78" s="26">
        <v>354</v>
      </c>
      <c r="G78" s="29">
        <v>1000</v>
      </c>
      <c r="H78" s="29">
        <v>1000</v>
      </c>
      <c r="I78" s="57"/>
    </row>
    <row r="79" spans="1:9" x14ac:dyDescent="0.3">
      <c r="A79" s="57"/>
      <c r="B79" s="71">
        <v>42269</v>
      </c>
      <c r="C79" s="24" t="s">
        <v>23</v>
      </c>
      <c r="D79" s="24" t="s">
        <v>27</v>
      </c>
      <c r="E79" s="26">
        <v>110.8</v>
      </c>
      <c r="F79" s="26">
        <v>110.3</v>
      </c>
      <c r="G79" s="29">
        <v>5000</v>
      </c>
      <c r="H79" s="29">
        <v>2500</v>
      </c>
      <c r="I79" s="57"/>
    </row>
    <row r="80" spans="1:9" x14ac:dyDescent="0.3">
      <c r="A80" s="57"/>
      <c r="B80" s="71">
        <v>42270</v>
      </c>
      <c r="C80" s="24" t="s">
        <v>23</v>
      </c>
      <c r="D80" s="24" t="s">
        <v>56</v>
      </c>
      <c r="E80" s="26">
        <v>104.5</v>
      </c>
      <c r="F80" s="26">
        <v>104.15</v>
      </c>
      <c r="G80" s="29">
        <v>5000</v>
      </c>
      <c r="H80" s="29">
        <v>1500</v>
      </c>
      <c r="I80" s="57"/>
    </row>
    <row r="81" spans="1:9" x14ac:dyDescent="0.3">
      <c r="A81" s="57"/>
      <c r="B81" s="71">
        <v>42271</v>
      </c>
      <c r="C81" s="24" t="s">
        <v>23</v>
      </c>
      <c r="D81" s="24" t="s">
        <v>56</v>
      </c>
      <c r="E81" s="26">
        <v>104.1</v>
      </c>
      <c r="F81" s="26">
        <v>103.6</v>
      </c>
      <c r="G81" s="29">
        <v>5000</v>
      </c>
      <c r="H81" s="29">
        <v>2500</v>
      </c>
      <c r="I81" s="57"/>
    </row>
    <row r="82" spans="1:9" x14ac:dyDescent="0.3">
      <c r="A82" s="57"/>
      <c r="B82" s="71">
        <v>42275</v>
      </c>
      <c r="C82" s="24" t="s">
        <v>23</v>
      </c>
      <c r="D82" s="24" t="s">
        <v>56</v>
      </c>
      <c r="E82" s="26">
        <v>103.4</v>
      </c>
      <c r="F82" s="26">
        <v>101.9</v>
      </c>
      <c r="G82" s="29">
        <v>5000</v>
      </c>
      <c r="H82" s="29">
        <v>7500</v>
      </c>
      <c r="I82" s="57"/>
    </row>
    <row r="83" spans="1:9" x14ac:dyDescent="0.3">
      <c r="A83" s="57"/>
      <c r="B83" s="71">
        <v>42276</v>
      </c>
      <c r="C83" s="24" t="s">
        <v>23</v>
      </c>
      <c r="D83" s="24" t="s">
        <v>56</v>
      </c>
      <c r="E83" s="29">
        <v>101.8</v>
      </c>
      <c r="F83" s="29">
        <v>101.3</v>
      </c>
      <c r="G83" s="29">
        <v>5000</v>
      </c>
      <c r="H83" s="29">
        <v>2500</v>
      </c>
      <c r="I83" s="57"/>
    </row>
    <row r="84" spans="1:9" x14ac:dyDescent="0.3">
      <c r="A84" s="57"/>
      <c r="B84" s="71">
        <v>42277</v>
      </c>
      <c r="C84" s="24" t="s">
        <v>23</v>
      </c>
      <c r="D84" s="24" t="s">
        <v>56</v>
      </c>
      <c r="E84" s="29">
        <v>102.7</v>
      </c>
      <c r="F84" s="29">
        <v>102.2</v>
      </c>
      <c r="G84" s="29">
        <v>5000</v>
      </c>
      <c r="H84" s="29">
        <v>2500</v>
      </c>
      <c r="I84" s="57"/>
    </row>
    <row r="85" spans="1:9" x14ac:dyDescent="0.3">
      <c r="A85" s="57"/>
      <c r="C85" s="75"/>
      <c r="D85" s="75"/>
      <c r="E85" s="45"/>
      <c r="F85" s="75"/>
      <c r="G85" s="29"/>
      <c r="H85" s="29"/>
      <c r="I85" s="57"/>
    </row>
    <row r="86" spans="1:9" ht="17.399999999999999" x14ac:dyDescent="0.3">
      <c r="A86" s="57"/>
      <c r="B86" s="71"/>
      <c r="C86" s="75"/>
      <c r="D86" s="75"/>
      <c r="E86" s="75"/>
      <c r="F86" s="75"/>
      <c r="G86" s="29"/>
      <c r="H86" s="107">
        <f>SUM(H65:H85)</f>
        <v>45250</v>
      </c>
      <c r="I86" s="57"/>
    </row>
    <row r="87" spans="1:9" ht="17.399999999999999" x14ac:dyDescent="0.3">
      <c r="A87" s="57"/>
      <c r="B87" s="71"/>
      <c r="C87" s="75"/>
      <c r="D87" s="75"/>
      <c r="E87" s="75"/>
      <c r="F87" s="75"/>
      <c r="G87" s="29"/>
      <c r="H87" s="106"/>
      <c r="I87" s="57"/>
    </row>
    <row r="88" spans="1:9" x14ac:dyDescent="0.3">
      <c r="A88" s="57"/>
      <c r="B88" s="71"/>
      <c r="C88" s="75"/>
      <c r="D88" s="75"/>
      <c r="E88" s="75"/>
      <c r="F88" s="75"/>
      <c r="G88" s="29"/>
      <c r="H88" s="69"/>
      <c r="I88" s="57"/>
    </row>
    <row r="89" spans="1:9" ht="18" x14ac:dyDescent="0.35">
      <c r="A89" s="57"/>
      <c r="C89" s="18"/>
      <c r="D89" s="18"/>
      <c r="E89" s="18"/>
      <c r="F89" s="18"/>
      <c r="G89" s="18"/>
      <c r="H89" s="105"/>
      <c r="I89" s="57"/>
    </row>
    <row r="90" spans="1:9" x14ac:dyDescent="0.3">
      <c r="A90" s="57"/>
      <c r="C90" s="18"/>
      <c r="D90" s="18"/>
      <c r="E90" s="18"/>
      <c r="F90" s="18"/>
      <c r="G90" s="18"/>
      <c r="H90" s="18"/>
      <c r="I90" s="57"/>
    </row>
    <row r="91" spans="1:9" x14ac:dyDescent="0.3">
      <c r="A91" s="57"/>
      <c r="B91" s="18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B92" s="18"/>
      <c r="C92" s="18"/>
      <c r="D92" s="18"/>
      <c r="E92" s="18"/>
      <c r="F92" s="18"/>
      <c r="G92" s="18"/>
      <c r="H92" s="18"/>
      <c r="I92" s="57"/>
    </row>
    <row r="93" spans="1:9" x14ac:dyDescent="0.3">
      <c r="A93" s="57"/>
      <c r="B93" s="18"/>
      <c r="C93" s="18"/>
      <c r="D93" s="18"/>
      <c r="E93" s="18"/>
      <c r="F93" s="18"/>
      <c r="G93" s="18"/>
      <c r="H93" s="18"/>
      <c r="I93" s="57"/>
    </row>
    <row r="94" spans="1:9" x14ac:dyDescent="0.3">
      <c r="A94" s="57"/>
      <c r="B94" s="18"/>
      <c r="C94" s="18"/>
      <c r="D94" s="18"/>
      <c r="E94" s="18"/>
      <c r="F94" s="18"/>
      <c r="G94" s="18"/>
      <c r="H94" s="18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</sheetData>
  <mergeCells count="4">
    <mergeCell ref="B1:H1"/>
    <mergeCell ref="B2:H2"/>
    <mergeCell ref="B3:H3"/>
    <mergeCell ref="B4:H4"/>
  </mergeCells>
  <hyperlinks>
    <hyperlink ref="J2" location="MASTER!A1" display="Back" xr:uid="{00000000-0004-0000-2100-000000000000}"/>
  </hyperlinks>
  <pageMargins left="0.7" right="0.7" top="0.75" bottom="0.75" header="0.3" footer="0.3"/>
  <pageSetup paperSize="9" orientation="portrait" horizontalDpi="300" verticalDpi="300" r:id="rId1"/>
  <ignoredErrors>
    <ignoredError sqref="E34:F39 E40:F43 E44:G46 G47 E47 E48:F49 F47 E50:F53 K8:N11 E54:F54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97"/>
  <sheetViews>
    <sheetView workbookViewId="0">
      <selection activeCell="K2" sqref="K2"/>
    </sheetView>
  </sheetViews>
  <sheetFormatPr defaultColWidth="14.88671875" defaultRowHeight="14.4" x14ac:dyDescent="0.3"/>
  <cols>
    <col min="1" max="1" width="9.6640625" customWidth="1"/>
    <col min="2" max="2" width="13.6640625" customWidth="1"/>
    <col min="3" max="3" width="13.44140625" customWidth="1"/>
    <col min="4" max="4" width="17.88671875" customWidth="1"/>
    <col min="7" max="7" width="12.44140625" customWidth="1"/>
    <col min="10" max="10" width="9.6640625" customWidth="1"/>
    <col min="11" max="11" width="11.6640625" customWidth="1"/>
    <col min="12" max="12" width="10.5546875" customWidth="1"/>
    <col min="13" max="13" width="10.109375" customWidth="1"/>
    <col min="14" max="14" width="9.44140625" customWidth="1"/>
    <col min="15" max="15" width="9.5546875" customWidth="1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292"/>
      <c r="J2" s="17"/>
      <c r="K2" s="257" t="s">
        <v>872</v>
      </c>
    </row>
    <row r="3" spans="1:15" ht="15.6" x14ac:dyDescent="0.3">
      <c r="A3" s="19"/>
      <c r="B3" s="296" t="s">
        <v>733</v>
      </c>
      <c r="C3" s="296"/>
      <c r="D3" s="296"/>
      <c r="E3" s="296"/>
      <c r="F3" s="296"/>
      <c r="G3" s="296"/>
      <c r="H3" s="296"/>
      <c r="I3" s="296"/>
      <c r="J3" s="19"/>
    </row>
    <row r="4" spans="1:15" ht="15.6" x14ac:dyDescent="0.3">
      <c r="A4" s="20"/>
      <c r="B4" s="295" t="s">
        <v>703</v>
      </c>
      <c r="C4" s="295"/>
      <c r="D4" s="295"/>
      <c r="E4" s="295"/>
      <c r="F4" s="295"/>
      <c r="G4" s="295"/>
      <c r="H4" s="295"/>
      <c r="I4" s="295"/>
      <c r="J4" s="20"/>
    </row>
    <row r="5" spans="1:15" x14ac:dyDescent="0.3">
      <c r="A5" s="20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60" t="s">
        <v>7</v>
      </c>
      <c r="J5" s="20"/>
      <c r="K5" s="34"/>
    </row>
    <row r="6" spans="1:15" x14ac:dyDescent="0.3">
      <c r="A6" s="20"/>
      <c r="B6" s="71">
        <v>42278</v>
      </c>
      <c r="C6" s="24" t="s">
        <v>23</v>
      </c>
      <c r="D6" s="26" t="s">
        <v>24</v>
      </c>
      <c r="E6" s="29">
        <v>26020</v>
      </c>
      <c r="F6" s="29">
        <v>25950</v>
      </c>
      <c r="G6" s="29">
        <v>70</v>
      </c>
      <c r="H6" s="29">
        <v>100</v>
      </c>
      <c r="I6" s="29">
        <f>H6*G6</f>
        <v>7000</v>
      </c>
      <c r="J6" s="20"/>
      <c r="K6" s="34"/>
    </row>
    <row r="7" spans="1:15" x14ac:dyDescent="0.3">
      <c r="A7" s="20"/>
      <c r="B7" s="71">
        <v>42282</v>
      </c>
      <c r="C7" s="24" t="s">
        <v>23</v>
      </c>
      <c r="D7" s="26" t="s">
        <v>24</v>
      </c>
      <c r="E7" s="29">
        <v>26390</v>
      </c>
      <c r="F7" s="29">
        <v>26290</v>
      </c>
      <c r="G7" s="29">
        <v>100</v>
      </c>
      <c r="H7" s="29">
        <v>100</v>
      </c>
      <c r="I7" s="29">
        <f t="shared" ref="I7:I27" si="0">H7*G7</f>
        <v>10000</v>
      </c>
      <c r="J7" s="20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20"/>
      <c r="B8" s="71">
        <v>42283</v>
      </c>
      <c r="C8" s="24" t="s">
        <v>55</v>
      </c>
      <c r="D8" s="26" t="s">
        <v>24</v>
      </c>
      <c r="E8" s="29">
        <v>26460</v>
      </c>
      <c r="F8" s="29">
        <v>26630</v>
      </c>
      <c r="G8" s="29">
        <v>170</v>
      </c>
      <c r="H8" s="29">
        <v>100</v>
      </c>
      <c r="I8" s="29">
        <f t="shared" si="0"/>
        <v>17000</v>
      </c>
      <c r="J8" s="20"/>
      <c r="K8" s="100" t="s">
        <v>257</v>
      </c>
      <c r="L8" s="49" t="s">
        <v>260</v>
      </c>
      <c r="M8" s="101" t="s">
        <v>553</v>
      </c>
      <c r="N8" s="101" t="s">
        <v>290</v>
      </c>
      <c r="O8" s="101" t="s">
        <v>262</v>
      </c>
    </row>
    <row r="9" spans="1:15" x14ac:dyDescent="0.3">
      <c r="A9" s="20"/>
      <c r="B9" s="71">
        <v>42284</v>
      </c>
      <c r="C9" s="24" t="s">
        <v>16</v>
      </c>
      <c r="D9" s="26" t="s">
        <v>24</v>
      </c>
      <c r="E9" s="29">
        <v>26720</v>
      </c>
      <c r="F9" s="29">
        <v>26780</v>
      </c>
      <c r="G9" s="29">
        <v>60</v>
      </c>
      <c r="H9" s="29">
        <v>100</v>
      </c>
      <c r="I9" s="29">
        <f t="shared" si="0"/>
        <v>6000</v>
      </c>
      <c r="J9" s="20"/>
      <c r="K9" s="100" t="s">
        <v>258</v>
      </c>
      <c r="L9" s="101" t="s">
        <v>553</v>
      </c>
      <c r="M9" s="101" t="s">
        <v>298</v>
      </c>
      <c r="N9" s="101" t="s">
        <v>266</v>
      </c>
      <c r="O9" s="101" t="s">
        <v>262</v>
      </c>
    </row>
    <row r="10" spans="1:15" x14ac:dyDescent="0.3">
      <c r="A10" s="20"/>
      <c r="B10" s="71">
        <v>42285</v>
      </c>
      <c r="C10" s="24" t="s">
        <v>23</v>
      </c>
      <c r="D10" s="26" t="s">
        <v>24</v>
      </c>
      <c r="E10" s="29">
        <v>26480</v>
      </c>
      <c r="F10" s="29">
        <v>26370</v>
      </c>
      <c r="G10" s="29">
        <v>110</v>
      </c>
      <c r="H10" s="29">
        <v>100</v>
      </c>
      <c r="I10" s="29">
        <f t="shared" si="0"/>
        <v>11000</v>
      </c>
      <c r="J10" s="20"/>
      <c r="K10" s="100" t="s">
        <v>259</v>
      </c>
      <c r="L10" s="101" t="s">
        <v>491</v>
      </c>
      <c r="M10" s="101" t="s">
        <v>298</v>
      </c>
      <c r="N10" s="101" t="s">
        <v>264</v>
      </c>
      <c r="O10" s="101" t="s">
        <v>262</v>
      </c>
    </row>
    <row r="11" spans="1:15" x14ac:dyDescent="0.3">
      <c r="A11" s="20"/>
      <c r="B11" s="71">
        <v>42285</v>
      </c>
      <c r="C11" s="24" t="s">
        <v>23</v>
      </c>
      <c r="D11" s="26" t="s">
        <v>22</v>
      </c>
      <c r="E11" s="29">
        <v>36700</v>
      </c>
      <c r="F11" s="29">
        <v>36200</v>
      </c>
      <c r="G11" s="29">
        <v>500</v>
      </c>
      <c r="H11" s="29">
        <v>30</v>
      </c>
      <c r="I11" s="29">
        <f t="shared" si="0"/>
        <v>15000</v>
      </c>
      <c r="J11" s="20"/>
      <c r="K11" s="100" t="s">
        <v>300</v>
      </c>
      <c r="L11" s="104" t="s">
        <v>738</v>
      </c>
      <c r="M11" s="104" t="s">
        <v>739</v>
      </c>
      <c r="N11" s="104" t="s">
        <v>740</v>
      </c>
      <c r="O11" s="104">
        <f>SUM(O8:O10)</f>
        <v>0</v>
      </c>
    </row>
    <row r="12" spans="1:15" x14ac:dyDescent="0.3">
      <c r="A12" s="20"/>
      <c r="B12" s="71">
        <v>42286</v>
      </c>
      <c r="C12" s="24" t="s">
        <v>16</v>
      </c>
      <c r="D12" s="26" t="s">
        <v>24</v>
      </c>
      <c r="E12" s="29">
        <v>26570</v>
      </c>
      <c r="F12" s="29">
        <v>26680</v>
      </c>
      <c r="G12" s="29">
        <v>110</v>
      </c>
      <c r="H12" s="29">
        <v>100</v>
      </c>
      <c r="I12" s="29">
        <f t="shared" si="0"/>
        <v>11000</v>
      </c>
      <c r="J12" s="20"/>
      <c r="K12" s="34"/>
    </row>
    <row r="13" spans="1:15" x14ac:dyDescent="0.3">
      <c r="A13" s="20"/>
      <c r="B13" s="71">
        <v>42289</v>
      </c>
      <c r="C13" s="24" t="s">
        <v>16</v>
      </c>
      <c r="D13" s="26" t="s">
        <v>24</v>
      </c>
      <c r="E13" s="29">
        <v>26830</v>
      </c>
      <c r="F13" s="29">
        <v>26940</v>
      </c>
      <c r="G13" s="29">
        <v>110</v>
      </c>
      <c r="H13" s="29">
        <v>100</v>
      </c>
      <c r="I13" s="29">
        <f t="shared" si="0"/>
        <v>11000</v>
      </c>
      <c r="J13" s="20"/>
      <c r="K13" s="34"/>
      <c r="L13" s="87" t="s">
        <v>741</v>
      </c>
      <c r="M13" s="88"/>
      <c r="N13" s="89"/>
    </row>
    <row r="14" spans="1:15" x14ac:dyDescent="0.3">
      <c r="A14" s="20"/>
      <c r="B14" s="71">
        <v>42290</v>
      </c>
      <c r="C14" s="24" t="s">
        <v>16</v>
      </c>
      <c r="D14" s="26" t="s">
        <v>24</v>
      </c>
      <c r="E14" s="29">
        <v>26750</v>
      </c>
      <c r="F14" s="29">
        <v>26920</v>
      </c>
      <c r="G14" s="29">
        <v>170</v>
      </c>
      <c r="H14" s="29">
        <v>100</v>
      </c>
      <c r="I14" s="29">
        <f t="shared" si="0"/>
        <v>17000</v>
      </c>
      <c r="J14" s="20"/>
      <c r="K14" s="34"/>
    </row>
    <row r="15" spans="1:15" x14ac:dyDescent="0.3">
      <c r="A15" s="20"/>
      <c r="B15" s="71">
        <v>42291</v>
      </c>
      <c r="C15" s="24" t="s">
        <v>16</v>
      </c>
      <c r="D15" s="26" t="s">
        <v>24</v>
      </c>
      <c r="E15" s="29">
        <v>27180</v>
      </c>
      <c r="F15" s="29">
        <v>27080</v>
      </c>
      <c r="G15" s="29">
        <v>-100</v>
      </c>
      <c r="H15" s="29">
        <v>100</v>
      </c>
      <c r="I15" s="29">
        <f t="shared" si="0"/>
        <v>-10000</v>
      </c>
      <c r="J15" s="20"/>
      <c r="K15" s="34"/>
    </row>
    <row r="16" spans="1:15" x14ac:dyDescent="0.3">
      <c r="A16" s="20"/>
      <c r="B16" s="71">
        <v>42292</v>
      </c>
      <c r="C16" s="24" t="s">
        <v>16</v>
      </c>
      <c r="D16" s="26" t="s">
        <v>24</v>
      </c>
      <c r="E16" s="29">
        <v>27290</v>
      </c>
      <c r="F16" s="29">
        <v>27360</v>
      </c>
      <c r="G16" s="29">
        <v>70</v>
      </c>
      <c r="H16" s="29">
        <v>100</v>
      </c>
      <c r="I16" s="29">
        <f t="shared" si="0"/>
        <v>7000</v>
      </c>
      <c r="J16" s="20"/>
      <c r="K16" s="34"/>
    </row>
    <row r="17" spans="1:11" x14ac:dyDescent="0.3">
      <c r="A17" s="20"/>
      <c r="B17" s="71">
        <v>42293</v>
      </c>
      <c r="C17" s="24" t="s">
        <v>23</v>
      </c>
      <c r="D17" s="26" t="s">
        <v>22</v>
      </c>
      <c r="E17" s="29">
        <v>37350</v>
      </c>
      <c r="F17" s="29">
        <v>37150</v>
      </c>
      <c r="G17" s="29">
        <v>200</v>
      </c>
      <c r="H17" s="29">
        <v>30</v>
      </c>
      <c r="I17" s="29">
        <f t="shared" si="0"/>
        <v>6000</v>
      </c>
      <c r="J17" s="20"/>
      <c r="K17" s="34"/>
    </row>
    <row r="18" spans="1:11" x14ac:dyDescent="0.3">
      <c r="A18" s="20"/>
      <c r="B18" s="71">
        <v>42296</v>
      </c>
      <c r="C18" s="24" t="s">
        <v>23</v>
      </c>
      <c r="D18" s="26" t="s">
        <v>22</v>
      </c>
      <c r="E18" s="29">
        <v>36950</v>
      </c>
      <c r="F18" s="29">
        <v>36750</v>
      </c>
      <c r="G18" s="29">
        <v>200</v>
      </c>
      <c r="H18" s="29">
        <v>30</v>
      </c>
      <c r="I18" s="29">
        <f t="shared" si="0"/>
        <v>6000</v>
      </c>
      <c r="J18" s="20"/>
      <c r="K18" s="34"/>
    </row>
    <row r="19" spans="1:11" x14ac:dyDescent="0.3">
      <c r="A19" s="20"/>
      <c r="B19" s="71">
        <v>42297</v>
      </c>
      <c r="C19" s="24" t="s">
        <v>16</v>
      </c>
      <c r="D19" s="26" t="s">
        <v>24</v>
      </c>
      <c r="E19" s="29">
        <v>26970</v>
      </c>
      <c r="F19" s="29">
        <v>27130</v>
      </c>
      <c r="G19" s="29">
        <v>160</v>
      </c>
      <c r="H19" s="29">
        <v>100</v>
      </c>
      <c r="I19" s="29">
        <f t="shared" si="0"/>
        <v>16000</v>
      </c>
      <c r="J19" s="20"/>
      <c r="K19" s="34"/>
    </row>
    <row r="20" spans="1:11" x14ac:dyDescent="0.3">
      <c r="A20" s="20"/>
      <c r="B20" s="71">
        <v>42298</v>
      </c>
      <c r="C20" s="24" t="s">
        <v>23</v>
      </c>
      <c r="D20" s="26" t="s">
        <v>22</v>
      </c>
      <c r="E20" s="29">
        <v>36930</v>
      </c>
      <c r="F20" s="29">
        <v>36630</v>
      </c>
      <c r="G20" s="29">
        <v>300</v>
      </c>
      <c r="H20" s="29">
        <v>30</v>
      </c>
      <c r="I20" s="29">
        <f t="shared" si="0"/>
        <v>9000</v>
      </c>
      <c r="J20" s="20"/>
      <c r="K20" s="34"/>
    </row>
    <row r="21" spans="1:11" x14ac:dyDescent="0.3">
      <c r="A21" s="20"/>
      <c r="B21" s="71">
        <v>42300</v>
      </c>
      <c r="C21" s="24" t="s">
        <v>16</v>
      </c>
      <c r="D21" s="26" t="s">
        <v>24</v>
      </c>
      <c r="E21" s="29">
        <v>26920</v>
      </c>
      <c r="F21" s="29">
        <v>27090</v>
      </c>
      <c r="G21" s="29">
        <v>170</v>
      </c>
      <c r="H21" s="29">
        <v>100</v>
      </c>
      <c r="I21" s="29">
        <f t="shared" si="0"/>
        <v>17000</v>
      </c>
      <c r="J21" s="20"/>
      <c r="K21" s="34"/>
    </row>
    <row r="22" spans="1:11" x14ac:dyDescent="0.3">
      <c r="A22" s="20"/>
      <c r="B22" s="71">
        <v>42303</v>
      </c>
      <c r="C22" s="24" t="s">
        <v>23</v>
      </c>
      <c r="D22" s="26" t="s">
        <v>24</v>
      </c>
      <c r="E22" s="29">
        <v>26820</v>
      </c>
      <c r="F22" s="29">
        <v>26800</v>
      </c>
      <c r="G22" s="29">
        <v>20</v>
      </c>
      <c r="H22" s="29">
        <v>100</v>
      </c>
      <c r="I22" s="29">
        <f t="shared" si="0"/>
        <v>2000</v>
      </c>
      <c r="J22" s="20"/>
      <c r="K22" s="34"/>
    </row>
    <row r="23" spans="1:11" x14ac:dyDescent="0.3">
      <c r="A23" s="20"/>
      <c r="B23" s="71">
        <v>42304</v>
      </c>
      <c r="C23" s="24" t="s">
        <v>16</v>
      </c>
      <c r="D23" s="26" t="s">
        <v>24</v>
      </c>
      <c r="E23" s="29">
        <v>26850</v>
      </c>
      <c r="F23" s="29">
        <v>26920</v>
      </c>
      <c r="G23" s="29">
        <v>70</v>
      </c>
      <c r="H23" s="29">
        <v>100</v>
      </c>
      <c r="I23" s="29">
        <f t="shared" si="0"/>
        <v>7000</v>
      </c>
      <c r="J23" s="20"/>
      <c r="K23" s="34"/>
    </row>
    <row r="24" spans="1:11" x14ac:dyDescent="0.3">
      <c r="A24" s="20"/>
      <c r="B24" s="71">
        <v>42305</v>
      </c>
      <c r="C24" s="24" t="s">
        <v>16</v>
      </c>
      <c r="D24" s="26" t="s">
        <v>24</v>
      </c>
      <c r="E24" s="29">
        <v>27010</v>
      </c>
      <c r="F24" s="29">
        <v>27120</v>
      </c>
      <c r="G24" s="29">
        <v>110</v>
      </c>
      <c r="H24" s="29">
        <v>100</v>
      </c>
      <c r="I24" s="29">
        <f t="shared" si="0"/>
        <v>11000</v>
      </c>
      <c r="J24" s="20"/>
    </row>
    <row r="25" spans="1:11" x14ac:dyDescent="0.3">
      <c r="A25" s="20"/>
      <c r="B25" s="71">
        <v>42306</v>
      </c>
      <c r="C25" s="24" t="s">
        <v>23</v>
      </c>
      <c r="D25" s="26" t="s">
        <v>24</v>
      </c>
      <c r="E25" s="29">
        <v>26780</v>
      </c>
      <c r="F25" s="29">
        <v>26610</v>
      </c>
      <c r="G25" s="29">
        <v>170</v>
      </c>
      <c r="H25" s="29">
        <v>100</v>
      </c>
      <c r="I25" s="29">
        <f t="shared" si="0"/>
        <v>17000</v>
      </c>
      <c r="J25" s="20"/>
    </row>
    <row r="26" spans="1:11" x14ac:dyDescent="0.3">
      <c r="A26" s="20"/>
      <c r="B26" s="71">
        <v>42307</v>
      </c>
      <c r="C26" s="24" t="s">
        <v>23</v>
      </c>
      <c r="D26" s="26" t="s">
        <v>24</v>
      </c>
      <c r="E26" s="29">
        <v>26570</v>
      </c>
      <c r="F26" s="29">
        <v>26500</v>
      </c>
      <c r="G26" s="29">
        <v>70</v>
      </c>
      <c r="H26" s="29">
        <v>100</v>
      </c>
      <c r="I26" s="29">
        <f t="shared" si="0"/>
        <v>7000</v>
      </c>
      <c r="J26" s="20"/>
    </row>
    <row r="27" spans="1:11" x14ac:dyDescent="0.3">
      <c r="A27" s="20"/>
      <c r="B27" s="71">
        <v>42307</v>
      </c>
      <c r="C27" s="24" t="s">
        <v>23</v>
      </c>
      <c r="D27" s="26" t="s">
        <v>22</v>
      </c>
      <c r="E27" s="26">
        <v>36520</v>
      </c>
      <c r="F27" s="26">
        <v>36400</v>
      </c>
      <c r="G27" s="26">
        <v>120</v>
      </c>
      <c r="H27" s="29">
        <v>30</v>
      </c>
      <c r="I27" s="29">
        <f t="shared" si="0"/>
        <v>3600</v>
      </c>
      <c r="J27" s="20"/>
    </row>
    <row r="28" spans="1:11" ht="17.399999999999999" x14ac:dyDescent="0.3">
      <c r="A28" s="20"/>
      <c r="B28" s="18"/>
      <c r="C28" s="24"/>
      <c r="D28" s="26"/>
      <c r="E28" s="26"/>
      <c r="F28" s="26"/>
      <c r="G28" s="26"/>
      <c r="H28" s="29"/>
      <c r="I28" s="106">
        <f>SUM(I6:I27)</f>
        <v>203600</v>
      </c>
      <c r="J28" s="20"/>
    </row>
    <row r="29" spans="1:11" x14ac:dyDescent="0.3">
      <c r="A29" s="20"/>
      <c r="B29" s="71"/>
      <c r="C29" s="29"/>
      <c r="D29" s="26"/>
      <c r="E29" s="36"/>
      <c r="F29" s="29"/>
      <c r="G29" s="29"/>
      <c r="H29" s="29"/>
      <c r="I29" s="69"/>
      <c r="J29" s="20"/>
    </row>
    <row r="30" spans="1:11" ht="18" x14ac:dyDescent="0.35">
      <c r="A30" s="20"/>
      <c r="B30" s="71"/>
      <c r="C30" s="29"/>
      <c r="D30" s="36"/>
      <c r="E30" s="36"/>
      <c r="F30" s="29"/>
      <c r="G30" s="29"/>
      <c r="H30" s="29"/>
      <c r="I30" s="105"/>
      <c r="J30" s="20"/>
    </row>
    <row r="31" spans="1:11" ht="15.6" x14ac:dyDescent="0.3">
      <c r="A31" s="20"/>
      <c r="B31" s="71"/>
      <c r="C31" s="29"/>
      <c r="D31" s="36"/>
      <c r="E31" s="36"/>
      <c r="F31" s="29"/>
      <c r="G31" s="29"/>
      <c r="H31" s="29"/>
      <c r="I31" s="80"/>
      <c r="J31" s="20"/>
    </row>
    <row r="32" spans="1:11" x14ac:dyDescent="0.3">
      <c r="A32" s="20"/>
      <c r="B32" s="71"/>
      <c r="C32" s="29"/>
      <c r="D32" s="36"/>
      <c r="E32" s="36"/>
      <c r="F32" s="29"/>
      <c r="G32" s="29"/>
      <c r="H32" s="29"/>
      <c r="I32" s="29"/>
      <c r="J32" s="20"/>
    </row>
    <row r="33" spans="1:10" x14ac:dyDescent="0.3">
      <c r="A33" s="20"/>
      <c r="B33" s="71"/>
      <c r="C33" s="29"/>
      <c r="D33" s="36"/>
      <c r="E33" s="36"/>
      <c r="F33" s="29"/>
      <c r="G33" s="29"/>
      <c r="H33" s="29"/>
      <c r="I33" s="29"/>
      <c r="J33" s="20"/>
    </row>
    <row r="34" spans="1:10" ht="15.6" x14ac:dyDescent="0.3">
      <c r="A34" s="20"/>
      <c r="B34" s="61" t="s">
        <v>702</v>
      </c>
      <c r="C34" s="62"/>
      <c r="D34" s="63"/>
      <c r="E34" s="62"/>
      <c r="F34" s="62"/>
      <c r="G34" s="62"/>
      <c r="H34" s="62"/>
      <c r="I34" s="62"/>
      <c r="J34" s="20"/>
    </row>
    <row r="35" spans="1:10" x14ac:dyDescent="0.3">
      <c r="A35" s="20"/>
      <c r="B35" s="71">
        <v>42278</v>
      </c>
      <c r="C35" s="24" t="s">
        <v>23</v>
      </c>
      <c r="D35" s="24" t="s">
        <v>721</v>
      </c>
      <c r="E35" s="49" t="s">
        <v>462</v>
      </c>
      <c r="F35" s="49" t="s">
        <v>461</v>
      </c>
      <c r="G35" s="49" t="s">
        <v>722</v>
      </c>
      <c r="H35" s="25">
        <v>100</v>
      </c>
      <c r="I35" s="29">
        <f>H35*G35</f>
        <v>-3500</v>
      </c>
      <c r="J35" s="20"/>
    </row>
    <row r="36" spans="1:10" x14ac:dyDescent="0.3">
      <c r="A36" s="20"/>
      <c r="B36" s="71">
        <v>42282</v>
      </c>
      <c r="C36" s="24" t="s">
        <v>16</v>
      </c>
      <c r="D36" s="24" t="s">
        <v>721</v>
      </c>
      <c r="E36" s="49" t="s">
        <v>460</v>
      </c>
      <c r="F36" s="49" t="s">
        <v>669</v>
      </c>
      <c r="G36" s="49" t="s">
        <v>723</v>
      </c>
      <c r="H36" s="25">
        <v>100</v>
      </c>
      <c r="I36" s="29">
        <f>H36*G36</f>
        <v>4000</v>
      </c>
      <c r="J36" s="20"/>
    </row>
    <row r="37" spans="1:10" x14ac:dyDescent="0.3">
      <c r="A37" s="20"/>
      <c r="B37" s="71">
        <v>42283</v>
      </c>
      <c r="C37" s="24" t="s">
        <v>23</v>
      </c>
      <c r="D37" s="24" t="s">
        <v>721</v>
      </c>
      <c r="E37" s="83" t="s">
        <v>724</v>
      </c>
      <c r="F37" s="49" t="s">
        <v>550</v>
      </c>
      <c r="G37" s="49" t="s">
        <v>621</v>
      </c>
      <c r="H37" s="25">
        <v>100</v>
      </c>
      <c r="I37" s="29">
        <f t="shared" ref="I37:I55" si="1">H37*G37</f>
        <v>2500</v>
      </c>
      <c r="J37" s="20"/>
    </row>
    <row r="38" spans="1:10" x14ac:dyDescent="0.3">
      <c r="A38" s="20"/>
      <c r="B38" s="71">
        <v>42284</v>
      </c>
      <c r="C38" s="24" t="s">
        <v>23</v>
      </c>
      <c r="D38" s="24" t="s">
        <v>721</v>
      </c>
      <c r="E38" s="83" t="s">
        <v>725</v>
      </c>
      <c r="F38" s="49" t="s">
        <v>726</v>
      </c>
      <c r="G38" s="49" t="s">
        <v>623</v>
      </c>
      <c r="H38" s="25">
        <v>100</v>
      </c>
      <c r="I38" s="29">
        <f t="shared" si="1"/>
        <v>7000</v>
      </c>
      <c r="J38" s="20"/>
    </row>
    <row r="39" spans="1:10" x14ac:dyDescent="0.3">
      <c r="A39" s="20"/>
      <c r="B39" s="71">
        <v>42285</v>
      </c>
      <c r="C39" s="24" t="s">
        <v>16</v>
      </c>
      <c r="D39" s="24" t="s">
        <v>721</v>
      </c>
      <c r="E39" s="49" t="s">
        <v>727</v>
      </c>
      <c r="F39" s="49" t="s">
        <v>728</v>
      </c>
      <c r="G39" s="49" t="s">
        <v>268</v>
      </c>
      <c r="H39" s="25">
        <v>100</v>
      </c>
      <c r="I39" s="29">
        <f t="shared" si="1"/>
        <v>6500</v>
      </c>
      <c r="J39" s="20"/>
    </row>
    <row r="40" spans="1:10" x14ac:dyDescent="0.3">
      <c r="A40" s="20"/>
      <c r="B40" s="71">
        <v>42286</v>
      </c>
      <c r="C40" s="24" t="s">
        <v>23</v>
      </c>
      <c r="D40" s="24" t="s">
        <v>721</v>
      </c>
      <c r="E40" s="49" t="s">
        <v>506</v>
      </c>
      <c r="F40" s="49" t="s">
        <v>467</v>
      </c>
      <c r="G40" s="49" t="s">
        <v>621</v>
      </c>
      <c r="H40" s="25">
        <v>100</v>
      </c>
      <c r="I40" s="29">
        <f t="shared" si="1"/>
        <v>2500</v>
      </c>
      <c r="J40" s="20"/>
    </row>
    <row r="41" spans="1:10" x14ac:dyDescent="0.3">
      <c r="A41" s="20"/>
      <c r="B41" s="71">
        <v>42289</v>
      </c>
      <c r="C41" s="24" t="s">
        <v>23</v>
      </c>
      <c r="D41" s="24" t="s">
        <v>721</v>
      </c>
      <c r="E41" s="49" t="s">
        <v>663</v>
      </c>
      <c r="F41" s="49" t="s">
        <v>725</v>
      </c>
      <c r="G41" s="49" t="s">
        <v>364</v>
      </c>
      <c r="H41" s="25">
        <v>100</v>
      </c>
      <c r="I41" s="29">
        <f t="shared" si="1"/>
        <v>3500</v>
      </c>
      <c r="J41" s="20"/>
    </row>
    <row r="42" spans="1:10" x14ac:dyDescent="0.3">
      <c r="A42" s="20"/>
      <c r="B42" s="71">
        <v>42290</v>
      </c>
      <c r="C42" s="24" t="s">
        <v>16</v>
      </c>
      <c r="D42" s="24" t="s">
        <v>721</v>
      </c>
      <c r="E42" s="49" t="s">
        <v>729</v>
      </c>
      <c r="F42" s="49" t="s">
        <v>502</v>
      </c>
      <c r="G42" s="49" t="s">
        <v>392</v>
      </c>
      <c r="H42" s="25">
        <v>100</v>
      </c>
      <c r="I42" s="29">
        <f t="shared" si="1"/>
        <v>1500</v>
      </c>
      <c r="J42" s="20"/>
    </row>
    <row r="43" spans="1:10" x14ac:dyDescent="0.3">
      <c r="A43" s="20"/>
      <c r="B43" s="71">
        <v>42291</v>
      </c>
      <c r="C43" s="24" t="s">
        <v>23</v>
      </c>
      <c r="D43" s="24" t="s">
        <v>721</v>
      </c>
      <c r="E43" s="49" t="s">
        <v>730</v>
      </c>
      <c r="F43" s="49" t="s">
        <v>731</v>
      </c>
      <c r="G43" s="49" t="s">
        <v>723</v>
      </c>
      <c r="H43" s="25">
        <v>100</v>
      </c>
      <c r="I43" s="29">
        <f t="shared" si="1"/>
        <v>4000</v>
      </c>
      <c r="J43" s="20"/>
    </row>
    <row r="44" spans="1:10" x14ac:dyDescent="0.3">
      <c r="A44" s="20"/>
      <c r="B44" s="71">
        <v>42292</v>
      </c>
      <c r="C44" s="24" t="s">
        <v>16</v>
      </c>
      <c r="D44" s="24" t="s">
        <v>721</v>
      </c>
      <c r="E44" s="49" t="s">
        <v>462</v>
      </c>
      <c r="F44" s="49" t="s">
        <v>707</v>
      </c>
      <c r="G44" s="49" t="s">
        <v>732</v>
      </c>
      <c r="H44" s="25">
        <v>100</v>
      </c>
      <c r="I44" s="29">
        <f t="shared" si="1"/>
        <v>-5500</v>
      </c>
      <c r="J44" s="20"/>
    </row>
    <row r="45" spans="1:10" x14ac:dyDescent="0.3">
      <c r="A45" s="20"/>
      <c r="B45" s="71">
        <v>42293</v>
      </c>
      <c r="C45" s="24" t="s">
        <v>23</v>
      </c>
      <c r="D45" s="24" t="s">
        <v>721</v>
      </c>
      <c r="E45" s="49" t="s">
        <v>521</v>
      </c>
      <c r="F45" s="49" t="s">
        <v>675</v>
      </c>
      <c r="G45" s="49" t="s">
        <v>723</v>
      </c>
      <c r="H45" s="25">
        <v>100</v>
      </c>
      <c r="I45" s="29">
        <f t="shared" si="1"/>
        <v>4000</v>
      </c>
      <c r="J45" s="20"/>
    </row>
    <row r="46" spans="1:10" x14ac:dyDescent="0.3">
      <c r="A46" s="20"/>
      <c r="B46" s="71">
        <v>42293</v>
      </c>
      <c r="C46" s="24" t="s">
        <v>16</v>
      </c>
      <c r="D46" s="24" t="s">
        <v>721</v>
      </c>
      <c r="E46" s="49" t="s">
        <v>549</v>
      </c>
      <c r="F46" s="49" t="s">
        <v>519</v>
      </c>
      <c r="G46" s="49" t="s">
        <v>392</v>
      </c>
      <c r="H46" s="25">
        <v>100</v>
      </c>
      <c r="I46" s="29">
        <f t="shared" si="1"/>
        <v>1500</v>
      </c>
      <c r="J46" s="20"/>
    </row>
    <row r="47" spans="1:10" x14ac:dyDescent="0.3">
      <c r="A47" s="20"/>
      <c r="B47" s="71">
        <v>42296</v>
      </c>
      <c r="C47" s="24" t="s">
        <v>23</v>
      </c>
      <c r="D47" s="24" t="s">
        <v>721</v>
      </c>
      <c r="E47" s="49" t="s">
        <v>514</v>
      </c>
      <c r="F47" s="49" t="s">
        <v>521</v>
      </c>
      <c r="G47" s="49" t="s">
        <v>723</v>
      </c>
      <c r="H47" s="25">
        <v>100</v>
      </c>
      <c r="I47" s="29">
        <f t="shared" si="1"/>
        <v>4000</v>
      </c>
      <c r="J47" s="20"/>
    </row>
    <row r="48" spans="1:10" x14ac:dyDescent="0.3">
      <c r="A48" s="20"/>
      <c r="B48" s="71">
        <v>42297</v>
      </c>
      <c r="C48" s="24" t="s">
        <v>23</v>
      </c>
      <c r="D48" s="24" t="s">
        <v>721</v>
      </c>
      <c r="E48" s="49" t="s">
        <v>521</v>
      </c>
      <c r="F48" s="49" t="s">
        <v>550</v>
      </c>
      <c r="G48" s="49" t="s">
        <v>364</v>
      </c>
      <c r="H48" s="25">
        <v>100</v>
      </c>
      <c r="I48" s="29">
        <f t="shared" si="1"/>
        <v>3500</v>
      </c>
      <c r="J48" s="20"/>
    </row>
    <row r="49" spans="1:10" x14ac:dyDescent="0.3">
      <c r="A49" s="20"/>
      <c r="B49" s="71">
        <v>42298</v>
      </c>
      <c r="C49" s="24" t="s">
        <v>23</v>
      </c>
      <c r="D49" s="24" t="s">
        <v>721</v>
      </c>
      <c r="E49" s="49" t="s">
        <v>460</v>
      </c>
      <c r="F49" s="49" t="s">
        <v>471</v>
      </c>
      <c r="G49" s="49" t="s">
        <v>364</v>
      </c>
      <c r="H49" s="25">
        <v>100</v>
      </c>
      <c r="I49" s="29">
        <f t="shared" si="1"/>
        <v>3500</v>
      </c>
      <c r="J49" s="20"/>
    </row>
    <row r="50" spans="1:10" x14ac:dyDescent="0.3">
      <c r="A50" s="20"/>
      <c r="B50" s="71">
        <v>42300</v>
      </c>
      <c r="C50" s="24" t="s">
        <v>16</v>
      </c>
      <c r="D50" s="24" t="s">
        <v>721</v>
      </c>
      <c r="E50" s="49" t="s">
        <v>471</v>
      </c>
      <c r="F50" s="49" t="s">
        <v>713</v>
      </c>
      <c r="G50" s="49" t="s">
        <v>722</v>
      </c>
      <c r="H50" s="25">
        <v>100</v>
      </c>
      <c r="I50" s="29">
        <f t="shared" si="1"/>
        <v>-3500</v>
      </c>
      <c r="J50" s="20"/>
    </row>
    <row r="51" spans="1:10" x14ac:dyDescent="0.3">
      <c r="A51" s="20"/>
      <c r="B51" s="71">
        <v>42303</v>
      </c>
      <c r="C51" s="24" t="s">
        <v>23</v>
      </c>
      <c r="D51" s="24" t="s">
        <v>721</v>
      </c>
      <c r="E51" s="49" t="s">
        <v>734</v>
      </c>
      <c r="F51" s="49" t="s">
        <v>472</v>
      </c>
      <c r="G51" s="49" t="s">
        <v>723</v>
      </c>
      <c r="H51" s="25">
        <v>100</v>
      </c>
      <c r="I51" s="29">
        <f t="shared" si="1"/>
        <v>4000</v>
      </c>
      <c r="J51" s="20"/>
    </row>
    <row r="52" spans="1:10" x14ac:dyDescent="0.3">
      <c r="A52" s="20"/>
      <c r="B52" s="71">
        <v>42304</v>
      </c>
      <c r="C52" s="24" t="s">
        <v>23</v>
      </c>
      <c r="D52" s="24" t="s">
        <v>721</v>
      </c>
      <c r="E52" s="49" t="s">
        <v>735</v>
      </c>
      <c r="F52" s="49" t="s">
        <v>537</v>
      </c>
      <c r="G52" s="49" t="s">
        <v>723</v>
      </c>
      <c r="H52" s="25">
        <v>100</v>
      </c>
      <c r="I52" s="29">
        <f t="shared" si="1"/>
        <v>4000</v>
      </c>
      <c r="J52" s="20"/>
    </row>
    <row r="53" spans="1:10" x14ac:dyDescent="0.3">
      <c r="A53" s="20"/>
      <c r="B53" s="71">
        <v>42305</v>
      </c>
      <c r="C53" s="24" t="s">
        <v>23</v>
      </c>
      <c r="D53" s="24" t="s">
        <v>721</v>
      </c>
      <c r="E53" s="49" t="s">
        <v>547</v>
      </c>
      <c r="F53" s="49" t="s">
        <v>545</v>
      </c>
      <c r="G53" s="49" t="s">
        <v>722</v>
      </c>
      <c r="H53" s="25">
        <v>100</v>
      </c>
      <c r="I53" s="29">
        <f t="shared" si="1"/>
        <v>-3500</v>
      </c>
      <c r="J53" s="67"/>
    </row>
    <row r="54" spans="1:10" x14ac:dyDescent="0.3">
      <c r="A54" s="20"/>
      <c r="B54" s="71">
        <v>42306</v>
      </c>
      <c r="C54" s="24" t="s">
        <v>23</v>
      </c>
      <c r="D54" s="24" t="s">
        <v>721</v>
      </c>
      <c r="E54" s="49" t="s">
        <v>716</v>
      </c>
      <c r="F54" s="49" t="s">
        <v>706</v>
      </c>
      <c r="G54" s="49" t="s">
        <v>722</v>
      </c>
      <c r="H54" s="25">
        <v>100</v>
      </c>
      <c r="I54" s="29">
        <f t="shared" si="1"/>
        <v>-3500</v>
      </c>
      <c r="J54" s="67"/>
    </row>
    <row r="55" spans="1:10" x14ac:dyDescent="0.3">
      <c r="A55" s="20"/>
      <c r="B55" s="71">
        <v>42307</v>
      </c>
      <c r="C55" s="24" t="s">
        <v>23</v>
      </c>
      <c r="D55" s="24" t="s">
        <v>26</v>
      </c>
      <c r="E55" s="49" t="s">
        <v>736</v>
      </c>
      <c r="F55" s="49" t="s">
        <v>737</v>
      </c>
      <c r="G55" s="49" t="s">
        <v>299</v>
      </c>
      <c r="H55" s="25">
        <v>1250</v>
      </c>
      <c r="I55" s="29">
        <f t="shared" si="1"/>
        <v>3750</v>
      </c>
      <c r="J55" s="67"/>
    </row>
    <row r="56" spans="1:10" x14ac:dyDescent="0.3">
      <c r="A56" s="20"/>
      <c r="C56" s="24"/>
      <c r="D56" s="24"/>
      <c r="E56" s="49"/>
      <c r="F56" s="49"/>
      <c r="G56" s="49"/>
      <c r="H56" s="25"/>
      <c r="I56" s="29"/>
      <c r="J56" s="67"/>
    </row>
    <row r="57" spans="1:10" x14ac:dyDescent="0.3">
      <c r="A57" s="20"/>
      <c r="B57" s="18"/>
      <c r="C57" s="24"/>
      <c r="D57" s="24"/>
      <c r="E57" s="49"/>
      <c r="F57" s="49"/>
      <c r="G57" s="49"/>
      <c r="H57" s="25"/>
      <c r="I57" s="29"/>
      <c r="J57" s="67"/>
    </row>
    <row r="58" spans="1:10" ht="17.399999999999999" x14ac:dyDescent="0.3">
      <c r="A58" s="20"/>
      <c r="B58" s="71"/>
      <c r="C58" s="97"/>
      <c r="D58" s="24"/>
      <c r="E58" s="97"/>
      <c r="F58" s="97"/>
      <c r="G58" s="97"/>
      <c r="H58" s="25"/>
      <c r="I58" s="106">
        <f>SUM(I35:I57)</f>
        <v>40250</v>
      </c>
      <c r="J58" s="67"/>
    </row>
    <row r="59" spans="1:10" x14ac:dyDescent="0.3">
      <c r="A59" s="20"/>
      <c r="B59" s="71"/>
      <c r="C59" s="97"/>
      <c r="D59" s="24"/>
      <c r="E59" s="97"/>
      <c r="F59" s="97"/>
      <c r="G59" s="97"/>
      <c r="H59" s="25"/>
      <c r="I59" s="69"/>
      <c r="J59" s="67"/>
    </row>
    <row r="60" spans="1:10" ht="17.399999999999999" x14ac:dyDescent="0.3">
      <c r="A60" s="20"/>
      <c r="B60" s="71"/>
      <c r="C60" s="24"/>
      <c r="D60" s="24"/>
      <c r="E60" s="97"/>
      <c r="F60" s="97"/>
      <c r="G60" s="97"/>
      <c r="H60" s="25"/>
      <c r="I60" s="106"/>
      <c r="J60" s="67"/>
    </row>
    <row r="61" spans="1:10" x14ac:dyDescent="0.3">
      <c r="A61" s="20"/>
      <c r="B61" s="71"/>
      <c r="C61" s="29"/>
      <c r="D61" s="24"/>
      <c r="E61" s="29"/>
      <c r="F61" s="29"/>
      <c r="G61" s="29"/>
      <c r="H61" s="25"/>
      <c r="I61" s="29"/>
      <c r="J61" s="67"/>
    </row>
    <row r="62" spans="1:10" ht="18" x14ac:dyDescent="0.35">
      <c r="A62" s="20"/>
      <c r="B62" s="71"/>
      <c r="C62" s="29"/>
      <c r="D62" s="36"/>
      <c r="E62" s="29"/>
      <c r="F62" s="29"/>
      <c r="G62" s="29"/>
      <c r="H62" s="29"/>
      <c r="I62" s="105"/>
      <c r="J62" s="67"/>
    </row>
    <row r="63" spans="1:10" x14ac:dyDescent="0.3">
      <c r="A63" s="20"/>
      <c r="B63" s="71"/>
      <c r="C63" s="29"/>
      <c r="D63" s="36"/>
      <c r="E63" s="29"/>
      <c r="F63" s="29"/>
      <c r="G63" s="29"/>
      <c r="H63" s="29"/>
      <c r="I63" s="29"/>
      <c r="J63" s="67"/>
    </row>
    <row r="64" spans="1:10" x14ac:dyDescent="0.3">
      <c r="A64" s="20"/>
      <c r="B64" s="71"/>
      <c r="C64" s="29"/>
      <c r="D64" s="36"/>
      <c r="E64" s="29"/>
      <c r="F64" s="29"/>
      <c r="G64" s="29"/>
      <c r="H64" s="29"/>
      <c r="I64" s="29"/>
      <c r="J64" s="67"/>
    </row>
    <row r="65" spans="1:10" x14ac:dyDescent="0.3">
      <c r="A65" s="20"/>
      <c r="B65" s="71"/>
      <c r="C65" s="29"/>
      <c r="D65" s="36"/>
      <c r="E65" s="29"/>
      <c r="F65" s="29"/>
      <c r="G65" s="29"/>
      <c r="H65" s="29"/>
      <c r="I65" s="29"/>
      <c r="J65" s="67"/>
    </row>
    <row r="66" spans="1:10" ht="15.6" x14ac:dyDescent="0.3">
      <c r="A66" s="20"/>
      <c r="B66" s="61" t="s">
        <v>701</v>
      </c>
      <c r="C66" s="62"/>
      <c r="D66" s="63"/>
      <c r="E66" s="62"/>
      <c r="F66" s="62"/>
      <c r="G66" s="62"/>
      <c r="H66" s="62"/>
      <c r="I66" s="64"/>
      <c r="J66" s="67"/>
    </row>
    <row r="67" spans="1:10" x14ac:dyDescent="0.3">
      <c r="A67" s="20"/>
      <c r="B67" s="71">
        <v>42278</v>
      </c>
      <c r="C67" s="24" t="s">
        <v>23</v>
      </c>
      <c r="D67" s="24" t="s">
        <v>56</v>
      </c>
      <c r="E67" s="29">
        <v>103</v>
      </c>
      <c r="F67" s="29">
        <v>102.5</v>
      </c>
      <c r="G67" s="29">
        <v>0.5</v>
      </c>
      <c r="H67" s="29">
        <v>5000</v>
      </c>
      <c r="I67" s="29">
        <f>H67*G67</f>
        <v>2500</v>
      </c>
      <c r="J67" s="67"/>
    </row>
    <row r="68" spans="1:10" x14ac:dyDescent="0.3">
      <c r="A68" s="20"/>
      <c r="B68" s="71">
        <v>42282</v>
      </c>
      <c r="C68" s="24" t="s">
        <v>23</v>
      </c>
      <c r="D68" s="24" t="s">
        <v>28</v>
      </c>
      <c r="E68" s="29">
        <v>111.5</v>
      </c>
      <c r="F68" s="29">
        <v>110</v>
      </c>
      <c r="G68" s="29">
        <v>1.5</v>
      </c>
      <c r="H68" s="29">
        <v>5000</v>
      </c>
      <c r="I68" s="29">
        <f t="shared" ref="I68:I86" si="2">H68*G68</f>
        <v>7500</v>
      </c>
      <c r="J68" s="67"/>
    </row>
    <row r="69" spans="1:10" x14ac:dyDescent="0.3">
      <c r="A69" s="20"/>
      <c r="B69" s="71">
        <v>42283</v>
      </c>
      <c r="C69" s="24" t="s">
        <v>23</v>
      </c>
      <c r="D69" s="24" t="s">
        <v>28</v>
      </c>
      <c r="E69" s="29">
        <v>107.8</v>
      </c>
      <c r="F69" s="29">
        <v>108.8</v>
      </c>
      <c r="G69" s="29">
        <v>-1</v>
      </c>
      <c r="H69" s="29">
        <v>5000</v>
      </c>
      <c r="I69" s="29">
        <f t="shared" si="2"/>
        <v>-5000</v>
      </c>
      <c r="J69" s="99"/>
    </row>
    <row r="70" spans="1:10" x14ac:dyDescent="0.3">
      <c r="A70" s="57"/>
      <c r="B70" s="71">
        <v>42284</v>
      </c>
      <c r="C70" s="24" t="s">
        <v>23</v>
      </c>
      <c r="D70" s="24" t="s">
        <v>29</v>
      </c>
      <c r="E70" s="29">
        <v>344</v>
      </c>
      <c r="F70" s="29">
        <v>341</v>
      </c>
      <c r="G70" s="29">
        <v>3</v>
      </c>
      <c r="H70" s="29">
        <v>1000</v>
      </c>
      <c r="I70" s="29">
        <f t="shared" si="2"/>
        <v>3000</v>
      </c>
      <c r="J70" s="57"/>
    </row>
    <row r="71" spans="1:10" x14ac:dyDescent="0.3">
      <c r="A71" s="57"/>
      <c r="B71" s="71">
        <v>42285</v>
      </c>
      <c r="C71" s="24" t="s">
        <v>23</v>
      </c>
      <c r="D71" s="24" t="s">
        <v>56</v>
      </c>
      <c r="E71" s="29">
        <v>101</v>
      </c>
      <c r="F71" s="29">
        <v>100.2</v>
      </c>
      <c r="G71" s="29">
        <v>0.8</v>
      </c>
      <c r="H71" s="29">
        <v>5000</v>
      </c>
      <c r="I71" s="29">
        <f t="shared" si="2"/>
        <v>4000</v>
      </c>
      <c r="J71" s="57"/>
    </row>
    <row r="72" spans="1:10" x14ac:dyDescent="0.3">
      <c r="A72" s="57"/>
      <c r="B72" s="71">
        <v>42286</v>
      </c>
      <c r="C72" s="24" t="s">
        <v>16</v>
      </c>
      <c r="D72" s="24" t="s">
        <v>56</v>
      </c>
      <c r="E72" s="29">
        <v>103.7</v>
      </c>
      <c r="F72" s="29">
        <v>104.7</v>
      </c>
      <c r="G72" s="29">
        <v>1</v>
      </c>
      <c r="H72" s="29">
        <v>5000</v>
      </c>
      <c r="I72" s="29">
        <f t="shared" si="2"/>
        <v>5000</v>
      </c>
      <c r="J72" s="57"/>
    </row>
    <row r="73" spans="1:10" x14ac:dyDescent="0.3">
      <c r="A73" s="57"/>
      <c r="B73" s="71">
        <v>42289</v>
      </c>
      <c r="C73" s="24" t="s">
        <v>16</v>
      </c>
      <c r="D73" s="24" t="s">
        <v>28</v>
      </c>
      <c r="E73" s="29">
        <v>120.1</v>
      </c>
      <c r="F73" s="29">
        <v>121</v>
      </c>
      <c r="G73" s="29">
        <v>0.9</v>
      </c>
      <c r="H73" s="29">
        <v>5000</v>
      </c>
      <c r="I73" s="29">
        <f t="shared" si="2"/>
        <v>4500</v>
      </c>
      <c r="J73" s="57"/>
    </row>
    <row r="74" spans="1:10" x14ac:dyDescent="0.3">
      <c r="A74" s="57"/>
      <c r="B74" s="71">
        <v>42290</v>
      </c>
      <c r="C74" s="24" t="s">
        <v>23</v>
      </c>
      <c r="D74" s="24" t="s">
        <v>56</v>
      </c>
      <c r="E74" s="29">
        <v>101.1</v>
      </c>
      <c r="F74" s="29">
        <v>102.1</v>
      </c>
      <c r="G74" s="29">
        <v>-1</v>
      </c>
      <c r="H74" s="29">
        <v>5000</v>
      </c>
      <c r="I74" s="29">
        <f t="shared" si="2"/>
        <v>-5000</v>
      </c>
      <c r="J74" s="57"/>
    </row>
    <row r="75" spans="1:10" x14ac:dyDescent="0.3">
      <c r="A75" s="57"/>
      <c r="B75" s="71">
        <v>42291</v>
      </c>
      <c r="C75" s="24" t="s">
        <v>23</v>
      </c>
      <c r="D75" s="24" t="s">
        <v>56</v>
      </c>
      <c r="E75" s="29">
        <v>101.5</v>
      </c>
      <c r="F75" s="29">
        <v>101.2</v>
      </c>
      <c r="G75" s="29">
        <v>0.3</v>
      </c>
      <c r="H75" s="29">
        <v>5000</v>
      </c>
      <c r="I75" s="29">
        <f t="shared" si="2"/>
        <v>1500</v>
      </c>
      <c r="J75" s="57"/>
    </row>
    <row r="76" spans="1:10" x14ac:dyDescent="0.3">
      <c r="A76" s="57"/>
      <c r="B76" s="71">
        <v>42292</v>
      </c>
      <c r="C76" s="24" t="s">
        <v>23</v>
      </c>
      <c r="D76" s="24" t="s">
        <v>56</v>
      </c>
      <c r="E76" s="26">
        <v>101.2</v>
      </c>
      <c r="F76" s="26">
        <v>100.7</v>
      </c>
      <c r="G76" s="26">
        <v>0.5</v>
      </c>
      <c r="H76" s="29">
        <v>5000</v>
      </c>
      <c r="I76" s="29">
        <f t="shared" si="2"/>
        <v>2500</v>
      </c>
      <c r="J76" s="57"/>
    </row>
    <row r="77" spans="1:10" x14ac:dyDescent="0.3">
      <c r="A77" s="57"/>
      <c r="B77" s="71">
        <v>42293</v>
      </c>
      <c r="C77" s="24" t="s">
        <v>23</v>
      </c>
      <c r="D77" s="24" t="s">
        <v>56</v>
      </c>
      <c r="E77" s="26">
        <v>100</v>
      </c>
      <c r="F77" s="26">
        <v>99.5</v>
      </c>
      <c r="G77" s="26">
        <v>0.5</v>
      </c>
      <c r="H77" s="29">
        <v>5000</v>
      </c>
      <c r="I77" s="29">
        <f t="shared" si="2"/>
        <v>2500</v>
      </c>
      <c r="J77" s="57"/>
    </row>
    <row r="78" spans="1:10" x14ac:dyDescent="0.3">
      <c r="A78" s="57"/>
      <c r="B78" s="71">
        <v>42296</v>
      </c>
      <c r="C78" s="24" t="s">
        <v>23</v>
      </c>
      <c r="D78" s="24" t="s">
        <v>56</v>
      </c>
      <c r="E78" s="26">
        <v>99.2</v>
      </c>
      <c r="F78" s="26">
        <v>98.4</v>
      </c>
      <c r="G78" s="26">
        <v>0.8</v>
      </c>
      <c r="H78" s="29">
        <v>5000</v>
      </c>
      <c r="I78" s="29">
        <f t="shared" si="2"/>
        <v>4000</v>
      </c>
      <c r="J78" s="57"/>
    </row>
    <row r="79" spans="1:10" x14ac:dyDescent="0.3">
      <c r="A79" s="57"/>
      <c r="B79" s="71">
        <v>42297</v>
      </c>
      <c r="C79" s="24" t="s">
        <v>16</v>
      </c>
      <c r="D79" s="24" t="s">
        <v>29</v>
      </c>
      <c r="E79" s="26">
        <v>341</v>
      </c>
      <c r="F79" s="26">
        <v>344</v>
      </c>
      <c r="G79" s="26">
        <v>3</v>
      </c>
      <c r="H79" s="29">
        <v>1000</v>
      </c>
      <c r="I79" s="29">
        <f t="shared" si="2"/>
        <v>3000</v>
      </c>
      <c r="J79" s="57"/>
    </row>
    <row r="80" spans="1:10" x14ac:dyDescent="0.3">
      <c r="A80" s="57"/>
      <c r="B80" s="71">
        <v>42298</v>
      </c>
      <c r="C80" s="24" t="s">
        <v>23</v>
      </c>
      <c r="D80" s="24" t="s">
        <v>27</v>
      </c>
      <c r="E80" s="26">
        <v>115</v>
      </c>
      <c r="F80" s="26">
        <v>1135</v>
      </c>
      <c r="G80" s="26">
        <v>1.5</v>
      </c>
      <c r="H80" s="29">
        <v>5000</v>
      </c>
      <c r="I80" s="29">
        <f t="shared" si="2"/>
        <v>7500</v>
      </c>
      <c r="J80" s="57"/>
    </row>
    <row r="81" spans="1:10" x14ac:dyDescent="0.3">
      <c r="A81" s="57"/>
      <c r="B81" s="71">
        <v>42300</v>
      </c>
      <c r="C81" s="24" t="s">
        <v>23</v>
      </c>
      <c r="D81" s="24" t="s">
        <v>28</v>
      </c>
      <c r="E81" s="26">
        <v>113.7</v>
      </c>
      <c r="F81" s="26">
        <v>114.7</v>
      </c>
      <c r="G81" s="26">
        <v>-1</v>
      </c>
      <c r="H81" s="29">
        <v>5000</v>
      </c>
      <c r="I81" s="29">
        <f t="shared" si="2"/>
        <v>-5000</v>
      </c>
      <c r="J81" s="57"/>
    </row>
    <row r="82" spans="1:10" x14ac:dyDescent="0.3">
      <c r="A82" s="57"/>
      <c r="B82" s="71">
        <v>42303</v>
      </c>
      <c r="C82" s="24" t="s">
        <v>23</v>
      </c>
      <c r="D82" s="24" t="s">
        <v>56</v>
      </c>
      <c r="E82" s="26">
        <v>95.9</v>
      </c>
      <c r="F82" s="26">
        <v>94.9</v>
      </c>
      <c r="G82" s="26">
        <v>-1</v>
      </c>
      <c r="H82" s="29">
        <v>5000</v>
      </c>
      <c r="I82" s="29">
        <f t="shared" si="2"/>
        <v>-5000</v>
      </c>
      <c r="J82" s="57"/>
    </row>
    <row r="83" spans="1:10" x14ac:dyDescent="0.3">
      <c r="A83" s="57"/>
      <c r="B83" s="71">
        <v>42304</v>
      </c>
      <c r="C83" s="24" t="s">
        <v>23</v>
      </c>
      <c r="D83" s="24" t="s">
        <v>27</v>
      </c>
      <c r="E83" s="26">
        <v>113.5</v>
      </c>
      <c r="F83" s="26">
        <v>112.8</v>
      </c>
      <c r="G83" s="26">
        <v>0.5</v>
      </c>
      <c r="H83" s="29">
        <v>5000</v>
      </c>
      <c r="I83" s="29">
        <f t="shared" si="2"/>
        <v>2500</v>
      </c>
      <c r="J83" s="57"/>
    </row>
    <row r="84" spans="1:10" x14ac:dyDescent="0.3">
      <c r="A84" s="57"/>
      <c r="B84" s="71">
        <v>42305</v>
      </c>
      <c r="C84" s="24" t="s">
        <v>23</v>
      </c>
      <c r="D84" s="24" t="s">
        <v>56</v>
      </c>
      <c r="E84" s="26">
        <v>93.5</v>
      </c>
      <c r="F84" s="26">
        <v>93</v>
      </c>
      <c r="G84" s="26">
        <v>0.5</v>
      </c>
      <c r="H84" s="29">
        <v>5000</v>
      </c>
      <c r="I84" s="29">
        <f t="shared" si="2"/>
        <v>2500</v>
      </c>
      <c r="J84" s="57"/>
    </row>
    <row r="85" spans="1:10" x14ac:dyDescent="0.3">
      <c r="A85" s="57"/>
      <c r="B85" s="71">
        <v>42306</v>
      </c>
      <c r="C85" s="24" t="s">
        <v>16</v>
      </c>
      <c r="D85" s="24" t="s">
        <v>56</v>
      </c>
      <c r="E85" s="29">
        <v>93.8</v>
      </c>
      <c r="F85" s="29">
        <v>95</v>
      </c>
      <c r="G85" s="29">
        <v>1.2</v>
      </c>
      <c r="H85" s="29">
        <v>5000</v>
      </c>
      <c r="I85" s="29">
        <f t="shared" si="2"/>
        <v>6000</v>
      </c>
      <c r="J85" s="57"/>
    </row>
    <row r="86" spans="1:10" x14ac:dyDescent="0.3">
      <c r="A86" s="57"/>
      <c r="B86" s="71">
        <v>42307</v>
      </c>
      <c r="C86" s="24" t="s">
        <v>23</v>
      </c>
      <c r="D86" s="24" t="s">
        <v>27</v>
      </c>
      <c r="E86" s="29">
        <v>111.9</v>
      </c>
      <c r="F86" s="29">
        <v>110.9</v>
      </c>
      <c r="G86" s="29">
        <v>1</v>
      </c>
      <c r="H86" s="29">
        <v>5000</v>
      </c>
      <c r="I86" s="29">
        <f t="shared" si="2"/>
        <v>5000</v>
      </c>
      <c r="J86" s="57"/>
    </row>
    <row r="87" spans="1:10" x14ac:dyDescent="0.3">
      <c r="A87" s="57"/>
      <c r="C87" s="75"/>
      <c r="D87" s="75"/>
      <c r="E87" s="45"/>
      <c r="F87" s="75"/>
      <c r="G87" s="75"/>
      <c r="H87" s="29"/>
      <c r="I87" s="29"/>
      <c r="J87" s="57"/>
    </row>
    <row r="88" spans="1:10" ht="17.399999999999999" x14ac:dyDescent="0.3">
      <c r="A88" s="57"/>
      <c r="B88" s="18"/>
      <c r="C88" s="75"/>
      <c r="D88" s="75"/>
      <c r="E88" s="75"/>
      <c r="F88" s="75"/>
      <c r="G88" s="75"/>
      <c r="H88" s="29"/>
      <c r="I88" s="107">
        <f>SUM(I67:I87)</f>
        <v>43500</v>
      </c>
      <c r="J88" s="57"/>
    </row>
    <row r="89" spans="1:10" ht="17.399999999999999" x14ac:dyDescent="0.3">
      <c r="A89" s="57"/>
      <c r="B89" s="71"/>
      <c r="C89" s="75"/>
      <c r="D89" s="75"/>
      <c r="E89" s="75"/>
      <c r="F89" s="75"/>
      <c r="G89" s="75"/>
      <c r="H89" s="29"/>
      <c r="I89" s="106"/>
      <c r="J89" s="57"/>
    </row>
    <row r="90" spans="1:10" x14ac:dyDescent="0.3">
      <c r="A90" s="57"/>
      <c r="B90" s="71"/>
      <c r="C90" s="75"/>
      <c r="D90" s="75"/>
      <c r="E90" s="75"/>
      <c r="F90" s="75"/>
      <c r="G90" s="75"/>
      <c r="H90" s="29"/>
      <c r="I90" s="69"/>
      <c r="J90" s="57"/>
    </row>
    <row r="91" spans="1:10" ht="18" x14ac:dyDescent="0.35">
      <c r="A91" s="57"/>
      <c r="C91" s="18"/>
      <c r="D91" s="18"/>
      <c r="E91" s="18"/>
      <c r="F91" s="18"/>
      <c r="G91" s="18"/>
      <c r="H91" s="18"/>
      <c r="I91" s="105"/>
      <c r="J91" s="57"/>
    </row>
    <row r="92" spans="1:10" x14ac:dyDescent="0.3">
      <c r="A92" s="57"/>
      <c r="C92" s="18"/>
      <c r="D92" s="18"/>
      <c r="E92" s="18"/>
      <c r="F92" s="18"/>
      <c r="G92" s="18"/>
      <c r="H92" s="18"/>
      <c r="I92" s="18"/>
      <c r="J92" s="57"/>
    </row>
    <row r="93" spans="1:10" x14ac:dyDescent="0.3">
      <c r="A93" s="57"/>
      <c r="B93" s="18"/>
      <c r="C93" s="18"/>
      <c r="D93" s="18"/>
      <c r="E93" s="18"/>
      <c r="F93" s="18"/>
      <c r="G93" s="18"/>
      <c r="H93" s="18"/>
      <c r="I93" s="18"/>
      <c r="J93" s="57"/>
    </row>
    <row r="94" spans="1:10" x14ac:dyDescent="0.3">
      <c r="A94" s="57"/>
      <c r="B94" s="18"/>
      <c r="C94" s="18"/>
      <c r="D94" s="18"/>
      <c r="E94" s="18"/>
      <c r="F94" s="18"/>
      <c r="G94" s="18"/>
      <c r="H94" s="18"/>
      <c r="I94" s="18"/>
      <c r="J94" s="57"/>
    </row>
    <row r="95" spans="1:10" x14ac:dyDescent="0.3">
      <c r="A95" s="57"/>
      <c r="B95" s="18"/>
      <c r="C95" s="18"/>
      <c r="D95" s="18"/>
      <c r="E95" s="18"/>
      <c r="F95" s="18"/>
      <c r="G95" s="18"/>
      <c r="H95" s="18"/>
      <c r="I95" s="18"/>
      <c r="J95" s="57"/>
    </row>
    <row r="96" spans="1:10" x14ac:dyDescent="0.3">
      <c r="A96" s="57"/>
      <c r="B96" s="18"/>
      <c r="C96" s="18"/>
      <c r="D96" s="18"/>
      <c r="E96" s="18"/>
      <c r="F96" s="18"/>
      <c r="G96" s="18"/>
      <c r="H96" s="18"/>
      <c r="I96" s="18"/>
      <c r="J96" s="57"/>
    </row>
    <row r="97" spans="1:10" x14ac:dyDescent="0.3">
      <c r="A97" s="57"/>
      <c r="J97" s="57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200-000000000000}"/>
  </hyperlinks>
  <pageMargins left="0.7" right="0.7" top="0.75" bottom="0.75" header="0.3" footer="0.3"/>
  <ignoredErrors>
    <ignoredError sqref="E35:G40 E41:G46 E47:G55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77"/>
  <sheetViews>
    <sheetView workbookViewId="0">
      <selection activeCell="K2" sqref="K2"/>
    </sheetView>
  </sheetViews>
  <sheetFormatPr defaultColWidth="14.88671875" defaultRowHeight="14.4" x14ac:dyDescent="0.3"/>
  <cols>
    <col min="1" max="1" width="9.6640625" customWidth="1"/>
    <col min="2" max="2" width="13.6640625" customWidth="1"/>
    <col min="3" max="3" width="13.44140625" customWidth="1"/>
    <col min="4" max="4" width="17.88671875" customWidth="1"/>
    <col min="7" max="7" width="12.44140625" customWidth="1"/>
    <col min="10" max="10" width="9.6640625" customWidth="1"/>
    <col min="11" max="11" width="11.6640625" customWidth="1"/>
    <col min="12" max="12" width="10.5546875" customWidth="1"/>
    <col min="13" max="13" width="10.109375" customWidth="1"/>
    <col min="14" max="14" width="9.44140625" customWidth="1"/>
    <col min="15" max="15" width="9.5546875" customWidth="1"/>
  </cols>
  <sheetData>
    <row r="1" spans="1:15" ht="15" thickBot="1" x14ac:dyDescent="0.35">
      <c r="A1" s="1"/>
      <c r="B1" s="294"/>
      <c r="C1" s="294"/>
      <c r="D1" s="294"/>
      <c r="E1" s="294"/>
      <c r="F1" s="294"/>
      <c r="G1" s="294"/>
      <c r="H1" s="294"/>
      <c r="I1" s="294"/>
      <c r="J1" s="1"/>
    </row>
    <row r="2" spans="1:15" ht="29.4" thickBot="1" x14ac:dyDescent="0.35">
      <c r="A2" s="1" t="s">
        <v>0</v>
      </c>
      <c r="B2" s="292" t="s">
        <v>128</v>
      </c>
      <c r="C2" s="292"/>
      <c r="D2" s="292"/>
      <c r="E2" s="292"/>
      <c r="F2" s="292"/>
      <c r="G2" s="292"/>
      <c r="H2" s="292"/>
      <c r="I2" s="292"/>
      <c r="J2" s="1"/>
      <c r="K2" s="257" t="s">
        <v>872</v>
      </c>
    </row>
    <row r="3" spans="1:15" ht="15.6" x14ac:dyDescent="0.3">
      <c r="A3" s="2"/>
      <c r="B3" s="296" t="s">
        <v>746</v>
      </c>
      <c r="C3" s="296"/>
      <c r="D3" s="296"/>
      <c r="E3" s="296"/>
      <c r="F3" s="296"/>
      <c r="G3" s="296"/>
      <c r="H3" s="296"/>
      <c r="I3" s="296"/>
      <c r="J3" s="2"/>
    </row>
    <row r="4" spans="1:15" ht="15.6" x14ac:dyDescent="0.3">
      <c r="A4" s="4"/>
      <c r="B4" s="295" t="s">
        <v>745</v>
      </c>
      <c r="C4" s="295"/>
      <c r="D4" s="295"/>
      <c r="E4" s="295"/>
      <c r="F4" s="295"/>
      <c r="G4" s="295"/>
      <c r="H4" s="295"/>
      <c r="I4" s="295"/>
      <c r="J4" s="4"/>
    </row>
    <row r="5" spans="1:15" x14ac:dyDescent="0.3">
      <c r="A5" s="4"/>
      <c r="B5" s="111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112" t="s">
        <v>7</v>
      </c>
      <c r="J5" s="4"/>
      <c r="K5" s="34"/>
    </row>
    <row r="6" spans="1:15" x14ac:dyDescent="0.3">
      <c r="A6" s="4"/>
      <c r="B6" s="113">
        <v>42310</v>
      </c>
      <c r="C6" s="24" t="s">
        <v>23</v>
      </c>
      <c r="D6" s="26" t="s">
        <v>22</v>
      </c>
      <c r="E6" s="29">
        <v>36420</v>
      </c>
      <c r="F6" s="29">
        <v>36220</v>
      </c>
      <c r="G6" s="29">
        <v>200</v>
      </c>
      <c r="H6" s="29">
        <v>30</v>
      </c>
      <c r="I6" s="114">
        <v>6000</v>
      </c>
      <c r="J6" s="4"/>
      <c r="K6" s="34"/>
    </row>
    <row r="7" spans="1:15" x14ac:dyDescent="0.3">
      <c r="A7" s="4"/>
      <c r="B7" s="113">
        <v>42311</v>
      </c>
      <c r="C7" s="24" t="s">
        <v>23</v>
      </c>
      <c r="D7" s="26" t="s">
        <v>22</v>
      </c>
      <c r="E7" s="29">
        <v>36150</v>
      </c>
      <c r="F7" s="29">
        <v>35850</v>
      </c>
      <c r="G7" s="29">
        <v>300</v>
      </c>
      <c r="H7" s="29">
        <v>30</v>
      </c>
      <c r="I7" s="114">
        <v>9000</v>
      </c>
      <c r="J7" s="4"/>
      <c r="K7" s="115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4"/>
      <c r="B8" s="113">
        <v>42312</v>
      </c>
      <c r="C8" s="24" t="s">
        <v>23</v>
      </c>
      <c r="D8" s="26" t="s">
        <v>24</v>
      </c>
      <c r="E8" s="29">
        <v>26000</v>
      </c>
      <c r="F8" s="29">
        <v>25830</v>
      </c>
      <c r="G8" s="29">
        <v>170</v>
      </c>
      <c r="H8" s="29">
        <v>100</v>
      </c>
      <c r="I8" s="114">
        <v>17000</v>
      </c>
      <c r="J8" s="4"/>
      <c r="K8" s="116" t="s">
        <v>257</v>
      </c>
      <c r="L8" s="49" t="s">
        <v>265</v>
      </c>
      <c r="M8" s="101" t="s">
        <v>335</v>
      </c>
      <c r="N8" s="101" t="s">
        <v>266</v>
      </c>
      <c r="O8" s="101" t="s">
        <v>262</v>
      </c>
    </row>
    <row r="9" spans="1:15" x14ac:dyDescent="0.3">
      <c r="A9" s="4"/>
      <c r="B9" s="113">
        <v>42313</v>
      </c>
      <c r="C9" s="24" t="s">
        <v>23</v>
      </c>
      <c r="D9" s="26" t="s">
        <v>22</v>
      </c>
      <c r="E9" s="29">
        <v>35400</v>
      </c>
      <c r="F9" s="29">
        <v>35300</v>
      </c>
      <c r="G9" s="29">
        <v>100</v>
      </c>
      <c r="H9" s="29">
        <v>30</v>
      </c>
      <c r="I9" s="114">
        <v>3000</v>
      </c>
      <c r="J9" s="4"/>
      <c r="K9" s="116" t="s">
        <v>258</v>
      </c>
      <c r="L9" s="101" t="s">
        <v>392</v>
      </c>
      <c r="M9" s="101" t="s">
        <v>625</v>
      </c>
      <c r="N9" s="101" t="s">
        <v>299</v>
      </c>
      <c r="O9" s="101" t="s">
        <v>262</v>
      </c>
    </row>
    <row r="10" spans="1:15" x14ac:dyDescent="0.3">
      <c r="A10" s="4"/>
      <c r="B10" s="113">
        <v>42314</v>
      </c>
      <c r="C10" s="24" t="s">
        <v>23</v>
      </c>
      <c r="D10" s="26" t="s">
        <v>24</v>
      </c>
      <c r="E10" s="29">
        <v>25850</v>
      </c>
      <c r="F10" s="29">
        <v>25680</v>
      </c>
      <c r="G10" s="29">
        <v>170</v>
      </c>
      <c r="H10" s="29">
        <v>100</v>
      </c>
      <c r="I10" s="114">
        <v>17000</v>
      </c>
      <c r="J10" s="4"/>
      <c r="K10" s="116" t="s">
        <v>259</v>
      </c>
      <c r="L10" s="101" t="s">
        <v>392</v>
      </c>
      <c r="M10" s="101" t="s">
        <v>625</v>
      </c>
      <c r="N10" s="101" t="s">
        <v>299</v>
      </c>
      <c r="O10" s="101" t="s">
        <v>262</v>
      </c>
    </row>
    <row r="11" spans="1:15" x14ac:dyDescent="0.3">
      <c r="A11" s="4"/>
      <c r="B11" s="113">
        <v>42325</v>
      </c>
      <c r="C11" s="108" t="s">
        <v>23</v>
      </c>
      <c r="D11" s="109" t="s">
        <v>24</v>
      </c>
      <c r="E11" s="110">
        <v>25230</v>
      </c>
      <c r="F11" s="110">
        <v>25330</v>
      </c>
      <c r="G11" s="110">
        <v>-100</v>
      </c>
      <c r="H11" s="110">
        <v>100</v>
      </c>
      <c r="I11" s="114">
        <v>-10000</v>
      </c>
      <c r="J11" s="4"/>
      <c r="K11" s="116" t="s">
        <v>300</v>
      </c>
      <c r="L11" s="104" t="s">
        <v>438</v>
      </c>
      <c r="M11" s="104" t="s">
        <v>750</v>
      </c>
      <c r="N11" s="104" t="s">
        <v>270</v>
      </c>
      <c r="O11" s="104" t="s">
        <v>262</v>
      </c>
    </row>
    <row r="12" spans="1:15" x14ac:dyDescent="0.3">
      <c r="A12" s="4"/>
      <c r="B12" s="113">
        <v>42326</v>
      </c>
      <c r="C12" s="108" t="s">
        <v>16</v>
      </c>
      <c r="D12" s="109" t="s">
        <v>24</v>
      </c>
      <c r="E12" s="110">
        <v>25150</v>
      </c>
      <c r="F12" s="110">
        <v>25100</v>
      </c>
      <c r="G12" s="110">
        <v>-50</v>
      </c>
      <c r="H12" s="110">
        <v>100</v>
      </c>
      <c r="I12" s="114">
        <v>-5000</v>
      </c>
      <c r="J12" s="4"/>
      <c r="K12" s="34"/>
    </row>
    <row r="13" spans="1:15" x14ac:dyDescent="0.3">
      <c r="A13" s="4"/>
      <c r="B13" s="113">
        <v>42326</v>
      </c>
      <c r="C13" s="108" t="s">
        <v>23</v>
      </c>
      <c r="D13" s="109" t="s">
        <v>24</v>
      </c>
      <c r="E13" s="110">
        <v>25100</v>
      </c>
      <c r="F13" s="110">
        <v>25040</v>
      </c>
      <c r="G13" s="110">
        <v>60</v>
      </c>
      <c r="H13" s="110">
        <v>100</v>
      </c>
      <c r="I13" s="114">
        <v>6000</v>
      </c>
      <c r="J13" s="4"/>
      <c r="K13" s="34"/>
      <c r="L13" s="87" t="s">
        <v>751</v>
      </c>
      <c r="M13" s="88"/>
      <c r="N13" s="89"/>
    </row>
    <row r="14" spans="1:15" x14ac:dyDescent="0.3">
      <c r="A14" s="4"/>
      <c r="B14" s="113">
        <v>42326</v>
      </c>
      <c r="C14" s="108" t="s">
        <v>23</v>
      </c>
      <c r="D14" s="109" t="s">
        <v>22</v>
      </c>
      <c r="E14" s="110">
        <v>33650</v>
      </c>
      <c r="F14" s="110">
        <v>33450</v>
      </c>
      <c r="G14" s="110">
        <v>200</v>
      </c>
      <c r="H14" s="110">
        <v>30</v>
      </c>
      <c r="I14" s="114">
        <v>6000</v>
      </c>
      <c r="J14" s="4"/>
      <c r="K14" s="34"/>
    </row>
    <row r="15" spans="1:15" x14ac:dyDescent="0.3">
      <c r="A15" s="4"/>
      <c r="B15" s="113">
        <v>42327</v>
      </c>
      <c r="C15" s="108" t="s">
        <v>23</v>
      </c>
      <c r="D15" s="109" t="s">
        <v>22</v>
      </c>
      <c r="E15" s="110">
        <v>33700</v>
      </c>
      <c r="F15" s="110">
        <v>33600</v>
      </c>
      <c r="G15" s="110">
        <v>100</v>
      </c>
      <c r="H15" s="110">
        <v>30</v>
      </c>
      <c r="I15" s="114">
        <v>3000</v>
      </c>
      <c r="J15" s="4"/>
      <c r="K15" s="34"/>
    </row>
    <row r="16" spans="1:15" x14ac:dyDescent="0.3">
      <c r="A16" s="4"/>
      <c r="B16" s="113">
        <v>42328</v>
      </c>
      <c r="C16" s="108" t="s">
        <v>23</v>
      </c>
      <c r="D16" s="109" t="s">
        <v>24</v>
      </c>
      <c r="E16" s="110">
        <v>26390</v>
      </c>
      <c r="F16" s="110">
        <v>25220</v>
      </c>
      <c r="G16" s="110">
        <v>170</v>
      </c>
      <c r="H16" s="110">
        <v>100</v>
      </c>
      <c r="I16" s="114">
        <v>17000</v>
      </c>
      <c r="J16" s="4"/>
      <c r="K16" s="34"/>
    </row>
    <row r="17" spans="1:11" x14ac:dyDescent="0.3">
      <c r="A17" s="4"/>
      <c r="B17" s="113">
        <v>42331</v>
      </c>
      <c r="C17" s="24" t="s">
        <v>23</v>
      </c>
      <c r="D17" s="26" t="s">
        <v>24</v>
      </c>
      <c r="E17" s="29">
        <v>25130</v>
      </c>
      <c r="F17" s="29">
        <v>25230</v>
      </c>
      <c r="G17" s="29">
        <v>-100</v>
      </c>
      <c r="H17" s="29">
        <v>100</v>
      </c>
      <c r="I17" s="114">
        <v>-10000</v>
      </c>
      <c r="J17" s="4"/>
      <c r="K17" s="34"/>
    </row>
    <row r="18" spans="1:11" x14ac:dyDescent="0.3">
      <c r="A18" s="4"/>
      <c r="B18" s="113">
        <v>42332</v>
      </c>
      <c r="C18" s="24" t="s">
        <v>23</v>
      </c>
      <c r="D18" s="26" t="s">
        <v>24</v>
      </c>
      <c r="E18" s="29">
        <v>25220</v>
      </c>
      <c r="F18" s="29">
        <v>25330</v>
      </c>
      <c r="G18" s="29">
        <v>-110</v>
      </c>
      <c r="H18" s="29">
        <v>100</v>
      </c>
      <c r="I18" s="114">
        <v>-11000</v>
      </c>
      <c r="J18" s="4"/>
      <c r="K18" s="34"/>
    </row>
    <row r="19" spans="1:11" x14ac:dyDescent="0.3">
      <c r="A19" s="4"/>
      <c r="B19" s="113">
        <v>42332</v>
      </c>
      <c r="C19" s="24" t="s">
        <v>23</v>
      </c>
      <c r="D19" s="26" t="s">
        <v>22</v>
      </c>
      <c r="E19" s="29">
        <v>33750</v>
      </c>
      <c r="F19" s="29">
        <v>33900</v>
      </c>
      <c r="G19" s="29">
        <v>-150</v>
      </c>
      <c r="H19" s="29">
        <v>30</v>
      </c>
      <c r="I19" s="114">
        <v>-4500</v>
      </c>
      <c r="J19" s="4"/>
      <c r="K19" s="34"/>
    </row>
    <row r="20" spans="1:11" x14ac:dyDescent="0.3">
      <c r="A20" s="4"/>
      <c r="B20" s="113">
        <v>42333</v>
      </c>
      <c r="C20" s="24" t="s">
        <v>23</v>
      </c>
      <c r="D20" s="26" t="s">
        <v>24</v>
      </c>
      <c r="E20" s="29">
        <v>25200</v>
      </c>
      <c r="F20" s="29">
        <v>25150</v>
      </c>
      <c r="G20" s="29">
        <v>50</v>
      </c>
      <c r="H20" s="29">
        <v>100</v>
      </c>
      <c r="I20" s="114">
        <v>5000</v>
      </c>
      <c r="J20" s="4"/>
      <c r="K20" s="34"/>
    </row>
    <row r="21" spans="1:11" x14ac:dyDescent="0.3">
      <c r="A21" s="4"/>
      <c r="B21" s="113">
        <v>42334</v>
      </c>
      <c r="C21" s="108" t="s">
        <v>16</v>
      </c>
      <c r="D21" s="26" t="s">
        <v>22</v>
      </c>
      <c r="E21" s="29">
        <v>34050</v>
      </c>
      <c r="F21" s="29">
        <v>34050</v>
      </c>
      <c r="G21" s="29">
        <v>0</v>
      </c>
      <c r="H21" s="29">
        <v>30</v>
      </c>
      <c r="I21" s="114">
        <v>0</v>
      </c>
      <c r="J21" s="4"/>
      <c r="K21" s="34"/>
    </row>
    <row r="22" spans="1:11" x14ac:dyDescent="0.3">
      <c r="A22" s="4"/>
      <c r="B22" s="113">
        <v>42335</v>
      </c>
      <c r="C22" s="24" t="s">
        <v>23</v>
      </c>
      <c r="D22" s="26" t="s">
        <v>22</v>
      </c>
      <c r="E22" s="29">
        <v>33800</v>
      </c>
      <c r="F22" s="29">
        <v>33500</v>
      </c>
      <c r="G22" s="29">
        <v>200</v>
      </c>
      <c r="H22" s="29">
        <v>30</v>
      </c>
      <c r="I22" s="114">
        <v>6000</v>
      </c>
      <c r="J22" s="4"/>
      <c r="K22" s="34"/>
    </row>
    <row r="23" spans="1:11" x14ac:dyDescent="0.3">
      <c r="A23" s="4"/>
      <c r="B23" s="113">
        <v>42338</v>
      </c>
      <c r="C23" s="24" t="s">
        <v>23</v>
      </c>
      <c r="D23" s="26" t="s">
        <v>24</v>
      </c>
      <c r="E23" s="29">
        <v>24970</v>
      </c>
      <c r="F23" s="29">
        <v>25070</v>
      </c>
      <c r="G23" s="29">
        <v>-100</v>
      </c>
      <c r="H23" s="29">
        <v>100</v>
      </c>
      <c r="I23" s="114">
        <v>-10000</v>
      </c>
      <c r="J23" s="4"/>
      <c r="K23" s="34"/>
    </row>
    <row r="24" spans="1:11" x14ac:dyDescent="0.3">
      <c r="A24" s="4"/>
      <c r="B24" s="117"/>
      <c r="C24" s="24"/>
      <c r="D24" s="26"/>
      <c r="E24" s="29"/>
      <c r="F24" s="29"/>
      <c r="G24" s="29"/>
      <c r="H24" s="29"/>
      <c r="I24" s="114"/>
      <c r="J24" s="4"/>
    </row>
    <row r="25" spans="1:11" x14ac:dyDescent="0.3">
      <c r="A25" s="4"/>
      <c r="B25" s="117"/>
      <c r="C25" s="24"/>
      <c r="D25" s="26"/>
      <c r="E25" s="29"/>
      <c r="F25" s="29"/>
      <c r="G25" s="29"/>
      <c r="H25" s="29"/>
      <c r="I25" s="114"/>
      <c r="J25" s="4"/>
    </row>
    <row r="26" spans="1:11" ht="17.399999999999999" x14ac:dyDescent="0.3">
      <c r="A26" s="4"/>
      <c r="B26" s="117"/>
      <c r="C26" s="24"/>
      <c r="D26" s="26"/>
      <c r="E26" s="26"/>
      <c r="F26" s="26"/>
      <c r="G26" s="26"/>
      <c r="H26" s="29"/>
      <c r="I26" s="118">
        <v>54500</v>
      </c>
      <c r="J26" s="4"/>
    </row>
    <row r="27" spans="1:11" x14ac:dyDescent="0.3">
      <c r="A27" s="4"/>
      <c r="B27" s="113"/>
      <c r="C27" s="29"/>
      <c r="D27" s="26"/>
      <c r="E27" s="36"/>
      <c r="F27" s="29"/>
      <c r="G27" s="29"/>
      <c r="H27" s="29"/>
      <c r="I27" s="119"/>
      <c r="J27" s="4"/>
    </row>
    <row r="28" spans="1:11" x14ac:dyDescent="0.3">
      <c r="A28" s="4"/>
      <c r="B28" s="113"/>
      <c r="C28" s="29"/>
      <c r="D28" s="36"/>
      <c r="E28" s="36"/>
      <c r="F28" s="29"/>
      <c r="G28" s="29"/>
      <c r="H28" s="29"/>
      <c r="I28" s="114"/>
      <c r="J28" s="4"/>
    </row>
    <row r="29" spans="1:11" ht="15.6" x14ac:dyDescent="0.3">
      <c r="A29" s="4"/>
      <c r="B29" s="120" t="s">
        <v>702</v>
      </c>
      <c r="C29" s="62"/>
      <c r="D29" s="63"/>
      <c r="E29" s="62"/>
      <c r="F29" s="62"/>
      <c r="G29" s="62"/>
      <c r="H29" s="62"/>
      <c r="I29" s="121"/>
      <c r="J29" s="4"/>
    </row>
    <row r="30" spans="1:11" x14ac:dyDescent="0.3">
      <c r="A30" s="4"/>
      <c r="B30" s="113">
        <v>42310</v>
      </c>
      <c r="C30" s="24" t="s">
        <v>23</v>
      </c>
      <c r="D30" s="24" t="s">
        <v>721</v>
      </c>
      <c r="E30" s="49" t="s">
        <v>669</v>
      </c>
      <c r="F30" s="49" t="s">
        <v>706</v>
      </c>
      <c r="G30" s="49" t="s">
        <v>364</v>
      </c>
      <c r="H30" s="25">
        <v>100</v>
      </c>
      <c r="I30" s="114">
        <v>3500</v>
      </c>
      <c r="J30" s="4"/>
    </row>
    <row r="31" spans="1:11" x14ac:dyDescent="0.3">
      <c r="A31" s="4"/>
      <c r="B31" s="113">
        <v>42311</v>
      </c>
      <c r="C31" s="24" t="s">
        <v>23</v>
      </c>
      <c r="D31" s="24" t="s">
        <v>721</v>
      </c>
      <c r="E31" s="49" t="s">
        <v>521</v>
      </c>
      <c r="F31" s="49" t="s">
        <v>514</v>
      </c>
      <c r="G31" s="49" t="s">
        <v>742</v>
      </c>
      <c r="H31" s="25">
        <v>100</v>
      </c>
      <c r="I31" s="114">
        <v>-4000</v>
      </c>
      <c r="J31" s="4"/>
    </row>
    <row r="32" spans="1:11" x14ac:dyDescent="0.3">
      <c r="A32" s="4"/>
      <c r="B32" s="113">
        <v>42312</v>
      </c>
      <c r="C32" s="24" t="s">
        <v>23</v>
      </c>
      <c r="D32" s="24" t="s">
        <v>721</v>
      </c>
      <c r="E32" s="83" t="s">
        <v>465</v>
      </c>
      <c r="F32" s="49" t="s">
        <v>461</v>
      </c>
      <c r="G32" s="49" t="s">
        <v>743</v>
      </c>
      <c r="H32" s="25">
        <v>100</v>
      </c>
      <c r="I32" s="114">
        <v>5500</v>
      </c>
      <c r="J32" s="4"/>
    </row>
    <row r="33" spans="1:10" x14ac:dyDescent="0.3">
      <c r="A33" s="4"/>
      <c r="B33" s="113">
        <v>42313</v>
      </c>
      <c r="C33" s="24" t="s">
        <v>23</v>
      </c>
      <c r="D33" s="24" t="s">
        <v>721</v>
      </c>
      <c r="E33" s="83" t="s">
        <v>549</v>
      </c>
      <c r="F33" s="49" t="s">
        <v>462</v>
      </c>
      <c r="G33" s="49" t="s">
        <v>723</v>
      </c>
      <c r="H33" s="25">
        <v>100</v>
      </c>
      <c r="I33" s="114">
        <v>4000</v>
      </c>
      <c r="J33" s="4"/>
    </row>
    <row r="34" spans="1:10" x14ac:dyDescent="0.3">
      <c r="A34" s="4"/>
      <c r="B34" s="113">
        <v>42314</v>
      </c>
      <c r="C34" s="24" t="s">
        <v>23</v>
      </c>
      <c r="D34" s="24" t="s">
        <v>721</v>
      </c>
      <c r="E34" s="49" t="s">
        <v>550</v>
      </c>
      <c r="F34" s="49" t="s">
        <v>744</v>
      </c>
      <c r="G34" s="49" t="s">
        <v>723</v>
      </c>
      <c r="H34" s="25">
        <v>100</v>
      </c>
      <c r="I34" s="114">
        <v>4000</v>
      </c>
      <c r="J34" s="4"/>
    </row>
    <row r="35" spans="1:10" x14ac:dyDescent="0.3">
      <c r="A35" s="4"/>
      <c r="B35" s="113">
        <v>42325</v>
      </c>
      <c r="C35" s="108" t="s">
        <v>23</v>
      </c>
      <c r="D35" s="108" t="s">
        <v>721</v>
      </c>
      <c r="E35" s="109">
        <v>2750</v>
      </c>
      <c r="F35" s="109">
        <v>2705</v>
      </c>
      <c r="G35" s="109">
        <v>45</v>
      </c>
      <c r="H35" s="109">
        <v>100</v>
      </c>
      <c r="I35" s="114">
        <v>4500</v>
      </c>
      <c r="J35" s="4"/>
    </row>
    <row r="36" spans="1:10" x14ac:dyDescent="0.3">
      <c r="A36" s="4"/>
      <c r="B36" s="113">
        <v>42326</v>
      </c>
      <c r="C36" s="108" t="s">
        <v>16</v>
      </c>
      <c r="D36" s="108" t="s">
        <v>721</v>
      </c>
      <c r="E36" s="109">
        <v>2740</v>
      </c>
      <c r="F36" s="109">
        <v>2700</v>
      </c>
      <c r="G36" s="109">
        <v>-40</v>
      </c>
      <c r="H36" s="109">
        <v>100</v>
      </c>
      <c r="I36" s="114">
        <v>-4000</v>
      </c>
      <c r="J36" s="4"/>
    </row>
    <row r="37" spans="1:10" x14ac:dyDescent="0.3">
      <c r="A37" s="4"/>
      <c r="B37" s="113">
        <v>42327</v>
      </c>
      <c r="C37" s="108" t="s">
        <v>23</v>
      </c>
      <c r="D37" s="108" t="s">
        <v>721</v>
      </c>
      <c r="E37" s="109">
        <v>2700</v>
      </c>
      <c r="F37" s="109">
        <v>2655</v>
      </c>
      <c r="G37" s="109">
        <v>45</v>
      </c>
      <c r="H37" s="109">
        <v>100</v>
      </c>
      <c r="I37" s="114">
        <v>4500</v>
      </c>
      <c r="J37" s="4"/>
    </row>
    <row r="38" spans="1:10" x14ac:dyDescent="0.3">
      <c r="A38" s="4"/>
      <c r="B38" s="113">
        <v>42328</v>
      </c>
      <c r="C38" s="108" t="s">
        <v>23</v>
      </c>
      <c r="D38" s="108" t="s">
        <v>721</v>
      </c>
      <c r="E38" s="109">
        <v>2790</v>
      </c>
      <c r="F38" s="109">
        <v>2760</v>
      </c>
      <c r="G38" s="109">
        <v>30</v>
      </c>
      <c r="H38" s="109">
        <v>100</v>
      </c>
      <c r="I38" s="114">
        <v>3000</v>
      </c>
      <c r="J38" s="4"/>
    </row>
    <row r="39" spans="1:10" x14ac:dyDescent="0.3">
      <c r="A39" s="4"/>
      <c r="B39" s="113">
        <v>42331</v>
      </c>
      <c r="C39" s="24" t="s">
        <v>23</v>
      </c>
      <c r="D39" s="24" t="s">
        <v>721</v>
      </c>
      <c r="E39" s="49" t="s">
        <v>484</v>
      </c>
      <c r="F39" s="49" t="s">
        <v>483</v>
      </c>
      <c r="G39" s="49" t="s">
        <v>742</v>
      </c>
      <c r="H39" s="25">
        <v>100</v>
      </c>
      <c r="I39" s="114">
        <v>-4000</v>
      </c>
      <c r="J39" s="4"/>
    </row>
    <row r="40" spans="1:10" x14ac:dyDescent="0.3">
      <c r="A40" s="4"/>
      <c r="B40" s="113">
        <v>42332</v>
      </c>
      <c r="C40" s="24" t="s">
        <v>16</v>
      </c>
      <c r="D40" s="24" t="s">
        <v>721</v>
      </c>
      <c r="E40" s="49" t="s">
        <v>480</v>
      </c>
      <c r="F40" s="49" t="s">
        <v>735</v>
      </c>
      <c r="G40" s="49" t="s">
        <v>621</v>
      </c>
      <c r="H40" s="25">
        <v>100</v>
      </c>
      <c r="I40" s="114">
        <v>2500</v>
      </c>
      <c r="J40" s="4"/>
    </row>
    <row r="41" spans="1:10" x14ac:dyDescent="0.3">
      <c r="A41" s="4"/>
      <c r="B41" s="113">
        <v>42333</v>
      </c>
      <c r="C41" s="24" t="s">
        <v>23</v>
      </c>
      <c r="D41" s="24" t="s">
        <v>721</v>
      </c>
      <c r="E41" s="49" t="s">
        <v>480</v>
      </c>
      <c r="F41" s="23">
        <v>2805</v>
      </c>
      <c r="G41" s="49" t="s">
        <v>392</v>
      </c>
      <c r="H41" s="25">
        <v>100</v>
      </c>
      <c r="I41" s="114">
        <v>1500</v>
      </c>
      <c r="J41" s="4"/>
    </row>
    <row r="42" spans="1:10" x14ac:dyDescent="0.3">
      <c r="A42" s="4"/>
      <c r="B42" s="113">
        <v>42334</v>
      </c>
      <c r="C42" s="24" t="s">
        <v>23</v>
      </c>
      <c r="D42" s="24" t="s">
        <v>721</v>
      </c>
      <c r="E42" s="49" t="s">
        <v>472</v>
      </c>
      <c r="F42" s="49" t="s">
        <v>747</v>
      </c>
      <c r="G42" s="49" t="s">
        <v>621</v>
      </c>
      <c r="H42" s="25">
        <v>100</v>
      </c>
      <c r="I42" s="114">
        <v>2500</v>
      </c>
      <c r="J42" s="4"/>
    </row>
    <row r="43" spans="1:10" x14ac:dyDescent="0.3">
      <c r="A43" s="4"/>
      <c r="B43" s="113">
        <v>42335</v>
      </c>
      <c r="C43" s="24" t="s">
        <v>23</v>
      </c>
      <c r="D43" s="24" t="s">
        <v>721</v>
      </c>
      <c r="E43" s="49" t="s">
        <v>748</v>
      </c>
      <c r="F43" s="49" t="s">
        <v>749</v>
      </c>
      <c r="G43" s="49" t="s">
        <v>740</v>
      </c>
      <c r="H43" s="25">
        <v>100</v>
      </c>
      <c r="I43" s="114">
        <v>1000</v>
      </c>
      <c r="J43" s="4"/>
    </row>
    <row r="44" spans="1:10" x14ac:dyDescent="0.3">
      <c r="A44" s="4"/>
      <c r="B44" s="113">
        <v>42338</v>
      </c>
      <c r="C44" s="24" t="s">
        <v>23</v>
      </c>
      <c r="D44" s="24" t="s">
        <v>721</v>
      </c>
      <c r="E44" s="49" t="s">
        <v>537</v>
      </c>
      <c r="F44" s="49" t="s">
        <v>474</v>
      </c>
      <c r="G44" s="49" t="s">
        <v>392</v>
      </c>
      <c r="H44" s="25">
        <v>100</v>
      </c>
      <c r="I44" s="114">
        <v>1500</v>
      </c>
      <c r="J44" s="4"/>
    </row>
    <row r="45" spans="1:10" x14ac:dyDescent="0.3">
      <c r="A45" s="4"/>
      <c r="B45" s="117"/>
      <c r="C45" s="24"/>
      <c r="D45" s="24"/>
      <c r="E45" s="49"/>
      <c r="F45" s="49"/>
      <c r="G45" s="49"/>
      <c r="H45" s="25"/>
      <c r="I45" s="114"/>
      <c r="J45" s="4"/>
    </row>
    <row r="46" spans="1:10" x14ac:dyDescent="0.3">
      <c r="A46" s="4"/>
      <c r="B46" s="117"/>
      <c r="C46" s="24"/>
      <c r="D46" s="24"/>
      <c r="E46" s="49"/>
      <c r="F46" s="49"/>
      <c r="G46" s="49"/>
      <c r="H46" s="25"/>
      <c r="I46" s="114"/>
      <c r="J46" s="4"/>
    </row>
    <row r="47" spans="1:10" ht="17.399999999999999" x14ac:dyDescent="0.3">
      <c r="A47" s="4"/>
      <c r="B47" s="113"/>
      <c r="C47" s="97"/>
      <c r="D47" s="24"/>
      <c r="E47" s="97"/>
      <c r="F47" s="97"/>
      <c r="G47" s="97"/>
      <c r="H47" s="25"/>
      <c r="I47" s="118">
        <v>26000</v>
      </c>
      <c r="J47" s="4"/>
    </row>
    <row r="48" spans="1:10" x14ac:dyDescent="0.3">
      <c r="A48" s="4"/>
      <c r="B48" s="113"/>
      <c r="C48" s="97"/>
      <c r="D48" s="24"/>
      <c r="E48" s="97"/>
      <c r="F48" s="97"/>
      <c r="G48" s="97"/>
      <c r="H48" s="25"/>
      <c r="I48" s="119"/>
      <c r="J48" s="4"/>
    </row>
    <row r="49" spans="1:10" x14ac:dyDescent="0.3">
      <c r="A49" s="4"/>
      <c r="B49" s="113"/>
      <c r="C49" s="29"/>
      <c r="D49" s="36"/>
      <c r="E49" s="29"/>
      <c r="F49" s="29"/>
      <c r="G49" s="29"/>
      <c r="H49" s="29"/>
      <c r="I49" s="114"/>
      <c r="J49" s="4"/>
    </row>
    <row r="50" spans="1:10" ht="15.6" x14ac:dyDescent="0.3">
      <c r="A50" s="4"/>
      <c r="B50" s="120" t="s">
        <v>701</v>
      </c>
      <c r="C50" s="62"/>
      <c r="D50" s="63"/>
      <c r="E50" s="62"/>
      <c r="F50" s="62"/>
      <c r="G50" s="62"/>
      <c r="H50" s="62"/>
      <c r="I50" s="122"/>
      <c r="J50" s="4"/>
    </row>
    <row r="51" spans="1:10" x14ac:dyDescent="0.3">
      <c r="A51" s="4"/>
      <c r="B51" s="113">
        <v>42310</v>
      </c>
      <c r="C51" s="24" t="s">
        <v>16</v>
      </c>
      <c r="D51" s="24" t="s">
        <v>56</v>
      </c>
      <c r="E51" s="29">
        <v>96.5</v>
      </c>
      <c r="F51" s="29">
        <v>97.3</v>
      </c>
      <c r="G51" s="29">
        <v>0.8</v>
      </c>
      <c r="H51" s="29">
        <v>5000</v>
      </c>
      <c r="I51" s="114">
        <v>4000</v>
      </c>
      <c r="J51" s="4"/>
    </row>
    <row r="52" spans="1:10" x14ac:dyDescent="0.3">
      <c r="A52" s="4"/>
      <c r="B52" s="113">
        <v>42311</v>
      </c>
      <c r="C52" s="24" t="s">
        <v>23</v>
      </c>
      <c r="D52" s="24" t="s">
        <v>29</v>
      </c>
      <c r="E52" s="29">
        <v>337</v>
      </c>
      <c r="F52" s="29">
        <v>336</v>
      </c>
      <c r="G52" s="29">
        <v>1</v>
      </c>
      <c r="H52" s="29">
        <v>1000</v>
      </c>
      <c r="I52" s="114">
        <v>1000</v>
      </c>
      <c r="J52" s="4"/>
    </row>
    <row r="53" spans="1:10" x14ac:dyDescent="0.3">
      <c r="A53" s="4"/>
      <c r="B53" s="113">
        <v>42312</v>
      </c>
      <c r="C53" s="24" t="s">
        <v>23</v>
      </c>
      <c r="D53" s="24" t="s">
        <v>35</v>
      </c>
      <c r="E53" s="29">
        <v>656</v>
      </c>
      <c r="F53" s="29">
        <v>650</v>
      </c>
      <c r="G53" s="29">
        <v>6</v>
      </c>
      <c r="H53" s="29">
        <v>250</v>
      </c>
      <c r="I53" s="114">
        <v>1500</v>
      </c>
      <c r="J53" s="57"/>
    </row>
    <row r="54" spans="1:10" x14ac:dyDescent="0.3">
      <c r="A54" s="57"/>
      <c r="B54" s="113">
        <v>42313</v>
      </c>
      <c r="C54" s="24" t="s">
        <v>23</v>
      </c>
      <c r="D54" s="24" t="s">
        <v>27</v>
      </c>
      <c r="E54" s="29">
        <v>109.9</v>
      </c>
      <c r="F54" s="29">
        <v>109</v>
      </c>
      <c r="G54" s="29">
        <v>0.9</v>
      </c>
      <c r="H54" s="29">
        <v>5000</v>
      </c>
      <c r="I54" s="114">
        <v>4500</v>
      </c>
      <c r="J54" s="57"/>
    </row>
    <row r="55" spans="1:10" x14ac:dyDescent="0.3">
      <c r="A55" s="57"/>
      <c r="B55" s="113">
        <v>42314</v>
      </c>
      <c r="C55" s="24" t="s">
        <v>23</v>
      </c>
      <c r="D55" s="24" t="s">
        <v>28</v>
      </c>
      <c r="E55" s="29">
        <v>108.3</v>
      </c>
      <c r="F55" s="29">
        <v>109.3</v>
      </c>
      <c r="G55" s="29">
        <v>-1</v>
      </c>
      <c r="H55" s="29">
        <v>5000</v>
      </c>
      <c r="I55" s="114">
        <v>-5000</v>
      </c>
      <c r="J55" s="57"/>
    </row>
    <row r="56" spans="1:10" x14ac:dyDescent="0.3">
      <c r="A56" s="57"/>
      <c r="B56" s="113">
        <v>42317</v>
      </c>
      <c r="C56" s="108" t="s">
        <v>23</v>
      </c>
      <c r="D56" s="108" t="s">
        <v>27</v>
      </c>
      <c r="E56" s="110">
        <v>110.3</v>
      </c>
      <c r="F56" s="110">
        <v>109.8</v>
      </c>
      <c r="G56" s="110">
        <v>0.5</v>
      </c>
      <c r="H56" s="110">
        <v>5000</v>
      </c>
      <c r="I56" s="114">
        <v>2500</v>
      </c>
      <c r="J56" s="57"/>
    </row>
    <row r="57" spans="1:10" x14ac:dyDescent="0.3">
      <c r="A57" s="57"/>
      <c r="B57" s="113">
        <v>42325</v>
      </c>
      <c r="C57" s="108" t="s">
        <v>23</v>
      </c>
      <c r="D57" s="108" t="s">
        <v>56</v>
      </c>
      <c r="E57" s="110">
        <v>95.8</v>
      </c>
      <c r="F57" s="110">
        <v>96.8</v>
      </c>
      <c r="G57" s="110">
        <v>-1</v>
      </c>
      <c r="H57" s="110">
        <v>5000</v>
      </c>
      <c r="I57" s="114">
        <v>-5000</v>
      </c>
      <c r="J57" s="57"/>
    </row>
    <row r="58" spans="1:10" x14ac:dyDescent="0.3">
      <c r="A58" s="57"/>
      <c r="B58" s="113">
        <v>42326</v>
      </c>
      <c r="C58" s="108" t="s">
        <v>23</v>
      </c>
      <c r="D58" s="108" t="s">
        <v>35</v>
      </c>
      <c r="E58" s="110">
        <v>607</v>
      </c>
      <c r="F58" s="110">
        <v>600</v>
      </c>
      <c r="G58" s="110">
        <v>7</v>
      </c>
      <c r="H58" s="110">
        <v>250</v>
      </c>
      <c r="I58" s="114">
        <v>1750</v>
      </c>
      <c r="J58" s="57"/>
    </row>
    <row r="59" spans="1:10" x14ac:dyDescent="0.3">
      <c r="A59" s="57"/>
      <c r="B59" s="113">
        <v>42327</v>
      </c>
      <c r="C59" s="108" t="s">
        <v>23</v>
      </c>
      <c r="D59" s="108" t="s">
        <v>27</v>
      </c>
      <c r="E59" s="110">
        <v>103.7</v>
      </c>
      <c r="F59" s="110">
        <v>103.35</v>
      </c>
      <c r="G59" s="110">
        <v>0.35</v>
      </c>
      <c r="H59" s="110">
        <v>5000</v>
      </c>
      <c r="I59" s="114">
        <v>1750</v>
      </c>
      <c r="J59" s="57"/>
    </row>
    <row r="60" spans="1:10" x14ac:dyDescent="0.3">
      <c r="A60" s="57"/>
      <c r="B60" s="113">
        <v>42328</v>
      </c>
      <c r="C60" s="108" t="s">
        <v>16</v>
      </c>
      <c r="D60" s="108" t="s">
        <v>56</v>
      </c>
      <c r="E60" s="110">
        <v>97.3</v>
      </c>
      <c r="F60" s="110">
        <v>98.8</v>
      </c>
      <c r="G60" s="110">
        <v>1.5</v>
      </c>
      <c r="H60" s="110">
        <v>5000</v>
      </c>
      <c r="I60" s="114">
        <v>7500</v>
      </c>
      <c r="J60" s="57"/>
    </row>
    <row r="61" spans="1:10" x14ac:dyDescent="0.3">
      <c r="A61" s="57"/>
      <c r="B61" s="113">
        <v>42331</v>
      </c>
      <c r="C61" s="24" t="s">
        <v>23</v>
      </c>
      <c r="D61" s="24" t="s">
        <v>35</v>
      </c>
      <c r="E61" s="29">
        <v>552</v>
      </c>
      <c r="F61" s="29">
        <v>546</v>
      </c>
      <c r="G61" s="29">
        <v>6</v>
      </c>
      <c r="H61" s="29">
        <v>250</v>
      </c>
      <c r="I61" s="114">
        <v>1500</v>
      </c>
      <c r="J61" s="57"/>
    </row>
    <row r="62" spans="1:10" x14ac:dyDescent="0.3">
      <c r="A62" s="57"/>
      <c r="B62" s="113">
        <v>42332</v>
      </c>
      <c r="C62" s="24" t="s">
        <v>16</v>
      </c>
      <c r="D62" s="24" t="s">
        <v>56</v>
      </c>
      <c r="E62" s="110">
        <v>95.6</v>
      </c>
      <c r="F62" s="110">
        <v>96.1</v>
      </c>
      <c r="G62" s="29">
        <v>0.5</v>
      </c>
      <c r="H62" s="29">
        <v>5000</v>
      </c>
      <c r="I62" s="114">
        <v>2500</v>
      </c>
      <c r="J62" s="57"/>
    </row>
    <row r="63" spans="1:10" x14ac:dyDescent="0.3">
      <c r="A63" s="57"/>
      <c r="B63" s="113">
        <v>42333</v>
      </c>
      <c r="C63" s="24" t="s">
        <v>16</v>
      </c>
      <c r="D63" s="24" t="s">
        <v>27</v>
      </c>
      <c r="E63" s="110">
        <v>106.2</v>
      </c>
      <c r="F63" s="29">
        <v>107.1</v>
      </c>
      <c r="G63" s="29">
        <v>0.9</v>
      </c>
      <c r="H63" s="29">
        <v>5000</v>
      </c>
      <c r="I63" s="114">
        <v>4500</v>
      </c>
      <c r="J63" s="57"/>
    </row>
    <row r="64" spans="1:10" x14ac:dyDescent="0.3">
      <c r="A64" s="57"/>
      <c r="B64" s="113">
        <v>42334</v>
      </c>
      <c r="C64" s="24" t="s">
        <v>23</v>
      </c>
      <c r="D64" s="24" t="s">
        <v>56</v>
      </c>
      <c r="E64" s="29">
        <v>98.2</v>
      </c>
      <c r="F64" s="29">
        <v>99.2</v>
      </c>
      <c r="G64" s="29">
        <v>-1</v>
      </c>
      <c r="H64" s="29">
        <v>5000</v>
      </c>
      <c r="I64" s="114">
        <v>-5000</v>
      </c>
      <c r="J64" s="57"/>
    </row>
    <row r="65" spans="1:10" x14ac:dyDescent="0.3">
      <c r="A65" s="57"/>
      <c r="B65" s="71">
        <v>42338</v>
      </c>
      <c r="C65" s="24" t="s">
        <v>23</v>
      </c>
      <c r="D65" s="24" t="s">
        <v>56</v>
      </c>
      <c r="E65" s="29">
        <v>98.5</v>
      </c>
      <c r="F65" s="29">
        <v>97</v>
      </c>
      <c r="G65" s="29">
        <v>1.5</v>
      </c>
      <c r="H65" s="29">
        <v>5000</v>
      </c>
      <c r="I65" s="29">
        <v>7500</v>
      </c>
      <c r="J65" s="57"/>
    </row>
    <row r="66" spans="1:10" x14ac:dyDescent="0.3">
      <c r="A66" s="57"/>
      <c r="B66" s="18"/>
      <c r="C66" s="18"/>
      <c r="D66" s="18"/>
      <c r="E66" s="18"/>
      <c r="F66" s="18"/>
      <c r="G66" s="18"/>
      <c r="H66" s="18"/>
      <c r="I66" s="29"/>
      <c r="J66" s="57"/>
    </row>
    <row r="67" spans="1:10" x14ac:dyDescent="0.3">
      <c r="A67" s="57"/>
      <c r="B67" s="117"/>
      <c r="C67" s="75"/>
      <c r="D67" s="75"/>
      <c r="E67" s="45"/>
      <c r="F67" s="75"/>
      <c r="G67" s="75"/>
      <c r="H67" s="29"/>
      <c r="I67" s="114"/>
      <c r="J67" s="57"/>
    </row>
    <row r="68" spans="1:10" ht="17.399999999999999" x14ac:dyDescent="0.3">
      <c r="A68" s="57"/>
      <c r="B68" s="113"/>
      <c r="C68" s="75"/>
      <c r="D68" s="75"/>
      <c r="E68" s="75"/>
      <c r="F68" s="75"/>
      <c r="G68" s="75"/>
      <c r="H68" s="29"/>
      <c r="I68" s="123">
        <v>25500</v>
      </c>
      <c r="J68" s="57"/>
    </row>
    <row r="69" spans="1:10" ht="17.399999999999999" x14ac:dyDescent="0.3">
      <c r="A69" s="57"/>
      <c r="B69" s="113"/>
      <c r="C69" s="75"/>
      <c r="D69" s="75"/>
      <c r="E69" s="75"/>
      <c r="F69" s="75"/>
      <c r="G69" s="75"/>
      <c r="H69" s="29"/>
      <c r="I69" s="118"/>
      <c r="J69" s="57"/>
    </row>
    <row r="70" spans="1:10" x14ac:dyDescent="0.3">
      <c r="A70" s="57"/>
      <c r="B70" s="18"/>
      <c r="C70" s="75"/>
      <c r="D70" s="75"/>
      <c r="E70" s="75"/>
      <c r="F70" s="75"/>
      <c r="G70" s="75"/>
      <c r="H70" s="29"/>
      <c r="I70" s="119"/>
      <c r="J70" s="57"/>
    </row>
    <row r="71" spans="1:10" ht="18" x14ac:dyDescent="0.35">
      <c r="A71" s="57"/>
      <c r="B71" s="18"/>
      <c r="C71" s="18"/>
      <c r="D71" s="18"/>
      <c r="E71" s="18"/>
      <c r="F71" s="18"/>
      <c r="G71" s="18"/>
      <c r="H71" s="18"/>
      <c r="I71" s="124"/>
      <c r="J71" s="57"/>
    </row>
    <row r="72" spans="1:10" x14ac:dyDescent="0.3">
      <c r="A72" s="57"/>
      <c r="B72" s="117"/>
      <c r="C72" s="18"/>
      <c r="D72" s="18"/>
      <c r="E72" s="18"/>
      <c r="F72" s="18"/>
      <c r="G72" s="18"/>
      <c r="H72" s="18"/>
      <c r="I72" s="125"/>
      <c r="J72" s="57"/>
    </row>
    <row r="73" spans="1:10" x14ac:dyDescent="0.3">
      <c r="A73" s="57"/>
      <c r="B73" s="117"/>
      <c r="C73" s="18"/>
      <c r="D73" s="18"/>
      <c r="E73" s="18"/>
      <c r="F73" s="18"/>
      <c r="G73" s="18"/>
      <c r="H73" s="18"/>
      <c r="I73" s="125"/>
      <c r="J73" s="57"/>
    </row>
    <row r="74" spans="1:10" x14ac:dyDescent="0.3">
      <c r="A74" s="57"/>
      <c r="B74" s="117"/>
      <c r="C74" s="18"/>
      <c r="D74" s="18"/>
      <c r="E74" s="18"/>
      <c r="F74" s="18"/>
      <c r="G74" s="18"/>
      <c r="H74" s="18"/>
      <c r="I74" s="125"/>
      <c r="J74" s="57"/>
    </row>
    <row r="75" spans="1:10" x14ac:dyDescent="0.3">
      <c r="A75" s="57"/>
      <c r="B75" s="117"/>
      <c r="C75" s="18"/>
      <c r="D75" s="18"/>
      <c r="E75" s="18"/>
      <c r="F75" s="18"/>
      <c r="G75" s="18"/>
      <c r="H75" s="18"/>
      <c r="I75" s="125"/>
      <c r="J75" s="57"/>
    </row>
    <row r="76" spans="1:10" x14ac:dyDescent="0.3">
      <c r="A76" s="57"/>
      <c r="B76" s="18"/>
      <c r="C76" s="18"/>
      <c r="D76" s="18"/>
      <c r="E76" s="18"/>
      <c r="F76" s="18"/>
      <c r="G76" s="18"/>
      <c r="H76" s="18"/>
      <c r="I76" s="18"/>
      <c r="J76" s="57"/>
    </row>
    <row r="77" spans="1:10" x14ac:dyDescent="0.3">
      <c r="A77" s="57"/>
      <c r="B77" s="18"/>
      <c r="C77" s="18"/>
      <c r="D77" s="18"/>
      <c r="E77" s="18"/>
      <c r="F77" s="18"/>
      <c r="G77" s="18"/>
      <c r="H77" s="18"/>
      <c r="I77" s="18"/>
      <c r="J77" s="57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300-000000000000}"/>
  </hyperlinks>
  <pageMargins left="0.7" right="0.7" top="0.75" bottom="0.75" header="0.3" footer="0.3"/>
  <ignoredErrors>
    <ignoredError sqref="E44:G44 E30:G43 L8:O11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90"/>
  <sheetViews>
    <sheetView workbookViewId="0">
      <selection activeCell="K2" sqref="K2"/>
    </sheetView>
  </sheetViews>
  <sheetFormatPr defaultRowHeight="14.4" x14ac:dyDescent="0.3"/>
  <cols>
    <col min="1" max="1" width="9.109375" customWidth="1"/>
    <col min="2" max="2" width="14" customWidth="1"/>
    <col min="3" max="3" width="11.44140625" customWidth="1"/>
    <col min="4" max="4" width="18.5546875" customWidth="1"/>
    <col min="5" max="5" width="16.6640625" customWidth="1"/>
    <col min="6" max="6" width="15" customWidth="1"/>
    <col min="7" max="7" width="15.44140625" customWidth="1"/>
    <col min="8" max="8" width="16.5546875" customWidth="1"/>
    <col min="9" max="9" width="15.6640625" customWidth="1"/>
    <col min="14" max="14" width="10.6640625" customWidth="1"/>
  </cols>
  <sheetData>
    <row r="1" spans="1:15" ht="15" thickBot="1" x14ac:dyDescent="0.35">
      <c r="A1" s="1"/>
      <c r="B1" s="294"/>
      <c r="C1" s="294"/>
      <c r="D1" s="294"/>
      <c r="E1" s="294"/>
      <c r="F1" s="294"/>
      <c r="G1" s="294"/>
      <c r="H1" s="294"/>
      <c r="I1" s="294"/>
      <c r="J1" s="1"/>
    </row>
    <row r="2" spans="1:15" ht="29.4" thickBot="1" x14ac:dyDescent="0.35">
      <c r="A2" s="1" t="s">
        <v>0</v>
      </c>
      <c r="B2" s="292" t="s">
        <v>128</v>
      </c>
      <c r="C2" s="292"/>
      <c r="D2" s="292"/>
      <c r="E2" s="292"/>
      <c r="F2" s="292"/>
      <c r="G2" s="292"/>
      <c r="H2" s="292"/>
      <c r="I2" s="292"/>
      <c r="J2" s="1"/>
      <c r="K2" s="257" t="s">
        <v>872</v>
      </c>
    </row>
    <row r="3" spans="1:15" ht="15.6" x14ac:dyDescent="0.3">
      <c r="A3" s="2"/>
      <c r="B3" s="296" t="s">
        <v>756</v>
      </c>
      <c r="C3" s="296"/>
      <c r="D3" s="296"/>
      <c r="E3" s="296"/>
      <c r="F3" s="296"/>
      <c r="G3" s="296"/>
      <c r="H3" s="296"/>
      <c r="I3" s="296"/>
      <c r="J3" s="2"/>
    </row>
    <row r="4" spans="1:15" ht="15.6" x14ac:dyDescent="0.3">
      <c r="A4" s="4"/>
      <c r="B4" s="295" t="s">
        <v>745</v>
      </c>
      <c r="C4" s="295"/>
      <c r="D4" s="295"/>
      <c r="E4" s="295"/>
      <c r="F4" s="295"/>
      <c r="G4" s="295"/>
      <c r="H4" s="295"/>
      <c r="I4" s="295"/>
      <c r="J4" s="4"/>
    </row>
    <row r="5" spans="1:15" x14ac:dyDescent="0.3">
      <c r="A5" s="4"/>
      <c r="B5" s="111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112" t="s">
        <v>7</v>
      </c>
      <c r="J5" s="4"/>
      <c r="K5" s="34"/>
    </row>
    <row r="6" spans="1:15" x14ac:dyDescent="0.3">
      <c r="A6" s="4"/>
      <c r="B6" s="113">
        <v>42339</v>
      </c>
      <c r="C6" s="24" t="s">
        <v>23</v>
      </c>
      <c r="D6" s="26" t="s">
        <v>24</v>
      </c>
      <c r="E6" s="29">
        <v>25370</v>
      </c>
      <c r="F6" s="29">
        <v>25325</v>
      </c>
      <c r="G6" s="29">
        <v>45</v>
      </c>
      <c r="H6" s="29">
        <v>100</v>
      </c>
      <c r="I6" s="114">
        <f>H6*G6</f>
        <v>4500</v>
      </c>
      <c r="J6" s="4"/>
      <c r="K6" s="34"/>
    </row>
    <row r="7" spans="1:15" x14ac:dyDescent="0.3">
      <c r="A7" s="4"/>
      <c r="B7" s="113">
        <v>42340</v>
      </c>
      <c r="C7" s="24" t="s">
        <v>23</v>
      </c>
      <c r="D7" s="26" t="s">
        <v>24</v>
      </c>
      <c r="E7" s="29">
        <v>25330</v>
      </c>
      <c r="F7" s="29">
        <v>25160</v>
      </c>
      <c r="G7" s="29">
        <v>170</v>
      </c>
      <c r="H7" s="29">
        <v>100</v>
      </c>
      <c r="I7" s="114">
        <f t="shared" ref="I7:I15" si="0">H7*G7</f>
        <v>17000</v>
      </c>
      <c r="J7" s="4"/>
      <c r="K7" s="115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4"/>
      <c r="B8" s="113">
        <v>42341</v>
      </c>
      <c r="C8" s="24" t="s">
        <v>23</v>
      </c>
      <c r="D8" s="26" t="s">
        <v>24</v>
      </c>
      <c r="E8" s="29">
        <v>25040</v>
      </c>
      <c r="F8" s="29">
        <v>24920</v>
      </c>
      <c r="G8" s="29">
        <v>120</v>
      </c>
      <c r="H8" s="29">
        <v>100</v>
      </c>
      <c r="I8" s="114">
        <f t="shared" si="0"/>
        <v>12000</v>
      </c>
      <c r="J8" s="4"/>
      <c r="K8" s="116" t="s">
        <v>257</v>
      </c>
      <c r="L8" s="49" t="s">
        <v>435</v>
      </c>
      <c r="M8" s="101" t="s">
        <v>553</v>
      </c>
      <c r="N8" s="101" t="s">
        <v>261</v>
      </c>
      <c r="O8" s="101" t="s">
        <v>262</v>
      </c>
    </row>
    <row r="9" spans="1:15" x14ac:dyDescent="0.3">
      <c r="A9" s="4"/>
      <c r="B9" s="113">
        <v>42342</v>
      </c>
      <c r="C9" s="24" t="s">
        <v>23</v>
      </c>
      <c r="D9" s="26" t="s">
        <v>22</v>
      </c>
      <c r="E9" s="29">
        <v>34250</v>
      </c>
      <c r="F9" s="29">
        <v>34500</v>
      </c>
      <c r="G9" s="29">
        <v>-250</v>
      </c>
      <c r="H9" s="29">
        <v>30</v>
      </c>
      <c r="I9" s="114">
        <f t="shared" si="0"/>
        <v>-7500</v>
      </c>
      <c r="J9" s="4"/>
      <c r="K9" s="116" t="s">
        <v>258</v>
      </c>
      <c r="L9" s="101" t="s">
        <v>553</v>
      </c>
      <c r="M9" s="101" t="s">
        <v>267</v>
      </c>
      <c r="N9" s="101" t="s">
        <v>264</v>
      </c>
      <c r="O9" s="101" t="s">
        <v>262</v>
      </c>
    </row>
    <row r="10" spans="1:15" x14ac:dyDescent="0.3">
      <c r="A10" s="4"/>
      <c r="B10" s="113">
        <v>42345</v>
      </c>
      <c r="C10" s="24" t="s">
        <v>23</v>
      </c>
      <c r="D10" s="26" t="s">
        <v>24</v>
      </c>
      <c r="E10" s="29">
        <v>25680</v>
      </c>
      <c r="F10" s="29">
        <v>25570</v>
      </c>
      <c r="G10" s="29">
        <v>110</v>
      </c>
      <c r="H10" s="29">
        <v>100</v>
      </c>
      <c r="I10" s="114">
        <f t="shared" si="0"/>
        <v>11000</v>
      </c>
      <c r="J10" s="4"/>
      <c r="K10" s="116" t="s">
        <v>259</v>
      </c>
      <c r="L10" s="101" t="s">
        <v>260</v>
      </c>
      <c r="M10" s="101" t="s">
        <v>263</v>
      </c>
      <c r="N10" s="101" t="s">
        <v>261</v>
      </c>
      <c r="O10" s="101" t="s">
        <v>290</v>
      </c>
    </row>
    <row r="11" spans="1:15" x14ac:dyDescent="0.3">
      <c r="A11" s="4"/>
      <c r="B11" s="113">
        <v>42346</v>
      </c>
      <c r="C11" s="108" t="s">
        <v>23</v>
      </c>
      <c r="D11" s="109" t="s">
        <v>24</v>
      </c>
      <c r="E11" s="110">
        <v>25455</v>
      </c>
      <c r="F11" s="110">
        <v>25390</v>
      </c>
      <c r="G11" s="110">
        <v>65</v>
      </c>
      <c r="H11" s="110">
        <v>100</v>
      </c>
      <c r="I11" s="114">
        <f t="shared" si="0"/>
        <v>6500</v>
      </c>
      <c r="J11" s="4"/>
      <c r="K11" s="116" t="s">
        <v>300</v>
      </c>
      <c r="L11" s="104" t="s">
        <v>333</v>
      </c>
      <c r="M11" s="104" t="s">
        <v>775</v>
      </c>
      <c r="N11" s="104" t="s">
        <v>522</v>
      </c>
      <c r="O11" s="104" t="s">
        <v>290</v>
      </c>
    </row>
    <row r="12" spans="1:15" x14ac:dyDescent="0.3">
      <c r="A12" s="4"/>
      <c r="B12" s="113">
        <v>42347</v>
      </c>
      <c r="C12" s="108" t="s">
        <v>23</v>
      </c>
      <c r="D12" s="109" t="s">
        <v>24</v>
      </c>
      <c r="E12" s="110">
        <v>25550</v>
      </c>
      <c r="F12" s="110">
        <v>25620</v>
      </c>
      <c r="G12" s="110">
        <v>-90</v>
      </c>
      <c r="H12" s="110">
        <v>100</v>
      </c>
      <c r="I12" s="114">
        <f t="shared" si="0"/>
        <v>-9000</v>
      </c>
      <c r="J12" s="4"/>
      <c r="K12" s="34"/>
    </row>
    <row r="13" spans="1:15" x14ac:dyDescent="0.3">
      <c r="A13" s="4"/>
      <c r="B13" s="113">
        <v>42347</v>
      </c>
      <c r="C13" s="108" t="s">
        <v>16</v>
      </c>
      <c r="D13" s="109" t="s">
        <v>24</v>
      </c>
      <c r="E13" s="110">
        <v>25630</v>
      </c>
      <c r="F13" s="110">
        <v>25710</v>
      </c>
      <c r="G13" s="110">
        <v>70</v>
      </c>
      <c r="H13" s="110">
        <v>100</v>
      </c>
      <c r="I13" s="114">
        <f t="shared" si="0"/>
        <v>7000</v>
      </c>
      <c r="J13" s="4"/>
      <c r="K13" s="34"/>
      <c r="L13" s="87" t="s">
        <v>776</v>
      </c>
      <c r="M13" s="88"/>
      <c r="N13" s="89"/>
    </row>
    <row r="14" spans="1:15" x14ac:dyDescent="0.3">
      <c r="A14" s="4"/>
      <c r="B14" s="113">
        <v>42348</v>
      </c>
      <c r="C14" s="108" t="s">
        <v>23</v>
      </c>
      <c r="D14" s="109" t="s">
        <v>24</v>
      </c>
      <c r="E14" s="110">
        <v>25470</v>
      </c>
      <c r="F14" s="110">
        <v>25400</v>
      </c>
      <c r="G14" s="110">
        <v>70</v>
      </c>
      <c r="H14" s="110">
        <v>100</v>
      </c>
      <c r="I14" s="114">
        <f t="shared" si="0"/>
        <v>7000</v>
      </c>
      <c r="J14" s="4"/>
      <c r="K14" s="34"/>
    </row>
    <row r="15" spans="1:15" x14ac:dyDescent="0.3">
      <c r="A15" s="4"/>
      <c r="B15" s="113">
        <v>42349</v>
      </c>
      <c r="C15" s="108" t="s">
        <v>23</v>
      </c>
      <c r="D15" s="109" t="s">
        <v>24</v>
      </c>
      <c r="E15" s="110">
        <v>25390</v>
      </c>
      <c r="F15" s="110">
        <v>25280</v>
      </c>
      <c r="G15" s="110">
        <v>90</v>
      </c>
      <c r="H15" s="110">
        <v>100</v>
      </c>
      <c r="I15" s="114">
        <f t="shared" si="0"/>
        <v>9000</v>
      </c>
      <c r="J15" s="4"/>
      <c r="K15" s="34"/>
    </row>
    <row r="16" spans="1:15" x14ac:dyDescent="0.3">
      <c r="A16" s="4"/>
      <c r="B16" s="113">
        <v>42352</v>
      </c>
      <c r="C16" s="108" t="s">
        <v>23</v>
      </c>
      <c r="D16" s="109" t="s">
        <v>24</v>
      </c>
      <c r="E16" s="110">
        <v>25580</v>
      </c>
      <c r="F16" s="110">
        <v>25410</v>
      </c>
      <c r="G16" s="110">
        <v>170</v>
      </c>
      <c r="H16" s="110">
        <v>100</v>
      </c>
      <c r="I16" s="114">
        <v>17000</v>
      </c>
      <c r="J16" s="4"/>
      <c r="K16" s="34"/>
    </row>
    <row r="17" spans="1:11" x14ac:dyDescent="0.3">
      <c r="A17" s="4"/>
      <c r="B17" s="113">
        <v>42353</v>
      </c>
      <c r="C17" s="24" t="s">
        <v>23</v>
      </c>
      <c r="D17" s="26" t="s">
        <v>22</v>
      </c>
      <c r="E17" s="29">
        <v>33450</v>
      </c>
      <c r="F17" s="29">
        <v>33350</v>
      </c>
      <c r="G17" s="29">
        <v>1000</v>
      </c>
      <c r="H17" s="29">
        <v>30</v>
      </c>
      <c r="I17" s="114">
        <v>3000</v>
      </c>
      <c r="J17" s="4"/>
      <c r="K17" s="34"/>
    </row>
    <row r="18" spans="1:11" x14ac:dyDescent="0.3">
      <c r="A18" s="4"/>
      <c r="B18" s="113">
        <v>42353</v>
      </c>
      <c r="C18" s="24" t="s">
        <v>23</v>
      </c>
      <c r="D18" s="26" t="s">
        <v>24</v>
      </c>
      <c r="E18" s="29">
        <v>25330</v>
      </c>
      <c r="F18" s="29">
        <v>25195</v>
      </c>
      <c r="G18" s="29">
        <v>135</v>
      </c>
      <c r="H18" s="29">
        <v>100</v>
      </c>
      <c r="I18" s="114">
        <v>13500</v>
      </c>
      <c r="J18" s="4"/>
      <c r="K18" s="34"/>
    </row>
    <row r="19" spans="1:11" x14ac:dyDescent="0.3">
      <c r="A19" s="4"/>
      <c r="B19" s="113">
        <v>42354</v>
      </c>
      <c r="C19" s="24" t="s">
        <v>23</v>
      </c>
      <c r="D19" s="26" t="s">
        <v>24</v>
      </c>
      <c r="E19" s="29">
        <v>25280</v>
      </c>
      <c r="F19" s="29">
        <v>25210</v>
      </c>
      <c r="G19" s="29">
        <v>70</v>
      </c>
      <c r="H19" s="29">
        <v>100</v>
      </c>
      <c r="I19" s="114">
        <v>7000</v>
      </c>
      <c r="J19" s="4"/>
      <c r="K19" s="34"/>
    </row>
    <row r="20" spans="1:11" x14ac:dyDescent="0.3">
      <c r="A20" s="4"/>
      <c r="B20" s="113">
        <v>42355</v>
      </c>
      <c r="C20" s="24" t="s">
        <v>23</v>
      </c>
      <c r="D20" s="26" t="s">
        <v>24</v>
      </c>
      <c r="E20" s="29">
        <v>25250</v>
      </c>
      <c r="F20" s="29">
        <v>25080</v>
      </c>
      <c r="G20" s="29">
        <v>170</v>
      </c>
      <c r="H20" s="29">
        <v>100</v>
      </c>
      <c r="I20" s="114">
        <v>17000</v>
      </c>
      <c r="J20" s="4"/>
      <c r="K20" s="34"/>
    </row>
    <row r="21" spans="1:11" x14ac:dyDescent="0.3">
      <c r="A21" s="4"/>
      <c r="B21" s="113">
        <v>42356</v>
      </c>
      <c r="C21" s="108" t="s">
        <v>23</v>
      </c>
      <c r="D21" s="26" t="s">
        <v>24</v>
      </c>
      <c r="E21" s="29">
        <v>24910</v>
      </c>
      <c r="F21" s="29">
        <v>25070</v>
      </c>
      <c r="G21" s="29">
        <v>-160</v>
      </c>
      <c r="H21" s="29">
        <v>100</v>
      </c>
      <c r="I21" s="114">
        <v>-16000</v>
      </c>
      <c r="J21" s="4"/>
      <c r="K21" s="34"/>
    </row>
    <row r="22" spans="1:11" x14ac:dyDescent="0.3">
      <c r="A22" s="4"/>
      <c r="B22" s="113">
        <v>42359</v>
      </c>
      <c r="C22" s="108" t="s">
        <v>16</v>
      </c>
      <c r="D22" s="26" t="s">
        <v>24</v>
      </c>
      <c r="E22" s="29">
        <v>25170</v>
      </c>
      <c r="F22" s="29">
        <v>25340</v>
      </c>
      <c r="G22" s="29">
        <v>170</v>
      </c>
      <c r="H22" s="29">
        <v>100</v>
      </c>
      <c r="I22" s="114">
        <v>17000</v>
      </c>
      <c r="J22" s="4"/>
      <c r="K22" s="34"/>
    </row>
    <row r="23" spans="1:11" x14ac:dyDescent="0.3">
      <c r="A23" s="4"/>
      <c r="B23" s="113">
        <v>42360</v>
      </c>
      <c r="C23" s="24" t="s">
        <v>23</v>
      </c>
      <c r="D23" s="26" t="s">
        <v>24</v>
      </c>
      <c r="E23" s="29">
        <v>25350</v>
      </c>
      <c r="F23" s="29">
        <v>25280</v>
      </c>
      <c r="G23" s="29">
        <v>70</v>
      </c>
      <c r="H23" s="29">
        <v>100</v>
      </c>
      <c r="I23" s="114">
        <v>7000</v>
      </c>
      <c r="J23" s="4"/>
      <c r="K23" s="34"/>
    </row>
    <row r="24" spans="1:11" x14ac:dyDescent="0.3">
      <c r="A24" s="4"/>
      <c r="B24" s="113">
        <v>42361</v>
      </c>
      <c r="C24" s="24" t="s">
        <v>23</v>
      </c>
      <c r="D24" s="26" t="s">
        <v>24</v>
      </c>
      <c r="E24" s="29">
        <v>25200</v>
      </c>
      <c r="F24" s="29">
        <v>25080</v>
      </c>
      <c r="G24" s="29">
        <v>120</v>
      </c>
      <c r="H24" s="29">
        <v>100</v>
      </c>
      <c r="I24" s="114">
        <v>12000</v>
      </c>
      <c r="J24" s="4"/>
    </row>
    <row r="25" spans="1:11" x14ac:dyDescent="0.3">
      <c r="A25" s="4"/>
      <c r="B25" s="113">
        <v>42366</v>
      </c>
      <c r="C25" s="24" t="s">
        <v>23</v>
      </c>
      <c r="D25" s="26" t="s">
        <v>24</v>
      </c>
      <c r="E25" s="29">
        <v>25180</v>
      </c>
      <c r="F25" s="29">
        <v>25110</v>
      </c>
      <c r="G25" s="29">
        <v>70</v>
      </c>
      <c r="H25" s="29">
        <v>100</v>
      </c>
      <c r="I25" s="114">
        <v>7000</v>
      </c>
      <c r="J25" s="4"/>
    </row>
    <row r="26" spans="1:11" x14ac:dyDescent="0.3">
      <c r="A26" s="4"/>
      <c r="B26" s="113">
        <v>42367</v>
      </c>
      <c r="C26" s="24" t="s">
        <v>23</v>
      </c>
      <c r="D26" s="26" t="s">
        <v>24</v>
      </c>
      <c r="E26" s="29">
        <v>25240</v>
      </c>
      <c r="F26" s="29">
        <v>25170</v>
      </c>
      <c r="G26" s="29">
        <v>70</v>
      </c>
      <c r="H26" s="29">
        <v>100</v>
      </c>
      <c r="I26" s="114">
        <v>7000</v>
      </c>
      <c r="J26" s="4"/>
    </row>
    <row r="27" spans="1:11" x14ac:dyDescent="0.3">
      <c r="A27" s="4"/>
      <c r="B27" s="113">
        <v>42368</v>
      </c>
      <c r="C27" s="24" t="s">
        <v>23</v>
      </c>
      <c r="D27" s="26" t="s">
        <v>24</v>
      </c>
      <c r="E27" s="26">
        <v>25200</v>
      </c>
      <c r="F27" s="26">
        <v>25000</v>
      </c>
      <c r="G27" s="26">
        <v>200</v>
      </c>
      <c r="H27" s="29">
        <v>100</v>
      </c>
      <c r="I27" s="114">
        <v>20000</v>
      </c>
      <c r="J27" s="4"/>
    </row>
    <row r="28" spans="1:11" x14ac:dyDescent="0.3">
      <c r="A28" s="4"/>
      <c r="B28" s="113">
        <v>42369</v>
      </c>
      <c r="C28" s="24" t="s">
        <v>23</v>
      </c>
      <c r="D28" s="26" t="s">
        <v>24</v>
      </c>
      <c r="E28" s="26">
        <v>24990</v>
      </c>
      <c r="F28" s="26">
        <v>24900</v>
      </c>
      <c r="G28" s="26">
        <v>90</v>
      </c>
      <c r="H28" s="29">
        <v>100</v>
      </c>
      <c r="I28" s="114">
        <v>9000</v>
      </c>
      <c r="J28" s="4"/>
    </row>
    <row r="29" spans="1:11" x14ac:dyDescent="0.3">
      <c r="A29" s="4"/>
      <c r="B29" s="113"/>
      <c r="C29" s="24"/>
      <c r="D29" s="26"/>
      <c r="E29" s="29"/>
      <c r="F29" s="29"/>
      <c r="G29" s="29"/>
      <c r="H29" s="29"/>
      <c r="I29" s="114"/>
      <c r="J29" s="4"/>
    </row>
    <row r="30" spans="1:11" ht="17.399999999999999" x14ac:dyDescent="0.3">
      <c r="A30" s="4"/>
      <c r="B30" s="113"/>
      <c r="C30" s="29"/>
      <c r="D30" s="26"/>
      <c r="E30" s="36"/>
      <c r="F30" s="29"/>
      <c r="G30" s="29"/>
      <c r="H30" s="29"/>
      <c r="I30" s="118">
        <v>178000</v>
      </c>
      <c r="J30" s="4"/>
    </row>
    <row r="31" spans="1:11" x14ac:dyDescent="0.3">
      <c r="A31" s="4"/>
      <c r="B31" s="113"/>
      <c r="C31" s="29"/>
      <c r="D31" s="36"/>
      <c r="E31" s="36"/>
      <c r="F31" s="29"/>
      <c r="G31" s="29"/>
      <c r="H31" s="29"/>
      <c r="I31" s="114"/>
      <c r="J31" s="4"/>
    </row>
    <row r="32" spans="1:11" ht="15.6" x14ac:dyDescent="0.3">
      <c r="A32" s="4"/>
      <c r="B32" s="120" t="s">
        <v>702</v>
      </c>
      <c r="C32" s="62"/>
      <c r="D32" s="63"/>
      <c r="E32" s="62"/>
      <c r="F32" s="62"/>
      <c r="G32" s="62"/>
      <c r="H32" s="62"/>
      <c r="I32" s="121"/>
      <c r="J32" s="4"/>
    </row>
    <row r="33" spans="1:10" x14ac:dyDescent="0.3">
      <c r="A33" s="4"/>
      <c r="B33" s="113">
        <v>42339</v>
      </c>
      <c r="C33" s="24" t="s">
        <v>23</v>
      </c>
      <c r="D33" s="24" t="s">
        <v>721</v>
      </c>
      <c r="E33" s="49" t="s">
        <v>537</v>
      </c>
      <c r="F33" s="49" t="s">
        <v>752</v>
      </c>
      <c r="G33" s="49" t="s">
        <v>491</v>
      </c>
      <c r="H33" s="25">
        <v>100</v>
      </c>
      <c r="I33" s="114">
        <f>H33*G33</f>
        <v>2000</v>
      </c>
      <c r="J33" s="4"/>
    </row>
    <row r="34" spans="1:10" x14ac:dyDescent="0.3">
      <c r="A34" s="4"/>
      <c r="B34" s="113">
        <v>42340</v>
      </c>
      <c r="C34" s="24" t="s">
        <v>23</v>
      </c>
      <c r="D34" s="24" t="s">
        <v>721</v>
      </c>
      <c r="E34" s="49" t="s">
        <v>488</v>
      </c>
      <c r="F34" s="49" t="s">
        <v>685</v>
      </c>
      <c r="G34" s="49" t="s">
        <v>268</v>
      </c>
      <c r="H34" s="25">
        <v>100</v>
      </c>
      <c r="I34" s="114">
        <f t="shared" ref="I34:I52" si="1">H34*G34</f>
        <v>6500</v>
      </c>
      <c r="J34" s="4"/>
    </row>
    <row r="35" spans="1:10" x14ac:dyDescent="0.3">
      <c r="A35" s="4"/>
      <c r="B35" s="113">
        <v>42341</v>
      </c>
      <c r="C35" s="24" t="s">
        <v>23</v>
      </c>
      <c r="D35" s="24" t="s">
        <v>721</v>
      </c>
      <c r="E35" s="83" t="s">
        <v>753</v>
      </c>
      <c r="F35" s="49" t="s">
        <v>754</v>
      </c>
      <c r="G35" s="49" t="s">
        <v>621</v>
      </c>
      <c r="H35" s="25">
        <v>100</v>
      </c>
      <c r="I35" s="114">
        <f t="shared" si="1"/>
        <v>2500</v>
      </c>
      <c r="J35" s="4"/>
    </row>
    <row r="36" spans="1:10" x14ac:dyDescent="0.3">
      <c r="A36" s="4"/>
      <c r="B36" s="113">
        <v>42342</v>
      </c>
      <c r="C36" s="24" t="s">
        <v>23</v>
      </c>
      <c r="D36" s="24" t="s">
        <v>721</v>
      </c>
      <c r="E36" s="83" t="s">
        <v>486</v>
      </c>
      <c r="F36" s="49" t="s">
        <v>485</v>
      </c>
      <c r="G36" s="49" t="s">
        <v>742</v>
      </c>
      <c r="H36" s="25">
        <v>100</v>
      </c>
      <c r="I36" s="114">
        <f t="shared" si="1"/>
        <v>-4000</v>
      </c>
      <c r="J36" s="4"/>
    </row>
    <row r="37" spans="1:10" x14ac:dyDescent="0.3">
      <c r="A37" s="4"/>
      <c r="B37" s="113">
        <v>42345</v>
      </c>
      <c r="C37" s="24" t="s">
        <v>23</v>
      </c>
      <c r="D37" s="24" t="s">
        <v>721</v>
      </c>
      <c r="E37" s="49" t="s">
        <v>534</v>
      </c>
      <c r="F37" s="49" t="s">
        <v>755</v>
      </c>
      <c r="G37" s="49" t="s">
        <v>671</v>
      </c>
      <c r="H37" s="25">
        <v>100</v>
      </c>
      <c r="I37" s="114">
        <f t="shared" si="1"/>
        <v>6000</v>
      </c>
      <c r="J37" s="4"/>
    </row>
    <row r="38" spans="1:10" x14ac:dyDescent="0.3">
      <c r="A38" s="4"/>
      <c r="B38" s="113">
        <v>42346</v>
      </c>
      <c r="C38" s="108" t="s">
        <v>23</v>
      </c>
      <c r="D38" s="108" t="s">
        <v>721</v>
      </c>
      <c r="E38" s="109">
        <v>2550</v>
      </c>
      <c r="F38" s="109">
        <v>2495</v>
      </c>
      <c r="G38" s="109">
        <v>55</v>
      </c>
      <c r="H38" s="109">
        <v>100</v>
      </c>
      <c r="I38" s="114">
        <f t="shared" si="1"/>
        <v>5500</v>
      </c>
      <c r="J38" s="4"/>
    </row>
    <row r="39" spans="1:10" x14ac:dyDescent="0.3">
      <c r="A39" s="4"/>
      <c r="B39" s="113">
        <v>42347</v>
      </c>
      <c r="C39" s="108" t="s">
        <v>23</v>
      </c>
      <c r="D39" s="108" t="s">
        <v>721</v>
      </c>
      <c r="E39" s="109">
        <v>2565</v>
      </c>
      <c r="F39" s="109">
        <v>2530</v>
      </c>
      <c r="G39" s="109">
        <v>35</v>
      </c>
      <c r="H39" s="109">
        <v>100</v>
      </c>
      <c r="I39" s="114">
        <f t="shared" si="1"/>
        <v>3500</v>
      </c>
      <c r="J39" s="4"/>
    </row>
    <row r="40" spans="1:10" x14ac:dyDescent="0.3">
      <c r="A40" s="4"/>
      <c r="B40" s="113">
        <v>42348</v>
      </c>
      <c r="C40" s="108" t="s">
        <v>23</v>
      </c>
      <c r="D40" s="108" t="s">
        <v>721</v>
      </c>
      <c r="E40" s="109">
        <v>2505</v>
      </c>
      <c r="F40" s="109">
        <v>2430</v>
      </c>
      <c r="G40" s="109">
        <v>70</v>
      </c>
      <c r="H40" s="109">
        <v>100</v>
      </c>
      <c r="I40" s="114">
        <f t="shared" si="1"/>
        <v>7000</v>
      </c>
      <c r="J40" s="4"/>
    </row>
    <row r="41" spans="1:10" x14ac:dyDescent="0.3">
      <c r="A41" s="4"/>
      <c r="B41" s="113">
        <v>42349</v>
      </c>
      <c r="C41" s="108" t="s">
        <v>23</v>
      </c>
      <c r="D41" s="108" t="s">
        <v>721</v>
      </c>
      <c r="E41" s="109">
        <v>2450</v>
      </c>
      <c r="F41" s="109">
        <v>2410</v>
      </c>
      <c r="G41" s="109">
        <v>40</v>
      </c>
      <c r="H41" s="109">
        <v>100</v>
      </c>
      <c r="I41" s="114">
        <f t="shared" si="1"/>
        <v>4000</v>
      </c>
      <c r="J41" s="4"/>
    </row>
    <row r="42" spans="1:10" x14ac:dyDescent="0.3">
      <c r="A42" s="4"/>
      <c r="B42" s="113">
        <v>42352</v>
      </c>
      <c r="C42" s="24" t="s">
        <v>23</v>
      </c>
      <c r="D42" s="24" t="s">
        <v>721</v>
      </c>
      <c r="E42" s="49" t="s">
        <v>757</v>
      </c>
      <c r="F42" s="49" t="s">
        <v>758</v>
      </c>
      <c r="G42" s="49" t="s">
        <v>723</v>
      </c>
      <c r="H42" s="25">
        <v>100</v>
      </c>
      <c r="I42" s="114">
        <f t="shared" si="1"/>
        <v>4000</v>
      </c>
      <c r="J42" s="4"/>
    </row>
    <row r="43" spans="1:10" x14ac:dyDescent="0.3">
      <c r="A43" s="4"/>
      <c r="B43" s="113">
        <v>42353</v>
      </c>
      <c r="C43" s="24" t="s">
        <v>23</v>
      </c>
      <c r="D43" s="24" t="s">
        <v>721</v>
      </c>
      <c r="E43" s="49" t="s">
        <v>759</v>
      </c>
      <c r="F43" s="49" t="s">
        <v>760</v>
      </c>
      <c r="G43" s="49" t="s">
        <v>742</v>
      </c>
      <c r="H43" s="25">
        <v>100</v>
      </c>
      <c r="I43" s="114">
        <f t="shared" si="1"/>
        <v>-4000</v>
      </c>
      <c r="J43" s="4"/>
    </row>
    <row r="44" spans="1:10" x14ac:dyDescent="0.3">
      <c r="A44" s="4"/>
      <c r="B44" s="113">
        <v>42354</v>
      </c>
      <c r="C44" s="24" t="s">
        <v>23</v>
      </c>
      <c r="D44" s="24" t="s">
        <v>721</v>
      </c>
      <c r="E44" s="49" t="s">
        <v>761</v>
      </c>
      <c r="F44" s="23">
        <v>2410</v>
      </c>
      <c r="G44" s="49" t="s">
        <v>268</v>
      </c>
      <c r="H44" s="25">
        <v>100</v>
      </c>
      <c r="I44" s="114">
        <f t="shared" si="1"/>
        <v>6500</v>
      </c>
      <c r="J44" s="4"/>
    </row>
    <row r="45" spans="1:10" x14ac:dyDescent="0.3">
      <c r="A45" s="4"/>
      <c r="B45" s="113">
        <v>42355</v>
      </c>
      <c r="C45" s="24" t="s">
        <v>23</v>
      </c>
      <c r="D45" s="24" t="s">
        <v>721</v>
      </c>
      <c r="E45" s="49" t="s">
        <v>762</v>
      </c>
      <c r="F45" s="49" t="s">
        <v>763</v>
      </c>
      <c r="G45" s="49" t="s">
        <v>671</v>
      </c>
      <c r="H45" s="25">
        <v>100</v>
      </c>
      <c r="I45" s="114">
        <f t="shared" si="1"/>
        <v>6000</v>
      </c>
      <c r="J45" s="4"/>
    </row>
    <row r="46" spans="1:10" x14ac:dyDescent="0.3">
      <c r="A46" s="4"/>
      <c r="B46" s="113">
        <v>42356</v>
      </c>
      <c r="C46" s="24" t="s">
        <v>23</v>
      </c>
      <c r="D46" s="24" t="s">
        <v>721</v>
      </c>
      <c r="E46" s="49" t="s">
        <v>764</v>
      </c>
      <c r="F46" s="49" t="s">
        <v>765</v>
      </c>
      <c r="G46" s="49" t="s">
        <v>364</v>
      </c>
      <c r="H46" s="25">
        <v>100</v>
      </c>
      <c r="I46" s="114">
        <f t="shared" si="1"/>
        <v>3500</v>
      </c>
      <c r="J46" s="4"/>
    </row>
    <row r="47" spans="1:10" x14ac:dyDescent="0.3">
      <c r="A47" s="4"/>
      <c r="B47" s="113">
        <v>42359</v>
      </c>
      <c r="C47" s="24" t="s">
        <v>23</v>
      </c>
      <c r="D47" s="24" t="s">
        <v>721</v>
      </c>
      <c r="E47" s="49" t="s">
        <v>766</v>
      </c>
      <c r="F47" s="49" t="s">
        <v>767</v>
      </c>
      <c r="G47" s="49" t="s">
        <v>267</v>
      </c>
      <c r="H47" s="25">
        <v>100</v>
      </c>
      <c r="I47" s="114">
        <f t="shared" si="1"/>
        <v>1700</v>
      </c>
      <c r="J47" s="4"/>
    </row>
    <row r="48" spans="1:10" x14ac:dyDescent="0.3">
      <c r="A48" s="4"/>
      <c r="B48" s="113">
        <v>42360</v>
      </c>
      <c r="C48" s="24" t="s">
        <v>23</v>
      </c>
      <c r="D48" s="24" t="s">
        <v>721</v>
      </c>
      <c r="E48" s="49" t="s">
        <v>768</v>
      </c>
      <c r="F48" s="49" t="s">
        <v>766</v>
      </c>
      <c r="G48" s="49" t="s">
        <v>491</v>
      </c>
      <c r="H48" s="25">
        <v>100</v>
      </c>
      <c r="I48" s="114">
        <v>2000</v>
      </c>
      <c r="J48" s="4"/>
    </row>
    <row r="49" spans="1:10" x14ac:dyDescent="0.3">
      <c r="A49" s="4"/>
      <c r="B49" s="113">
        <v>42361</v>
      </c>
      <c r="C49" s="24" t="s">
        <v>23</v>
      </c>
      <c r="D49" s="24" t="s">
        <v>721</v>
      </c>
      <c r="E49" s="49" t="s">
        <v>769</v>
      </c>
      <c r="F49" s="49" t="s">
        <v>770</v>
      </c>
      <c r="G49" s="49" t="s">
        <v>742</v>
      </c>
      <c r="H49" s="25">
        <v>100</v>
      </c>
      <c r="I49" s="114">
        <f t="shared" si="1"/>
        <v>-4000</v>
      </c>
      <c r="J49" s="4"/>
    </row>
    <row r="50" spans="1:10" x14ac:dyDescent="0.3">
      <c r="A50" s="4"/>
      <c r="B50" s="113">
        <v>42366</v>
      </c>
      <c r="C50" s="24" t="s">
        <v>23</v>
      </c>
      <c r="D50" s="24" t="s">
        <v>721</v>
      </c>
      <c r="E50" s="49" t="s">
        <v>771</v>
      </c>
      <c r="F50" s="49" t="s">
        <v>772</v>
      </c>
      <c r="G50" s="49" t="s">
        <v>268</v>
      </c>
      <c r="H50" s="25">
        <v>100</v>
      </c>
      <c r="I50" s="114">
        <f t="shared" si="1"/>
        <v>6500</v>
      </c>
      <c r="J50" s="4"/>
    </row>
    <row r="51" spans="1:10" x14ac:dyDescent="0.3">
      <c r="A51" s="4"/>
      <c r="B51" s="113">
        <v>42367</v>
      </c>
      <c r="C51" s="24" t="s">
        <v>23</v>
      </c>
      <c r="D51" s="24" t="s">
        <v>721</v>
      </c>
      <c r="E51" s="49" t="s">
        <v>760</v>
      </c>
      <c r="F51" s="49" t="s">
        <v>773</v>
      </c>
      <c r="G51" s="49" t="s">
        <v>742</v>
      </c>
      <c r="H51" s="25">
        <v>100</v>
      </c>
      <c r="I51" s="114">
        <f t="shared" si="1"/>
        <v>-4000</v>
      </c>
      <c r="J51" s="4"/>
    </row>
    <row r="52" spans="1:10" x14ac:dyDescent="0.3">
      <c r="A52" s="4"/>
      <c r="B52" s="113">
        <v>42368</v>
      </c>
      <c r="C52" s="24" t="s">
        <v>23</v>
      </c>
      <c r="D52" s="24" t="s">
        <v>721</v>
      </c>
      <c r="E52" s="49" t="s">
        <v>770</v>
      </c>
      <c r="F52" s="49" t="s">
        <v>764</v>
      </c>
      <c r="G52" s="49" t="s">
        <v>364</v>
      </c>
      <c r="H52" s="25">
        <v>100</v>
      </c>
      <c r="I52" s="114">
        <f t="shared" si="1"/>
        <v>3500</v>
      </c>
      <c r="J52" s="4"/>
    </row>
    <row r="53" spans="1:10" x14ac:dyDescent="0.3">
      <c r="A53" s="4"/>
      <c r="B53" s="113">
        <v>42369</v>
      </c>
      <c r="C53" s="24" t="s">
        <v>23</v>
      </c>
      <c r="D53" s="24" t="s">
        <v>721</v>
      </c>
      <c r="E53" s="49" t="s">
        <v>772</v>
      </c>
      <c r="F53" s="49" t="s">
        <v>774</v>
      </c>
      <c r="G53" s="49" t="s">
        <v>621</v>
      </c>
      <c r="H53" s="25">
        <v>100</v>
      </c>
      <c r="I53" s="114">
        <v>2500</v>
      </c>
      <c r="J53" s="4"/>
    </row>
    <row r="54" spans="1:10" x14ac:dyDescent="0.3">
      <c r="A54" s="4"/>
      <c r="B54" s="113"/>
      <c r="C54" s="24"/>
      <c r="D54" s="24"/>
      <c r="E54" s="49"/>
      <c r="F54" s="49"/>
      <c r="G54" s="49"/>
      <c r="H54" s="25"/>
      <c r="I54" s="114"/>
      <c r="J54" s="4"/>
    </row>
    <row r="55" spans="1:10" ht="17.399999999999999" x14ac:dyDescent="0.3">
      <c r="A55" s="4"/>
      <c r="B55" s="113"/>
      <c r="C55" s="97"/>
      <c r="D55" s="24"/>
      <c r="E55" s="97"/>
      <c r="F55" s="97"/>
      <c r="G55" s="97"/>
      <c r="H55" s="25"/>
      <c r="I55" s="118">
        <v>57200</v>
      </c>
      <c r="J55" s="4"/>
    </row>
    <row r="56" spans="1:10" x14ac:dyDescent="0.3">
      <c r="A56" s="4"/>
      <c r="B56" s="113"/>
      <c r="C56" s="97"/>
      <c r="D56" s="24"/>
      <c r="E56" s="97"/>
      <c r="F56" s="97"/>
      <c r="G56" s="97"/>
      <c r="H56" s="25"/>
      <c r="I56" s="119"/>
      <c r="J56" s="4"/>
    </row>
    <row r="57" spans="1:10" x14ac:dyDescent="0.3">
      <c r="A57" s="4"/>
      <c r="B57" s="113"/>
      <c r="C57" s="29"/>
      <c r="D57" s="36"/>
      <c r="E57" s="29"/>
      <c r="F57" s="29"/>
      <c r="G57" s="29"/>
      <c r="H57" s="29"/>
      <c r="I57" s="114"/>
      <c r="J57" s="4"/>
    </row>
    <row r="58" spans="1:10" ht="15.6" x14ac:dyDescent="0.3">
      <c r="A58" s="4"/>
      <c r="B58" s="120" t="s">
        <v>701</v>
      </c>
      <c r="C58" s="62"/>
      <c r="D58" s="63"/>
      <c r="E58" s="62"/>
      <c r="F58" s="62"/>
      <c r="G58" s="62"/>
      <c r="H58" s="62"/>
      <c r="I58" s="122"/>
      <c r="J58" s="4"/>
    </row>
    <row r="59" spans="1:10" x14ac:dyDescent="0.3">
      <c r="A59" s="4"/>
      <c r="B59" s="113">
        <v>42339</v>
      </c>
      <c r="C59" s="24" t="s">
        <v>23</v>
      </c>
      <c r="D59" s="24" t="s">
        <v>28</v>
      </c>
      <c r="E59" s="29">
        <v>103.8</v>
      </c>
      <c r="F59" s="29">
        <v>102.9</v>
      </c>
      <c r="G59" s="29">
        <v>0.9</v>
      </c>
      <c r="H59" s="29">
        <v>5000</v>
      </c>
      <c r="I59" s="114">
        <f>H59*G59</f>
        <v>4500</v>
      </c>
      <c r="J59" s="4"/>
    </row>
    <row r="60" spans="1:10" x14ac:dyDescent="0.3">
      <c r="A60" s="4"/>
      <c r="B60" s="113">
        <v>42340</v>
      </c>
      <c r="C60" s="24" t="s">
        <v>23</v>
      </c>
      <c r="D60" s="24" t="s">
        <v>28</v>
      </c>
      <c r="E60" s="29">
        <v>104.4</v>
      </c>
      <c r="F60" s="29">
        <v>103.6</v>
      </c>
      <c r="G60" s="29">
        <v>0.8</v>
      </c>
      <c r="H60" s="29">
        <v>5000</v>
      </c>
      <c r="I60" s="114">
        <f t="shared" ref="I60:I68" si="2">H60*G60</f>
        <v>4000</v>
      </c>
      <c r="J60" s="4"/>
    </row>
    <row r="61" spans="1:10" x14ac:dyDescent="0.3">
      <c r="A61" s="4"/>
      <c r="B61" s="113">
        <v>42341</v>
      </c>
      <c r="C61" s="24" t="s">
        <v>23</v>
      </c>
      <c r="D61" s="24" t="s">
        <v>28</v>
      </c>
      <c r="E61" s="29">
        <v>102.5</v>
      </c>
      <c r="F61" s="29">
        <v>101.7</v>
      </c>
      <c r="G61" s="29">
        <v>0.8</v>
      </c>
      <c r="H61" s="29">
        <v>5000</v>
      </c>
      <c r="I61" s="114">
        <f t="shared" si="2"/>
        <v>4000</v>
      </c>
      <c r="J61" s="57"/>
    </row>
    <row r="62" spans="1:10" x14ac:dyDescent="0.3">
      <c r="A62" s="57"/>
      <c r="B62" s="113">
        <v>42342</v>
      </c>
      <c r="C62" s="24" t="s">
        <v>23</v>
      </c>
      <c r="D62" s="24" t="s">
        <v>27</v>
      </c>
      <c r="E62" s="29">
        <v>111.9</v>
      </c>
      <c r="F62" s="29">
        <v>111.4</v>
      </c>
      <c r="G62" s="29">
        <v>0.5</v>
      </c>
      <c r="H62" s="29">
        <v>5000</v>
      </c>
      <c r="I62" s="114">
        <f t="shared" si="2"/>
        <v>2500</v>
      </c>
      <c r="J62" s="57"/>
    </row>
    <row r="63" spans="1:10" x14ac:dyDescent="0.3">
      <c r="A63" s="57"/>
      <c r="B63" s="113">
        <v>42345</v>
      </c>
      <c r="C63" s="24" t="s">
        <v>23</v>
      </c>
      <c r="D63" s="24" t="s">
        <v>27</v>
      </c>
      <c r="E63" s="29">
        <v>113.2</v>
      </c>
      <c r="F63" s="29">
        <v>111.4</v>
      </c>
      <c r="G63" s="29">
        <v>1.8</v>
      </c>
      <c r="H63" s="29">
        <v>5000</v>
      </c>
      <c r="I63" s="114">
        <f t="shared" si="2"/>
        <v>9000</v>
      </c>
      <c r="J63" s="57"/>
    </row>
    <row r="64" spans="1:10" x14ac:dyDescent="0.3">
      <c r="A64" s="57"/>
      <c r="B64" s="113">
        <v>42346</v>
      </c>
      <c r="C64" s="24" t="s">
        <v>23</v>
      </c>
      <c r="D64" s="24" t="s">
        <v>56</v>
      </c>
      <c r="E64" s="29">
        <v>99.4</v>
      </c>
      <c r="F64" s="29">
        <v>98.6</v>
      </c>
      <c r="G64" s="29">
        <v>0.8</v>
      </c>
      <c r="H64" s="29">
        <v>5000</v>
      </c>
      <c r="I64" s="114">
        <f t="shared" si="2"/>
        <v>4000</v>
      </c>
      <c r="J64" s="57"/>
    </row>
    <row r="65" spans="1:10" x14ac:dyDescent="0.3">
      <c r="A65" s="57"/>
      <c r="B65" s="113">
        <v>42347</v>
      </c>
      <c r="C65" s="108" t="s">
        <v>23</v>
      </c>
      <c r="D65" s="108" t="s">
        <v>56</v>
      </c>
      <c r="E65" s="110">
        <v>99.4</v>
      </c>
      <c r="F65" s="110">
        <v>100.4</v>
      </c>
      <c r="G65" s="110">
        <v>1</v>
      </c>
      <c r="H65" s="110">
        <v>5000</v>
      </c>
      <c r="I65" s="114">
        <f t="shared" si="2"/>
        <v>5000</v>
      </c>
      <c r="J65" s="57"/>
    </row>
    <row r="66" spans="1:10" x14ac:dyDescent="0.3">
      <c r="A66" s="57"/>
      <c r="B66" s="113">
        <v>42348</v>
      </c>
      <c r="C66" s="108" t="s">
        <v>23</v>
      </c>
      <c r="D66" s="108" t="s">
        <v>27</v>
      </c>
      <c r="E66" s="110">
        <v>113.3</v>
      </c>
      <c r="F66" s="110">
        <v>112.8</v>
      </c>
      <c r="G66" s="110">
        <v>0.5</v>
      </c>
      <c r="H66" s="110">
        <v>5000</v>
      </c>
      <c r="I66" s="114">
        <f t="shared" si="2"/>
        <v>2500</v>
      </c>
      <c r="J66" s="57"/>
    </row>
    <row r="67" spans="1:10" x14ac:dyDescent="0.3">
      <c r="A67" s="57"/>
      <c r="B67" s="113">
        <v>42349</v>
      </c>
      <c r="C67" s="108" t="s">
        <v>23</v>
      </c>
      <c r="D67" s="108" t="s">
        <v>56</v>
      </c>
      <c r="E67" s="110">
        <v>100.6</v>
      </c>
      <c r="F67" s="110">
        <v>100.1</v>
      </c>
      <c r="G67" s="110">
        <v>0.5</v>
      </c>
      <c r="H67" s="110">
        <v>5000</v>
      </c>
      <c r="I67" s="114">
        <f t="shared" si="2"/>
        <v>2500</v>
      </c>
      <c r="J67" s="57"/>
    </row>
    <row r="68" spans="1:10" x14ac:dyDescent="0.3">
      <c r="A68" s="57"/>
      <c r="B68" s="113">
        <v>42349</v>
      </c>
      <c r="C68" s="108" t="s">
        <v>23</v>
      </c>
      <c r="D68" s="108" t="s">
        <v>56</v>
      </c>
      <c r="E68" s="110">
        <v>100.6</v>
      </c>
      <c r="F68" s="110">
        <v>100.1</v>
      </c>
      <c r="G68" s="110">
        <v>0.5</v>
      </c>
      <c r="H68" s="110">
        <v>5000</v>
      </c>
      <c r="I68" s="114">
        <f t="shared" si="2"/>
        <v>2500</v>
      </c>
      <c r="J68" s="57"/>
    </row>
    <row r="69" spans="1:10" x14ac:dyDescent="0.3">
      <c r="A69" s="57"/>
      <c r="B69" s="113">
        <v>42352</v>
      </c>
      <c r="C69" s="108" t="s">
        <v>23</v>
      </c>
      <c r="D69" s="108" t="s">
        <v>56</v>
      </c>
      <c r="E69" s="110">
        <v>100.1</v>
      </c>
      <c r="F69" s="110">
        <v>99.3</v>
      </c>
      <c r="G69" s="110">
        <v>0.8</v>
      </c>
      <c r="H69" s="110">
        <v>5000</v>
      </c>
      <c r="I69" s="114">
        <v>4000</v>
      </c>
      <c r="J69" s="57"/>
    </row>
    <row r="70" spans="1:10" x14ac:dyDescent="0.3">
      <c r="A70" s="57"/>
      <c r="B70" s="113">
        <v>42353</v>
      </c>
      <c r="C70" s="24" t="s">
        <v>23</v>
      </c>
      <c r="D70" s="24" t="s">
        <v>56</v>
      </c>
      <c r="E70" s="29">
        <v>99.7</v>
      </c>
      <c r="F70" s="29">
        <v>98.9</v>
      </c>
      <c r="G70" s="29">
        <v>0.8</v>
      </c>
      <c r="H70" s="29">
        <v>5000</v>
      </c>
      <c r="I70" s="114">
        <v>4000</v>
      </c>
      <c r="J70" s="57"/>
    </row>
    <row r="71" spans="1:10" x14ac:dyDescent="0.3">
      <c r="A71" s="57"/>
      <c r="B71" s="113">
        <v>42354</v>
      </c>
      <c r="C71" s="24" t="s">
        <v>23</v>
      </c>
      <c r="D71" s="24" t="s">
        <v>56</v>
      </c>
      <c r="E71" s="110">
        <v>98.7</v>
      </c>
      <c r="F71" s="110">
        <v>98.2</v>
      </c>
      <c r="G71" s="29">
        <v>0.5</v>
      </c>
      <c r="H71" s="29">
        <v>5000</v>
      </c>
      <c r="I71" s="114">
        <v>2500</v>
      </c>
      <c r="J71" s="57"/>
    </row>
    <row r="72" spans="1:10" x14ac:dyDescent="0.3">
      <c r="A72" s="57"/>
      <c r="B72" s="113">
        <v>42355</v>
      </c>
      <c r="C72" s="24" t="s">
        <v>23</v>
      </c>
      <c r="D72" s="24" t="s">
        <v>56</v>
      </c>
      <c r="E72" s="110">
        <v>99.1</v>
      </c>
      <c r="F72" s="26">
        <v>98.6</v>
      </c>
      <c r="G72" s="29">
        <v>0.5</v>
      </c>
      <c r="H72" s="29">
        <v>5000</v>
      </c>
      <c r="I72" s="114">
        <v>2500</v>
      </c>
      <c r="J72" s="57"/>
    </row>
    <row r="73" spans="1:10" x14ac:dyDescent="0.3">
      <c r="A73" s="57"/>
      <c r="B73" s="113">
        <v>42356</v>
      </c>
      <c r="C73" s="24" t="s">
        <v>23</v>
      </c>
      <c r="D73" s="24" t="s">
        <v>28</v>
      </c>
      <c r="E73" s="114">
        <v>99.35</v>
      </c>
      <c r="F73" s="29">
        <v>98.5</v>
      </c>
      <c r="G73" s="29">
        <v>0.85</v>
      </c>
      <c r="H73" s="29">
        <v>5000</v>
      </c>
      <c r="I73" s="114">
        <f>H73*G73</f>
        <v>4250</v>
      </c>
      <c r="J73" s="57"/>
    </row>
    <row r="74" spans="1:10" x14ac:dyDescent="0.3">
      <c r="A74" s="57"/>
      <c r="B74" s="71">
        <v>42359</v>
      </c>
      <c r="C74" s="24" t="s">
        <v>23</v>
      </c>
      <c r="D74" s="24" t="s">
        <v>56</v>
      </c>
      <c r="E74" s="26">
        <v>100.8</v>
      </c>
      <c r="F74" s="26">
        <v>100.3</v>
      </c>
      <c r="G74" s="29">
        <v>0.5</v>
      </c>
      <c r="H74" s="29">
        <v>5000</v>
      </c>
      <c r="I74" s="114">
        <v>2500</v>
      </c>
      <c r="J74" s="57"/>
    </row>
    <row r="75" spans="1:10" x14ac:dyDescent="0.3">
      <c r="A75" s="57"/>
      <c r="B75" s="71">
        <v>42360</v>
      </c>
      <c r="C75" s="24" t="s">
        <v>23</v>
      </c>
      <c r="D75" s="75" t="s">
        <v>56</v>
      </c>
      <c r="E75" s="110">
        <v>100.1</v>
      </c>
      <c r="F75" s="29">
        <v>99.6</v>
      </c>
      <c r="G75" s="29">
        <v>0.5</v>
      </c>
      <c r="H75" s="29">
        <v>5000</v>
      </c>
      <c r="I75" s="114">
        <v>2500</v>
      </c>
      <c r="J75" s="57"/>
    </row>
    <row r="76" spans="1:10" x14ac:dyDescent="0.3">
      <c r="A76" s="57"/>
      <c r="B76" s="71">
        <v>42361</v>
      </c>
      <c r="C76" s="24" t="s">
        <v>23</v>
      </c>
      <c r="D76" s="24" t="s">
        <v>56</v>
      </c>
      <c r="E76" s="26">
        <v>100.5</v>
      </c>
      <c r="F76" s="110">
        <v>101.5</v>
      </c>
      <c r="G76" s="110">
        <v>-1</v>
      </c>
      <c r="H76" s="29">
        <v>5000</v>
      </c>
      <c r="I76" s="114">
        <v>-5000</v>
      </c>
      <c r="J76" s="57"/>
    </row>
    <row r="77" spans="1:10" x14ac:dyDescent="0.3">
      <c r="A77" s="57"/>
      <c r="B77" s="113">
        <v>42366</v>
      </c>
      <c r="C77" s="24" t="s">
        <v>23</v>
      </c>
      <c r="D77" s="24" t="s">
        <v>56</v>
      </c>
      <c r="E77" s="26">
        <v>100.3</v>
      </c>
      <c r="F77" s="110">
        <v>100.5</v>
      </c>
      <c r="G77" s="110">
        <v>-0.2</v>
      </c>
      <c r="H77" s="29">
        <v>5000</v>
      </c>
      <c r="I77" s="114">
        <v>1000</v>
      </c>
      <c r="J77" s="57"/>
    </row>
    <row r="78" spans="1:10" x14ac:dyDescent="0.3">
      <c r="A78" s="57"/>
      <c r="B78" s="113">
        <v>42367</v>
      </c>
      <c r="C78" s="24" t="s">
        <v>23</v>
      </c>
      <c r="D78" s="24" t="s">
        <v>56</v>
      </c>
      <c r="E78" s="26">
        <v>100.4</v>
      </c>
      <c r="F78" s="110">
        <v>101.4</v>
      </c>
      <c r="G78" s="110">
        <v>-1</v>
      </c>
      <c r="H78" s="29">
        <v>5000</v>
      </c>
      <c r="I78" s="114">
        <v>-5000</v>
      </c>
      <c r="J78" s="57"/>
    </row>
    <row r="79" spans="1:10" x14ac:dyDescent="0.3">
      <c r="A79" s="57"/>
      <c r="B79" s="113">
        <v>42368</v>
      </c>
      <c r="C79" s="24" t="s">
        <v>23</v>
      </c>
      <c r="D79" s="24" t="s">
        <v>35</v>
      </c>
      <c r="E79" s="26">
        <v>573</v>
      </c>
      <c r="F79" s="110">
        <v>573</v>
      </c>
      <c r="G79" s="110">
        <v>0</v>
      </c>
      <c r="H79" s="29">
        <v>250</v>
      </c>
      <c r="I79" s="114">
        <v>0</v>
      </c>
      <c r="J79" s="57"/>
    </row>
    <row r="80" spans="1:10" x14ac:dyDescent="0.3">
      <c r="A80" s="57"/>
      <c r="B80" s="113">
        <v>42369</v>
      </c>
      <c r="C80" s="24" t="s">
        <v>23</v>
      </c>
      <c r="D80" s="24" t="s">
        <v>56</v>
      </c>
      <c r="E80" s="29">
        <v>100.85</v>
      </c>
      <c r="F80" s="110">
        <v>100</v>
      </c>
      <c r="G80" s="110">
        <v>0.85</v>
      </c>
      <c r="H80" s="29">
        <v>5000</v>
      </c>
      <c r="I80" s="114">
        <f>H80*G80</f>
        <v>4250</v>
      </c>
      <c r="J80" s="57"/>
    </row>
    <row r="81" spans="1:10" ht="17.399999999999999" x14ac:dyDescent="0.3">
      <c r="A81" s="57"/>
      <c r="B81" s="113"/>
      <c r="C81" s="75"/>
      <c r="D81" s="75"/>
      <c r="E81" s="75"/>
      <c r="F81" s="75"/>
      <c r="G81" s="75"/>
      <c r="H81" s="29"/>
      <c r="I81" s="123"/>
      <c r="J81" s="57"/>
    </row>
    <row r="82" spans="1:10" ht="17.399999999999999" x14ac:dyDescent="0.3">
      <c r="A82" s="57"/>
      <c r="B82" s="113"/>
      <c r="C82" s="75"/>
      <c r="D82" s="75"/>
      <c r="E82" s="75"/>
      <c r="F82" s="75"/>
      <c r="G82" s="75"/>
      <c r="H82" s="29"/>
      <c r="I82" s="118">
        <v>58000</v>
      </c>
      <c r="J82" s="57"/>
    </row>
    <row r="83" spans="1:10" x14ac:dyDescent="0.3">
      <c r="A83" s="57"/>
      <c r="B83" s="18"/>
      <c r="C83" s="75"/>
      <c r="D83" s="75"/>
      <c r="E83" s="75"/>
      <c r="F83" s="75"/>
      <c r="G83" s="75"/>
      <c r="H83" s="29"/>
      <c r="I83" s="119"/>
      <c r="J83" s="57"/>
    </row>
    <row r="84" spans="1:10" ht="18" x14ac:dyDescent="0.35">
      <c r="A84" s="57"/>
      <c r="B84" s="18"/>
      <c r="C84" s="18"/>
      <c r="D84" s="18"/>
      <c r="E84" s="18"/>
      <c r="F84" s="18"/>
      <c r="G84" s="18"/>
      <c r="H84" s="18"/>
      <c r="I84" s="124"/>
      <c r="J84" s="57"/>
    </row>
    <row r="85" spans="1:10" x14ac:dyDescent="0.3">
      <c r="A85" s="57"/>
      <c r="B85" s="117"/>
      <c r="C85" s="18"/>
      <c r="D85" s="18"/>
      <c r="E85" s="18"/>
      <c r="F85" s="18"/>
      <c r="G85" s="18"/>
      <c r="H85" s="18"/>
      <c r="I85" s="125"/>
      <c r="J85" s="57"/>
    </row>
    <row r="86" spans="1:10" x14ac:dyDescent="0.3">
      <c r="A86" s="57"/>
      <c r="B86" s="117"/>
      <c r="C86" s="18"/>
      <c r="D86" s="18"/>
      <c r="E86" s="18"/>
      <c r="F86" s="18"/>
      <c r="G86" s="18"/>
      <c r="H86" s="18"/>
      <c r="I86" s="125"/>
      <c r="J86" s="57"/>
    </row>
    <row r="87" spans="1:10" x14ac:dyDescent="0.3">
      <c r="A87" s="57"/>
      <c r="B87" s="117"/>
      <c r="C87" s="18"/>
      <c r="D87" s="18"/>
      <c r="E87" s="18"/>
      <c r="F87" s="18"/>
      <c r="G87" s="18"/>
      <c r="H87" s="18"/>
      <c r="I87" s="125"/>
      <c r="J87" s="57"/>
    </row>
    <row r="88" spans="1:10" x14ac:dyDescent="0.3">
      <c r="A88" s="57"/>
      <c r="B88" s="117"/>
      <c r="C88" s="18"/>
      <c r="D88" s="18"/>
      <c r="E88" s="18"/>
      <c r="F88" s="18"/>
      <c r="G88" s="18"/>
      <c r="H88" s="18"/>
      <c r="I88" s="125"/>
      <c r="J88" s="57"/>
    </row>
    <row r="89" spans="1:10" x14ac:dyDescent="0.3">
      <c r="A89" s="57"/>
      <c r="B89" s="18"/>
      <c r="C89" s="18"/>
      <c r="D89" s="18"/>
      <c r="E89" s="18"/>
      <c r="F89" s="18"/>
      <c r="G89" s="18"/>
      <c r="H89" s="18"/>
      <c r="I89" s="18"/>
      <c r="J89" s="57"/>
    </row>
    <row r="90" spans="1:10" x14ac:dyDescent="0.3">
      <c r="A90" s="57"/>
      <c r="B90" s="18"/>
      <c r="C90" s="18"/>
      <c r="D90" s="18"/>
      <c r="E90" s="18"/>
      <c r="F90" s="18"/>
      <c r="G90" s="18"/>
      <c r="H90" s="18"/>
      <c r="I90" s="18"/>
      <c r="J90" s="57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400-000000000000}"/>
  </hyperlinks>
  <pageMargins left="0.7" right="0.7" top="0.75" bottom="0.75" header="0.3" footer="0.3"/>
  <pageSetup paperSize="9" orientation="portrait" horizontalDpi="300" verticalDpi="300" r:id="rId1"/>
  <ignoredErrors>
    <ignoredError sqref="E33:G37 E55:G55 E42:G47 E49:G49 E48 F48:G48 E50:G53 L8:O9 L10:N10 L11:O11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88"/>
  <sheetViews>
    <sheetView workbookViewId="0"/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ht="15.6" x14ac:dyDescent="0.3">
      <c r="A3" s="17"/>
      <c r="B3" s="298" t="s">
        <v>777</v>
      </c>
      <c r="C3" s="298"/>
      <c r="D3" s="298"/>
      <c r="E3" s="298"/>
      <c r="F3" s="298"/>
      <c r="G3" s="298"/>
      <c r="H3" s="298"/>
      <c r="I3" s="298"/>
      <c r="J3" s="17"/>
    </row>
    <row r="4" spans="1:15" ht="15.6" x14ac:dyDescent="0.3">
      <c r="A4" s="17"/>
      <c r="B4" s="299" t="s">
        <v>778</v>
      </c>
      <c r="C4" s="299"/>
      <c r="D4" s="299"/>
      <c r="E4" s="299"/>
      <c r="F4" s="299"/>
      <c r="G4" s="299"/>
      <c r="H4" s="299"/>
      <c r="I4" s="299"/>
      <c r="J4" s="17"/>
    </row>
    <row r="5" spans="1:15" x14ac:dyDescent="0.3">
      <c r="A5" s="17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60" t="s">
        <v>7</v>
      </c>
      <c r="J5" s="17"/>
      <c r="K5" s="71"/>
    </row>
    <row r="6" spans="1:15" x14ac:dyDescent="0.3">
      <c r="A6" s="17"/>
      <c r="B6" s="126">
        <v>42373</v>
      </c>
      <c r="C6" s="24" t="s">
        <v>55</v>
      </c>
      <c r="D6" s="26" t="s">
        <v>24</v>
      </c>
      <c r="E6" s="29">
        <v>25320</v>
      </c>
      <c r="F6" s="29">
        <v>25490</v>
      </c>
      <c r="G6" s="29">
        <v>170</v>
      </c>
      <c r="H6" s="29">
        <v>100</v>
      </c>
      <c r="I6" s="29">
        <v>17000</v>
      </c>
      <c r="J6" s="17"/>
      <c r="K6" s="71"/>
    </row>
    <row r="7" spans="1:15" x14ac:dyDescent="0.3">
      <c r="A7" s="17"/>
      <c r="B7" s="126">
        <v>42374</v>
      </c>
      <c r="C7" s="24" t="s">
        <v>23</v>
      </c>
      <c r="D7" s="26" t="s">
        <v>24</v>
      </c>
      <c r="E7" s="29">
        <v>25380</v>
      </c>
      <c r="F7" s="29">
        <v>25480</v>
      </c>
      <c r="G7" s="29">
        <v>-100</v>
      </c>
      <c r="H7" s="29">
        <v>100</v>
      </c>
      <c r="I7" s="29">
        <v>-10000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26">
        <v>42375</v>
      </c>
      <c r="C8" s="24" t="s">
        <v>16</v>
      </c>
      <c r="D8" s="26" t="s">
        <v>24</v>
      </c>
      <c r="E8" s="29">
        <v>25660</v>
      </c>
      <c r="F8" s="29">
        <v>25770</v>
      </c>
      <c r="G8" s="29">
        <v>110</v>
      </c>
      <c r="H8" s="29">
        <v>100</v>
      </c>
      <c r="I8" s="29">
        <v>11000</v>
      </c>
      <c r="J8" s="17"/>
      <c r="K8" s="71" t="s">
        <v>257</v>
      </c>
      <c r="L8" s="49" t="s">
        <v>263</v>
      </c>
      <c r="M8" s="101" t="s">
        <v>298</v>
      </c>
      <c r="N8" s="101" t="s">
        <v>299</v>
      </c>
      <c r="O8" s="101" t="s">
        <v>262</v>
      </c>
    </row>
    <row r="9" spans="1:15" x14ac:dyDescent="0.3">
      <c r="A9" s="17"/>
      <c r="B9" s="126">
        <v>42376</v>
      </c>
      <c r="C9" s="24" t="s">
        <v>23</v>
      </c>
      <c r="D9" s="26" t="s">
        <v>24</v>
      </c>
      <c r="E9" s="29">
        <v>25820</v>
      </c>
      <c r="F9" s="29">
        <v>25920</v>
      </c>
      <c r="G9" s="29">
        <v>-100</v>
      </c>
      <c r="H9" s="29">
        <v>100</v>
      </c>
      <c r="I9" s="29">
        <v>-10000</v>
      </c>
      <c r="J9" s="17"/>
      <c r="K9" s="71" t="s">
        <v>258</v>
      </c>
      <c r="L9" s="101" t="s">
        <v>263</v>
      </c>
      <c r="M9" s="101" t="s">
        <v>392</v>
      </c>
      <c r="N9" s="101" t="s">
        <v>264</v>
      </c>
      <c r="O9" s="101" t="s">
        <v>262</v>
      </c>
    </row>
    <row r="10" spans="1:15" x14ac:dyDescent="0.3">
      <c r="A10" s="17"/>
      <c r="B10" s="126">
        <v>42377</v>
      </c>
      <c r="C10" s="24" t="s">
        <v>140</v>
      </c>
      <c r="D10" s="26" t="s">
        <v>24</v>
      </c>
      <c r="E10" s="29">
        <v>25940</v>
      </c>
      <c r="F10" s="29">
        <v>28770</v>
      </c>
      <c r="G10" s="29">
        <v>170</v>
      </c>
      <c r="H10" s="29">
        <v>100</v>
      </c>
      <c r="I10" s="29">
        <v>17000</v>
      </c>
      <c r="J10" s="17"/>
      <c r="K10" s="71" t="s">
        <v>259</v>
      </c>
      <c r="L10" s="101" t="s">
        <v>263</v>
      </c>
      <c r="M10" s="101" t="s">
        <v>298</v>
      </c>
      <c r="N10" s="101" t="s">
        <v>290</v>
      </c>
      <c r="O10" s="101" t="s">
        <v>261</v>
      </c>
    </row>
    <row r="11" spans="1:15" x14ac:dyDescent="0.3">
      <c r="A11" s="17"/>
      <c r="B11" s="126">
        <v>42380</v>
      </c>
      <c r="C11" s="108" t="s">
        <v>23</v>
      </c>
      <c r="D11" s="109" t="s">
        <v>24</v>
      </c>
      <c r="E11" s="110">
        <v>26050</v>
      </c>
      <c r="F11" s="110">
        <v>25880</v>
      </c>
      <c r="G11" s="110">
        <v>170</v>
      </c>
      <c r="H11" s="110">
        <v>100</v>
      </c>
      <c r="I11" s="29">
        <v>17000</v>
      </c>
      <c r="J11" s="17"/>
      <c r="K11" s="71" t="s">
        <v>300</v>
      </c>
      <c r="L11" s="104" t="s">
        <v>775</v>
      </c>
      <c r="M11" s="104" t="s">
        <v>584</v>
      </c>
      <c r="N11" s="104" t="s">
        <v>436</v>
      </c>
      <c r="O11" s="104" t="s">
        <v>261</v>
      </c>
    </row>
    <row r="12" spans="1:15" x14ac:dyDescent="0.3">
      <c r="A12" s="17"/>
      <c r="B12" s="126">
        <v>42381</v>
      </c>
      <c r="C12" s="108" t="s">
        <v>23</v>
      </c>
      <c r="D12" s="109" t="s">
        <v>24</v>
      </c>
      <c r="E12" s="110">
        <v>25870</v>
      </c>
      <c r="F12" s="110">
        <v>25800</v>
      </c>
      <c r="G12" s="110">
        <v>170</v>
      </c>
      <c r="H12" s="110">
        <v>100</v>
      </c>
      <c r="I12" s="29">
        <v>17000</v>
      </c>
      <c r="J12" s="17"/>
      <c r="K12" s="71"/>
    </row>
    <row r="13" spans="1:15" x14ac:dyDescent="0.3">
      <c r="A13" s="17"/>
      <c r="B13" s="126">
        <v>42382</v>
      </c>
      <c r="C13" s="108" t="s">
        <v>23</v>
      </c>
      <c r="D13" s="109" t="s">
        <v>24</v>
      </c>
      <c r="E13" s="110">
        <v>25560</v>
      </c>
      <c r="F13" s="110">
        <v>25660</v>
      </c>
      <c r="G13" s="110">
        <v>-100</v>
      </c>
      <c r="H13" s="110">
        <v>100</v>
      </c>
      <c r="I13" s="29">
        <v>-10000</v>
      </c>
      <c r="J13" s="17"/>
      <c r="K13" s="71"/>
      <c r="L13" s="127" t="s">
        <v>776</v>
      </c>
      <c r="M13" s="128"/>
      <c r="N13" s="129"/>
    </row>
    <row r="14" spans="1:15" x14ac:dyDescent="0.3">
      <c r="A14" s="17"/>
      <c r="B14" s="126">
        <v>42383</v>
      </c>
      <c r="C14" s="108" t="s">
        <v>23</v>
      </c>
      <c r="D14" s="109" t="s">
        <v>24</v>
      </c>
      <c r="E14" s="110">
        <v>25920</v>
      </c>
      <c r="F14" s="110">
        <v>25800</v>
      </c>
      <c r="G14" s="110">
        <v>120</v>
      </c>
      <c r="H14" s="110">
        <v>100</v>
      </c>
      <c r="I14" s="29">
        <v>12000</v>
      </c>
      <c r="J14" s="17"/>
      <c r="K14" s="71"/>
    </row>
    <row r="15" spans="1:15" x14ac:dyDescent="0.3">
      <c r="A15" s="17"/>
      <c r="B15" s="126">
        <v>42384</v>
      </c>
      <c r="C15" s="108" t="s">
        <v>16</v>
      </c>
      <c r="D15" s="109" t="s">
        <v>24</v>
      </c>
      <c r="E15" s="110">
        <v>25750</v>
      </c>
      <c r="F15" s="110">
        <v>25940</v>
      </c>
      <c r="G15" s="110">
        <v>190</v>
      </c>
      <c r="H15" s="110">
        <v>100</v>
      </c>
      <c r="I15" s="29">
        <v>19000</v>
      </c>
      <c r="J15" s="17"/>
      <c r="K15" s="71"/>
    </row>
    <row r="16" spans="1:15" x14ac:dyDescent="0.3">
      <c r="A16" s="17"/>
      <c r="B16" s="126">
        <v>42387</v>
      </c>
      <c r="C16" s="108" t="s">
        <v>23</v>
      </c>
      <c r="D16" s="109" t="s">
        <v>24</v>
      </c>
      <c r="E16" s="110">
        <v>26050</v>
      </c>
      <c r="F16" s="110">
        <v>25970</v>
      </c>
      <c r="G16" s="110">
        <v>80</v>
      </c>
      <c r="H16" s="110">
        <v>100</v>
      </c>
      <c r="I16" s="29">
        <v>8000</v>
      </c>
      <c r="J16" s="17"/>
      <c r="K16" s="71"/>
    </row>
    <row r="17" spans="1:11" x14ac:dyDescent="0.3">
      <c r="A17" s="17"/>
      <c r="B17" s="126">
        <v>42388</v>
      </c>
      <c r="C17" s="24" t="s">
        <v>23</v>
      </c>
      <c r="D17" s="26" t="s">
        <v>24</v>
      </c>
      <c r="E17" s="29">
        <v>25990</v>
      </c>
      <c r="F17" s="29">
        <v>25870</v>
      </c>
      <c r="G17" s="29">
        <v>120</v>
      </c>
      <c r="H17" s="29">
        <v>100</v>
      </c>
      <c r="I17" s="29">
        <f t="shared" ref="I17:I20" si="0">H17*G17</f>
        <v>12000</v>
      </c>
      <c r="J17" s="17"/>
      <c r="K17" s="71"/>
    </row>
    <row r="18" spans="1:11" x14ac:dyDescent="0.3">
      <c r="A18" s="17"/>
      <c r="B18" s="126">
        <v>42389</v>
      </c>
      <c r="C18" s="24" t="s">
        <v>23</v>
      </c>
      <c r="D18" s="26" t="s">
        <v>24</v>
      </c>
      <c r="E18" s="29">
        <v>26310</v>
      </c>
      <c r="F18" s="29">
        <v>26230</v>
      </c>
      <c r="G18" s="29">
        <v>80</v>
      </c>
      <c r="H18" s="29">
        <v>100</v>
      </c>
      <c r="I18" s="29">
        <f t="shared" si="0"/>
        <v>8000</v>
      </c>
      <c r="J18" s="17"/>
      <c r="K18" s="71"/>
    </row>
    <row r="19" spans="1:11" x14ac:dyDescent="0.3">
      <c r="A19" s="17"/>
      <c r="B19" s="126">
        <v>42390</v>
      </c>
      <c r="C19" s="24" t="s">
        <v>23</v>
      </c>
      <c r="D19" s="26" t="s">
        <v>24</v>
      </c>
      <c r="E19" s="29">
        <v>26430</v>
      </c>
      <c r="F19" s="29">
        <v>26250</v>
      </c>
      <c r="G19" s="29">
        <v>180</v>
      </c>
      <c r="H19" s="29">
        <v>100</v>
      </c>
      <c r="I19" s="29">
        <f t="shared" si="0"/>
        <v>18000</v>
      </c>
      <c r="J19" s="17"/>
      <c r="K19" s="71"/>
    </row>
    <row r="20" spans="1:11" x14ac:dyDescent="0.3">
      <c r="A20" s="17"/>
      <c r="B20" s="126">
        <v>42391</v>
      </c>
      <c r="C20" s="24" t="s">
        <v>23</v>
      </c>
      <c r="D20" s="26" t="s">
        <v>24</v>
      </c>
      <c r="E20" s="29">
        <v>26220</v>
      </c>
      <c r="F20" s="29">
        <v>26100</v>
      </c>
      <c r="G20" s="29">
        <v>120</v>
      </c>
      <c r="H20" s="29">
        <v>100</v>
      </c>
      <c r="I20" s="29">
        <f t="shared" si="0"/>
        <v>12000</v>
      </c>
      <c r="J20" s="17"/>
      <c r="K20" s="71"/>
    </row>
    <row r="21" spans="1:11" x14ac:dyDescent="0.3">
      <c r="A21" s="17"/>
      <c r="B21" s="126">
        <v>42394</v>
      </c>
      <c r="C21" s="108" t="s">
        <v>16</v>
      </c>
      <c r="D21" s="26" t="s">
        <v>24</v>
      </c>
      <c r="E21" s="29">
        <v>26250</v>
      </c>
      <c r="F21" s="29">
        <v>26430</v>
      </c>
      <c r="G21" s="29">
        <v>180</v>
      </c>
      <c r="H21" s="29">
        <v>100</v>
      </c>
      <c r="I21" s="29">
        <v>18000</v>
      </c>
      <c r="J21" s="17"/>
      <c r="K21" s="71"/>
    </row>
    <row r="22" spans="1:11" x14ac:dyDescent="0.3">
      <c r="A22" s="17"/>
      <c r="B22" s="126">
        <v>42396</v>
      </c>
      <c r="C22" s="108" t="s">
        <v>23</v>
      </c>
      <c r="D22" s="26" t="s">
        <v>24</v>
      </c>
      <c r="E22" s="29">
        <v>26740</v>
      </c>
      <c r="F22" s="29">
        <v>26690</v>
      </c>
      <c r="G22" s="29">
        <v>50</v>
      </c>
      <c r="H22" s="29">
        <v>100</v>
      </c>
      <c r="I22" s="29">
        <v>5000</v>
      </c>
      <c r="J22" s="17"/>
      <c r="K22" s="71"/>
    </row>
    <row r="23" spans="1:11" x14ac:dyDescent="0.3">
      <c r="A23" s="17"/>
      <c r="B23" s="126">
        <v>42397</v>
      </c>
      <c r="C23" s="24" t="s">
        <v>23</v>
      </c>
      <c r="D23" s="26" t="s">
        <v>24</v>
      </c>
      <c r="E23" s="29">
        <v>26820</v>
      </c>
      <c r="F23" s="29">
        <v>26640</v>
      </c>
      <c r="G23" s="29">
        <v>180</v>
      </c>
      <c r="H23" s="29">
        <v>100</v>
      </c>
      <c r="I23" s="29">
        <v>18000</v>
      </c>
      <c r="J23" s="17"/>
      <c r="K23" s="71"/>
    </row>
    <row r="24" spans="1:11" x14ac:dyDescent="0.3">
      <c r="A24" s="17"/>
      <c r="B24" s="126">
        <v>42398</v>
      </c>
      <c r="C24" s="24" t="s">
        <v>23</v>
      </c>
      <c r="D24" s="26" t="s">
        <v>24</v>
      </c>
      <c r="E24" s="29">
        <v>26600</v>
      </c>
      <c r="F24" s="29">
        <v>26520</v>
      </c>
      <c r="G24" s="29">
        <v>80</v>
      </c>
      <c r="H24" s="29">
        <v>100</v>
      </c>
      <c r="I24" s="29">
        <v>8000</v>
      </c>
      <c r="J24" s="17"/>
    </row>
    <row r="25" spans="1:11" x14ac:dyDescent="0.3">
      <c r="A25" s="17"/>
      <c r="C25" s="24"/>
      <c r="D25" s="26"/>
      <c r="E25" s="29"/>
      <c r="F25" s="29"/>
      <c r="G25" s="29"/>
      <c r="H25" s="29"/>
      <c r="I25" s="29"/>
      <c r="J25" s="17"/>
    </row>
    <row r="26" spans="1:11" x14ac:dyDescent="0.3">
      <c r="A26" s="17"/>
      <c r="B26" s="126"/>
      <c r="C26" s="24"/>
      <c r="D26" s="26"/>
      <c r="E26" s="29"/>
      <c r="F26" s="29"/>
      <c r="G26" s="29"/>
      <c r="H26" s="29"/>
      <c r="I26" s="33">
        <v>187000</v>
      </c>
      <c r="J26" s="17"/>
    </row>
    <row r="27" spans="1:11" x14ac:dyDescent="0.3">
      <c r="A27" s="17"/>
      <c r="C27" s="24"/>
      <c r="D27" s="26"/>
      <c r="E27" s="26"/>
      <c r="F27" s="26"/>
      <c r="G27" s="26"/>
      <c r="H27" s="29"/>
      <c r="I27" s="29"/>
      <c r="J27" s="17"/>
    </row>
    <row r="28" spans="1:11" ht="17.399999999999999" x14ac:dyDescent="0.3">
      <c r="A28" s="17"/>
      <c r="B28" s="71"/>
      <c r="C28" s="29"/>
      <c r="D28" s="26"/>
      <c r="E28" s="36"/>
      <c r="F28" s="29"/>
      <c r="G28" s="29"/>
      <c r="H28" s="29"/>
      <c r="I28" s="106"/>
      <c r="J28" s="17"/>
    </row>
    <row r="29" spans="1:11" x14ac:dyDescent="0.3">
      <c r="A29" s="17"/>
      <c r="B29" s="71"/>
      <c r="C29" s="29"/>
      <c r="D29" s="36"/>
      <c r="E29" s="36"/>
      <c r="F29" s="29"/>
      <c r="G29" s="29"/>
      <c r="H29" s="29"/>
      <c r="I29" s="29"/>
      <c r="J29" s="17"/>
    </row>
    <row r="30" spans="1:11" ht="15.6" x14ac:dyDescent="0.3">
      <c r="A30" s="17"/>
      <c r="B30" s="130" t="s">
        <v>789</v>
      </c>
      <c r="C30" s="62"/>
      <c r="D30" s="63"/>
      <c r="E30" s="62"/>
      <c r="F30" s="62"/>
      <c r="G30" s="62"/>
      <c r="H30" s="62"/>
      <c r="I30" s="62"/>
      <c r="J30" s="17"/>
    </row>
    <row r="31" spans="1:11" x14ac:dyDescent="0.3">
      <c r="A31" s="17"/>
      <c r="B31" s="126">
        <v>42373</v>
      </c>
      <c r="C31" s="24" t="s">
        <v>23</v>
      </c>
      <c r="D31" s="24" t="s">
        <v>25</v>
      </c>
      <c r="E31" s="49" t="s">
        <v>779</v>
      </c>
      <c r="F31" s="23">
        <v>2530</v>
      </c>
      <c r="G31" s="49" t="s">
        <v>742</v>
      </c>
      <c r="H31" s="25">
        <v>100</v>
      </c>
      <c r="I31" s="29">
        <v>-4000</v>
      </c>
      <c r="J31" s="17"/>
    </row>
    <row r="32" spans="1:11" x14ac:dyDescent="0.3">
      <c r="A32" s="17"/>
      <c r="B32" s="126">
        <v>42374</v>
      </c>
      <c r="C32" s="24" t="s">
        <v>23</v>
      </c>
      <c r="D32" s="24" t="s">
        <v>25</v>
      </c>
      <c r="E32" s="49" t="s">
        <v>760</v>
      </c>
      <c r="F32" s="49" t="s">
        <v>765</v>
      </c>
      <c r="G32" s="49" t="s">
        <v>268</v>
      </c>
      <c r="H32" s="25">
        <v>100</v>
      </c>
      <c r="I32" s="29">
        <v>6500</v>
      </c>
      <c r="J32" s="17"/>
    </row>
    <row r="33" spans="1:10" x14ac:dyDescent="0.3">
      <c r="A33" s="17"/>
      <c r="B33" s="126">
        <v>42375</v>
      </c>
      <c r="C33" s="24" t="s">
        <v>23</v>
      </c>
      <c r="D33" s="24" t="s">
        <v>25</v>
      </c>
      <c r="E33" s="83" t="s">
        <v>766</v>
      </c>
      <c r="F33" s="49" t="s">
        <v>780</v>
      </c>
      <c r="G33" s="49" t="s">
        <v>268</v>
      </c>
      <c r="H33" s="25">
        <v>100</v>
      </c>
      <c r="I33" s="29">
        <v>6500</v>
      </c>
      <c r="J33" s="17"/>
    </row>
    <row r="34" spans="1:10" x14ac:dyDescent="0.3">
      <c r="A34" s="17"/>
      <c r="B34" s="126">
        <v>42376</v>
      </c>
      <c r="C34" s="24" t="s">
        <v>23</v>
      </c>
      <c r="D34" s="24" t="s">
        <v>25</v>
      </c>
      <c r="E34" s="83" t="s">
        <v>781</v>
      </c>
      <c r="F34" s="49" t="s">
        <v>782</v>
      </c>
      <c r="G34" s="49" t="s">
        <v>623</v>
      </c>
      <c r="H34" s="25">
        <v>100</v>
      </c>
      <c r="I34" s="29">
        <v>7000</v>
      </c>
      <c r="J34" s="17"/>
    </row>
    <row r="35" spans="1:10" x14ac:dyDescent="0.3">
      <c r="A35" s="17"/>
      <c r="B35" s="126">
        <v>42377</v>
      </c>
      <c r="C35" s="24" t="s">
        <v>23</v>
      </c>
      <c r="D35" s="24" t="s">
        <v>25</v>
      </c>
      <c r="E35" s="49" t="s">
        <v>783</v>
      </c>
      <c r="F35" s="49" t="s">
        <v>784</v>
      </c>
      <c r="G35" s="49" t="s">
        <v>671</v>
      </c>
      <c r="H35" s="25">
        <v>100</v>
      </c>
      <c r="I35" s="29">
        <v>6000</v>
      </c>
      <c r="J35" s="17"/>
    </row>
    <row r="36" spans="1:10" x14ac:dyDescent="0.3">
      <c r="A36" s="17"/>
      <c r="B36" s="126">
        <v>42380</v>
      </c>
      <c r="C36" s="108" t="s">
        <v>23</v>
      </c>
      <c r="D36" s="108" t="s">
        <v>25</v>
      </c>
      <c r="E36" s="109">
        <v>2190</v>
      </c>
      <c r="F36" s="109">
        <v>2125</v>
      </c>
      <c r="G36" s="109">
        <v>65</v>
      </c>
      <c r="H36" s="109">
        <v>100</v>
      </c>
      <c r="I36" s="29">
        <v>6500</v>
      </c>
      <c r="J36" s="17"/>
    </row>
    <row r="37" spans="1:10" x14ac:dyDescent="0.3">
      <c r="A37" s="17"/>
      <c r="B37" s="126">
        <v>42381</v>
      </c>
      <c r="C37" s="108" t="s">
        <v>23</v>
      </c>
      <c r="D37" s="108" t="s">
        <v>25</v>
      </c>
      <c r="E37" s="109">
        <v>2055</v>
      </c>
      <c r="F37" s="109">
        <v>2085</v>
      </c>
      <c r="G37" s="109">
        <v>-30</v>
      </c>
      <c r="H37" s="109">
        <v>100</v>
      </c>
      <c r="I37" s="29">
        <v>-3000</v>
      </c>
      <c r="J37" s="17"/>
    </row>
    <row r="38" spans="1:10" x14ac:dyDescent="0.3">
      <c r="A38" s="17"/>
      <c r="B38" s="126">
        <v>42382</v>
      </c>
      <c r="C38" s="108" t="s">
        <v>16</v>
      </c>
      <c r="D38" s="108" t="s">
        <v>25</v>
      </c>
      <c r="E38" s="109">
        <v>2090</v>
      </c>
      <c r="F38" s="109">
        <v>2120</v>
      </c>
      <c r="G38" s="109">
        <v>30</v>
      </c>
      <c r="H38" s="109">
        <v>100</v>
      </c>
      <c r="I38" s="29">
        <v>3000</v>
      </c>
      <c r="J38" s="17"/>
    </row>
    <row r="39" spans="1:10" x14ac:dyDescent="0.3">
      <c r="A39" s="17"/>
      <c r="B39" s="126">
        <v>42383</v>
      </c>
      <c r="C39" s="108" t="s">
        <v>23</v>
      </c>
      <c r="D39" s="108" t="s">
        <v>25</v>
      </c>
      <c r="E39" s="109">
        <v>2075</v>
      </c>
      <c r="F39" s="109">
        <v>2060</v>
      </c>
      <c r="G39" s="109">
        <v>15</v>
      </c>
      <c r="H39" s="109">
        <v>100</v>
      </c>
      <c r="I39" s="29">
        <v>1500</v>
      </c>
      <c r="J39" s="17"/>
    </row>
    <row r="40" spans="1:10" x14ac:dyDescent="0.3">
      <c r="A40" s="17"/>
      <c r="B40" s="126">
        <v>42384</v>
      </c>
      <c r="C40" s="24" t="s">
        <v>23</v>
      </c>
      <c r="D40" s="24" t="s">
        <v>25</v>
      </c>
      <c r="E40" s="49" t="s">
        <v>785</v>
      </c>
      <c r="F40" s="49" t="s">
        <v>786</v>
      </c>
      <c r="G40" s="49" t="s">
        <v>268</v>
      </c>
      <c r="H40" s="25">
        <v>100</v>
      </c>
      <c r="I40" s="29">
        <v>6500</v>
      </c>
      <c r="J40" s="17"/>
    </row>
    <row r="41" spans="1:10" x14ac:dyDescent="0.3">
      <c r="A41" s="17"/>
      <c r="B41" s="126">
        <v>42387</v>
      </c>
      <c r="C41" s="24" t="s">
        <v>23</v>
      </c>
      <c r="D41" s="24" t="s">
        <v>25</v>
      </c>
      <c r="E41" s="49" t="s">
        <v>790</v>
      </c>
      <c r="F41" s="49" t="s">
        <v>791</v>
      </c>
      <c r="G41" s="49" t="s">
        <v>742</v>
      </c>
      <c r="H41" s="25">
        <v>100</v>
      </c>
      <c r="I41" s="29">
        <f t="shared" ref="I41:I45" si="1">H41*G41</f>
        <v>-4000</v>
      </c>
      <c r="J41" s="17"/>
    </row>
    <row r="42" spans="1:10" x14ac:dyDescent="0.3">
      <c r="A42" s="17"/>
      <c r="B42" s="126">
        <v>42388</v>
      </c>
      <c r="C42" s="24" t="s">
        <v>16</v>
      </c>
      <c r="D42" s="24" t="s">
        <v>25</v>
      </c>
      <c r="E42" s="49" t="s">
        <v>792</v>
      </c>
      <c r="F42" s="23">
        <v>2135</v>
      </c>
      <c r="G42" s="49" t="s">
        <v>364</v>
      </c>
      <c r="H42" s="25">
        <v>100</v>
      </c>
      <c r="I42" s="29">
        <f t="shared" si="1"/>
        <v>3500</v>
      </c>
      <c r="J42" s="17"/>
    </row>
    <row r="43" spans="1:10" x14ac:dyDescent="0.3">
      <c r="A43" s="17"/>
      <c r="B43" s="126">
        <v>42389</v>
      </c>
      <c r="C43" s="24" t="s">
        <v>23</v>
      </c>
      <c r="D43" s="24" t="s">
        <v>25</v>
      </c>
      <c r="E43" s="49" t="s">
        <v>793</v>
      </c>
      <c r="F43" s="49" t="s">
        <v>794</v>
      </c>
      <c r="G43" s="49" t="s">
        <v>268</v>
      </c>
      <c r="H43" s="25">
        <v>100</v>
      </c>
      <c r="I43" s="29">
        <f t="shared" si="1"/>
        <v>6500</v>
      </c>
      <c r="J43" s="17"/>
    </row>
    <row r="44" spans="1:10" x14ac:dyDescent="0.3">
      <c r="A44" s="17"/>
      <c r="B44" s="126">
        <v>42390</v>
      </c>
      <c r="C44" s="24" t="s">
        <v>23</v>
      </c>
      <c r="D44" s="24" t="s">
        <v>25</v>
      </c>
      <c r="E44" s="49" t="s">
        <v>795</v>
      </c>
      <c r="F44" s="49" t="s">
        <v>796</v>
      </c>
      <c r="G44" s="49" t="s">
        <v>621</v>
      </c>
      <c r="H44" s="25">
        <v>100</v>
      </c>
      <c r="I44" s="29">
        <f t="shared" si="1"/>
        <v>2500</v>
      </c>
      <c r="J44" s="17"/>
    </row>
    <row r="45" spans="1:10" x14ac:dyDescent="0.3">
      <c r="A45" s="17"/>
      <c r="B45" s="126">
        <v>42391</v>
      </c>
      <c r="C45" s="24" t="s">
        <v>23</v>
      </c>
      <c r="D45" s="24" t="s">
        <v>25</v>
      </c>
      <c r="E45" s="49" t="s">
        <v>797</v>
      </c>
      <c r="F45" s="49" t="s">
        <v>798</v>
      </c>
      <c r="G45" s="49" t="s">
        <v>742</v>
      </c>
      <c r="H45" s="25">
        <v>100</v>
      </c>
      <c r="I45" s="29">
        <f t="shared" si="1"/>
        <v>-4000</v>
      </c>
      <c r="J45" s="17"/>
    </row>
    <row r="46" spans="1:10" x14ac:dyDescent="0.3">
      <c r="A46" s="17"/>
      <c r="B46" s="126">
        <v>42394</v>
      </c>
      <c r="C46" s="24" t="s">
        <v>23</v>
      </c>
      <c r="D46" s="24" t="s">
        <v>25</v>
      </c>
      <c r="E46" s="49" t="s">
        <v>799</v>
      </c>
      <c r="F46" s="49" t="s">
        <v>800</v>
      </c>
      <c r="G46" s="49" t="s">
        <v>671</v>
      </c>
      <c r="H46" s="25">
        <v>100</v>
      </c>
      <c r="I46" s="29">
        <v>6000</v>
      </c>
      <c r="J46" s="17"/>
    </row>
    <row r="47" spans="1:10" x14ac:dyDescent="0.3">
      <c r="A47" s="17"/>
      <c r="B47" s="126">
        <v>42396</v>
      </c>
      <c r="C47" s="24" t="s">
        <v>23</v>
      </c>
      <c r="D47" s="24" t="s">
        <v>25</v>
      </c>
      <c r="E47" s="49" t="s">
        <v>801</v>
      </c>
      <c r="F47" s="49" t="s">
        <v>802</v>
      </c>
      <c r="G47" s="49" t="s">
        <v>364</v>
      </c>
      <c r="H47" s="25">
        <v>100</v>
      </c>
      <c r="I47" s="29">
        <v>3500</v>
      </c>
      <c r="J47" s="17"/>
    </row>
    <row r="48" spans="1:10" x14ac:dyDescent="0.3">
      <c r="A48" s="17"/>
      <c r="B48" s="126">
        <v>42397</v>
      </c>
      <c r="C48" s="24" t="s">
        <v>23</v>
      </c>
      <c r="D48" s="24" t="s">
        <v>25</v>
      </c>
      <c r="E48" s="49" t="s">
        <v>803</v>
      </c>
      <c r="F48" s="49" t="s">
        <v>804</v>
      </c>
      <c r="G48" s="49" t="s">
        <v>742</v>
      </c>
      <c r="H48" s="25">
        <v>100</v>
      </c>
      <c r="I48" s="29">
        <v>-4000</v>
      </c>
      <c r="J48" s="17"/>
    </row>
    <row r="49" spans="1:10" x14ac:dyDescent="0.3">
      <c r="A49" s="17"/>
      <c r="B49" s="126">
        <v>42398</v>
      </c>
      <c r="C49" s="24" t="s">
        <v>23</v>
      </c>
      <c r="D49" s="24" t="s">
        <v>25</v>
      </c>
      <c r="E49" s="49" t="s">
        <v>805</v>
      </c>
      <c r="F49" s="49" t="s">
        <v>806</v>
      </c>
      <c r="G49" s="49" t="s">
        <v>623</v>
      </c>
      <c r="H49" s="25">
        <v>100</v>
      </c>
      <c r="I49" s="29">
        <v>7000</v>
      </c>
      <c r="J49" s="17"/>
    </row>
    <row r="50" spans="1:10" x14ac:dyDescent="0.3">
      <c r="A50" s="17"/>
      <c r="B50" s="71"/>
      <c r="C50" s="24"/>
      <c r="D50" s="24"/>
      <c r="E50" s="49"/>
      <c r="F50" s="49"/>
      <c r="G50" s="49"/>
      <c r="H50" s="25"/>
      <c r="I50" s="29"/>
      <c r="J50" s="17"/>
    </row>
    <row r="51" spans="1:10" x14ac:dyDescent="0.3">
      <c r="A51" s="17"/>
      <c r="B51" s="71"/>
      <c r="C51" s="24"/>
      <c r="D51" s="24"/>
      <c r="E51" s="49"/>
      <c r="F51" s="49"/>
      <c r="G51" s="49"/>
      <c r="H51" s="25"/>
      <c r="I51" s="33">
        <v>53500</v>
      </c>
      <c r="J51" s="17"/>
    </row>
    <row r="52" spans="1:10" x14ac:dyDescent="0.3">
      <c r="A52" s="17"/>
      <c r="B52" s="71"/>
      <c r="C52" s="24"/>
      <c r="D52" s="24"/>
      <c r="E52" s="49"/>
      <c r="F52" s="49"/>
      <c r="G52" s="49"/>
      <c r="H52" s="25"/>
      <c r="I52" s="29"/>
      <c r="J52" s="17"/>
    </row>
    <row r="53" spans="1:10" ht="17.399999999999999" x14ac:dyDescent="0.3">
      <c r="A53" s="17"/>
      <c r="B53" s="71"/>
      <c r="C53" s="97"/>
      <c r="D53" s="24"/>
      <c r="E53" s="97"/>
      <c r="F53" s="97"/>
      <c r="G53" s="97"/>
      <c r="H53" s="25"/>
      <c r="I53" s="106"/>
      <c r="J53" s="17"/>
    </row>
    <row r="54" spans="1:10" x14ac:dyDescent="0.3">
      <c r="A54" s="17"/>
      <c r="B54" s="71"/>
      <c r="C54" s="97"/>
      <c r="D54" s="24"/>
      <c r="E54" s="97"/>
      <c r="F54" s="97"/>
      <c r="G54" s="97"/>
      <c r="H54" s="25"/>
      <c r="I54" s="69"/>
      <c r="J54" s="17"/>
    </row>
    <row r="55" spans="1:10" x14ac:dyDescent="0.3">
      <c r="A55" s="17"/>
      <c r="B55" s="71"/>
      <c r="C55" s="29"/>
      <c r="D55" s="36"/>
      <c r="E55" s="29"/>
      <c r="F55" s="29"/>
      <c r="G55" s="29"/>
      <c r="H55" s="29"/>
      <c r="I55" s="29"/>
      <c r="J55" s="17"/>
    </row>
    <row r="56" spans="1:10" ht="15.6" x14ac:dyDescent="0.3">
      <c r="A56" s="17"/>
      <c r="B56" s="130" t="s">
        <v>788</v>
      </c>
      <c r="C56" s="62"/>
      <c r="D56" s="63"/>
      <c r="E56" s="62"/>
      <c r="F56" s="62"/>
      <c r="G56" s="62"/>
      <c r="H56" s="62"/>
      <c r="I56" s="64"/>
      <c r="J56" s="17"/>
    </row>
    <row r="57" spans="1:10" x14ac:dyDescent="0.3">
      <c r="A57" s="17"/>
      <c r="B57" s="126">
        <v>42373</v>
      </c>
      <c r="C57" s="24" t="s">
        <v>23</v>
      </c>
      <c r="D57" s="24" t="s">
        <v>29</v>
      </c>
      <c r="E57" s="29">
        <v>312</v>
      </c>
      <c r="F57" s="29">
        <v>309</v>
      </c>
      <c r="G57" s="29">
        <v>3</v>
      </c>
      <c r="H57" s="29">
        <v>1000</v>
      </c>
      <c r="I57" s="29">
        <v>3000</v>
      </c>
      <c r="J57" s="17"/>
    </row>
    <row r="58" spans="1:10" x14ac:dyDescent="0.3">
      <c r="A58" s="17"/>
      <c r="B58" s="126">
        <v>42374</v>
      </c>
      <c r="C58" s="24" t="s">
        <v>23</v>
      </c>
      <c r="D58" s="24" t="s">
        <v>787</v>
      </c>
      <c r="E58" s="29">
        <v>99.95</v>
      </c>
      <c r="F58" s="29">
        <v>98.45</v>
      </c>
      <c r="G58" s="29">
        <v>1.5</v>
      </c>
      <c r="H58" s="29">
        <v>5000</v>
      </c>
      <c r="I58" s="29">
        <v>7500</v>
      </c>
      <c r="J58" s="17"/>
    </row>
    <row r="59" spans="1:10" x14ac:dyDescent="0.3">
      <c r="A59" s="17"/>
      <c r="B59" s="126">
        <v>42375</v>
      </c>
      <c r="C59" s="24" t="s">
        <v>23</v>
      </c>
      <c r="D59" s="24" t="s">
        <v>787</v>
      </c>
      <c r="E59" s="29">
        <v>98.5</v>
      </c>
      <c r="F59" s="29">
        <v>98.1</v>
      </c>
      <c r="G59" s="29">
        <v>0.4</v>
      </c>
      <c r="H59" s="29">
        <v>5000</v>
      </c>
      <c r="I59" s="29">
        <v>2000</v>
      </c>
      <c r="J59" s="131"/>
    </row>
    <row r="60" spans="1:10" x14ac:dyDescent="0.3">
      <c r="A60" s="131"/>
      <c r="B60" s="126">
        <v>42376</v>
      </c>
      <c r="C60" s="24" t="s">
        <v>23</v>
      </c>
      <c r="D60" s="24" t="s">
        <v>787</v>
      </c>
      <c r="E60" s="29">
        <v>98.2</v>
      </c>
      <c r="F60" s="29">
        <v>97.7</v>
      </c>
      <c r="G60" s="29">
        <v>0.5</v>
      </c>
      <c r="H60" s="29">
        <v>5000</v>
      </c>
      <c r="I60" s="29">
        <v>2500</v>
      </c>
      <c r="J60" s="131"/>
    </row>
    <row r="61" spans="1:10" x14ac:dyDescent="0.3">
      <c r="A61" s="131"/>
      <c r="B61" s="126">
        <v>42377</v>
      </c>
      <c r="C61" s="24" t="s">
        <v>23</v>
      </c>
      <c r="D61" s="24" t="s">
        <v>787</v>
      </c>
      <c r="E61" s="29">
        <v>99.4</v>
      </c>
      <c r="F61" s="29">
        <v>98.9</v>
      </c>
      <c r="G61" s="29">
        <v>0.5</v>
      </c>
      <c r="H61" s="29">
        <v>5000</v>
      </c>
      <c r="I61" s="29">
        <v>2500</v>
      </c>
      <c r="J61" s="131"/>
    </row>
    <row r="62" spans="1:10" x14ac:dyDescent="0.3">
      <c r="A62" s="131"/>
      <c r="B62" s="126">
        <v>42380</v>
      </c>
      <c r="C62" s="24" t="s">
        <v>23</v>
      </c>
      <c r="D62" s="24" t="s">
        <v>787</v>
      </c>
      <c r="E62" s="29">
        <v>99.15</v>
      </c>
      <c r="F62" s="29">
        <v>98</v>
      </c>
      <c r="G62" s="29">
        <v>1.1499999999999999</v>
      </c>
      <c r="H62" s="29">
        <v>5000</v>
      </c>
      <c r="I62" s="29">
        <v>5750</v>
      </c>
      <c r="J62" s="131"/>
    </row>
    <row r="63" spans="1:10" x14ac:dyDescent="0.3">
      <c r="A63" s="131"/>
      <c r="B63" s="126">
        <v>42381</v>
      </c>
      <c r="C63" s="108" t="s">
        <v>23</v>
      </c>
      <c r="D63" s="108" t="s">
        <v>28</v>
      </c>
      <c r="E63" s="110">
        <v>97.6</v>
      </c>
      <c r="F63" s="110">
        <v>96.6</v>
      </c>
      <c r="G63" s="110">
        <v>1</v>
      </c>
      <c r="H63" s="110">
        <v>5000</v>
      </c>
      <c r="I63" s="29">
        <v>5000</v>
      </c>
      <c r="J63" s="131"/>
    </row>
    <row r="64" spans="1:10" x14ac:dyDescent="0.3">
      <c r="A64" s="131"/>
      <c r="B64" s="126">
        <v>42382</v>
      </c>
      <c r="C64" s="108" t="s">
        <v>23</v>
      </c>
      <c r="D64" s="108" t="s">
        <v>27</v>
      </c>
      <c r="E64" s="110">
        <v>108.6</v>
      </c>
      <c r="F64" s="110">
        <v>108.1</v>
      </c>
      <c r="G64" s="110">
        <v>0.5</v>
      </c>
      <c r="H64" s="110">
        <v>5000</v>
      </c>
      <c r="I64" s="29">
        <v>2500</v>
      </c>
      <c r="J64" s="131"/>
    </row>
    <row r="65" spans="1:10" x14ac:dyDescent="0.3">
      <c r="A65" s="131"/>
      <c r="B65" s="126">
        <v>42383</v>
      </c>
      <c r="C65" s="108" t="s">
        <v>16</v>
      </c>
      <c r="D65" s="108" t="s">
        <v>28</v>
      </c>
      <c r="E65" s="110">
        <v>100</v>
      </c>
      <c r="F65" s="110">
        <v>101.5</v>
      </c>
      <c r="G65" s="110">
        <v>1.5</v>
      </c>
      <c r="H65" s="110">
        <v>5000</v>
      </c>
      <c r="I65" s="29">
        <v>7500</v>
      </c>
      <c r="J65" s="131"/>
    </row>
    <row r="66" spans="1:10" x14ac:dyDescent="0.3">
      <c r="A66" s="131"/>
      <c r="B66" s="126">
        <v>42384</v>
      </c>
      <c r="C66" s="108" t="s">
        <v>23</v>
      </c>
      <c r="D66" s="108" t="s">
        <v>787</v>
      </c>
      <c r="E66" s="110">
        <v>100</v>
      </c>
      <c r="F66" s="110">
        <v>100.15</v>
      </c>
      <c r="G66" s="110">
        <v>-0.15</v>
      </c>
      <c r="H66" s="110">
        <v>5000</v>
      </c>
      <c r="I66" s="29">
        <v>-750</v>
      </c>
      <c r="J66" s="131"/>
    </row>
    <row r="67" spans="1:10" x14ac:dyDescent="0.3">
      <c r="A67" s="131"/>
      <c r="B67" s="126">
        <v>42387</v>
      </c>
      <c r="C67" s="108" t="s">
        <v>23</v>
      </c>
      <c r="D67" s="108" t="s">
        <v>787</v>
      </c>
      <c r="E67" s="110">
        <v>100.2</v>
      </c>
      <c r="F67" s="110">
        <v>101.2</v>
      </c>
      <c r="G67" s="110">
        <v>-1</v>
      </c>
      <c r="H67" s="110">
        <v>5000</v>
      </c>
      <c r="I67" s="29">
        <f t="shared" ref="I67:I71" si="2">H67*G67</f>
        <v>-5000</v>
      </c>
      <c r="J67" s="131"/>
    </row>
    <row r="68" spans="1:10" x14ac:dyDescent="0.3">
      <c r="A68" s="131"/>
      <c r="B68" s="126">
        <v>42388</v>
      </c>
      <c r="C68" s="24" t="s">
        <v>23</v>
      </c>
      <c r="D68" s="24" t="s">
        <v>787</v>
      </c>
      <c r="E68" s="29">
        <v>101.6</v>
      </c>
      <c r="F68" s="29">
        <v>100.8</v>
      </c>
      <c r="G68" s="29">
        <v>0.8</v>
      </c>
      <c r="H68" s="29">
        <v>5000</v>
      </c>
      <c r="I68" s="29">
        <f t="shared" si="2"/>
        <v>4000</v>
      </c>
      <c r="J68" s="131"/>
    </row>
    <row r="69" spans="1:10" x14ac:dyDescent="0.3">
      <c r="A69" s="131"/>
      <c r="B69" s="126">
        <v>42389</v>
      </c>
      <c r="C69" s="24" t="s">
        <v>23</v>
      </c>
      <c r="D69" s="24" t="s">
        <v>27</v>
      </c>
      <c r="E69" s="110">
        <v>109.8</v>
      </c>
      <c r="F69" s="110">
        <v>109.8</v>
      </c>
      <c r="G69" s="29">
        <v>0</v>
      </c>
      <c r="H69" s="29">
        <v>5000</v>
      </c>
      <c r="I69" s="29">
        <f t="shared" si="2"/>
        <v>0</v>
      </c>
      <c r="J69" s="131"/>
    </row>
    <row r="70" spans="1:10" x14ac:dyDescent="0.3">
      <c r="A70" s="131"/>
      <c r="B70" s="126">
        <v>42390</v>
      </c>
      <c r="C70" s="24" t="s">
        <v>23</v>
      </c>
      <c r="D70" s="24" t="s">
        <v>787</v>
      </c>
      <c r="E70" s="110">
        <v>100.1</v>
      </c>
      <c r="F70" s="26">
        <v>100.4</v>
      </c>
      <c r="G70" s="29">
        <v>0.5</v>
      </c>
      <c r="H70" s="29">
        <v>5000</v>
      </c>
      <c r="I70" s="29">
        <f t="shared" si="2"/>
        <v>2500</v>
      </c>
      <c r="J70" s="131"/>
    </row>
    <row r="71" spans="1:10" x14ac:dyDescent="0.3">
      <c r="A71" s="131"/>
      <c r="B71" s="126">
        <v>42391</v>
      </c>
      <c r="C71" s="24" t="s">
        <v>16</v>
      </c>
      <c r="D71" s="24" t="s">
        <v>27</v>
      </c>
      <c r="E71" s="29">
        <v>111.7</v>
      </c>
      <c r="F71" s="29">
        <v>112.2</v>
      </c>
      <c r="G71" s="29">
        <v>0.5</v>
      </c>
      <c r="H71" s="29">
        <v>5000</v>
      </c>
      <c r="I71" s="29">
        <f t="shared" si="2"/>
        <v>2500</v>
      </c>
      <c r="J71" s="131"/>
    </row>
    <row r="72" spans="1:10" x14ac:dyDescent="0.3">
      <c r="A72" s="131"/>
      <c r="B72" s="126">
        <v>42394</v>
      </c>
      <c r="C72" s="24" t="s">
        <v>23</v>
      </c>
      <c r="D72" s="24" t="s">
        <v>787</v>
      </c>
      <c r="E72" s="26">
        <v>100.5</v>
      </c>
      <c r="F72" s="26">
        <v>100.15</v>
      </c>
      <c r="G72" s="29">
        <v>0.35</v>
      </c>
      <c r="H72" s="29">
        <v>5000</v>
      </c>
      <c r="I72" s="29">
        <v>1750</v>
      </c>
      <c r="J72" s="131"/>
    </row>
    <row r="73" spans="1:10" x14ac:dyDescent="0.3">
      <c r="A73" s="131"/>
      <c r="B73" s="126">
        <v>42396</v>
      </c>
      <c r="C73" s="24" t="s">
        <v>16</v>
      </c>
      <c r="D73" s="75" t="s">
        <v>787</v>
      </c>
      <c r="E73" s="110">
        <v>102</v>
      </c>
      <c r="F73" s="29">
        <v>103.5</v>
      </c>
      <c r="G73" s="29">
        <v>1.5</v>
      </c>
      <c r="H73" s="29">
        <v>5000</v>
      </c>
      <c r="I73" s="29">
        <v>7500</v>
      </c>
      <c r="J73" s="131"/>
    </row>
    <row r="74" spans="1:10" x14ac:dyDescent="0.3">
      <c r="A74" s="131"/>
      <c r="B74" s="126">
        <v>42397</v>
      </c>
      <c r="C74" s="24" t="s">
        <v>16</v>
      </c>
      <c r="D74" s="24" t="s">
        <v>28</v>
      </c>
      <c r="E74" s="26">
        <v>108.4</v>
      </c>
      <c r="F74" s="110">
        <v>109.2</v>
      </c>
      <c r="G74" s="110">
        <v>0.8</v>
      </c>
      <c r="H74" s="29">
        <v>5000</v>
      </c>
      <c r="I74" s="29">
        <v>4000</v>
      </c>
      <c r="J74" s="131"/>
    </row>
    <row r="75" spans="1:10" x14ac:dyDescent="0.3">
      <c r="A75" s="131"/>
      <c r="B75" s="126">
        <v>42398</v>
      </c>
      <c r="C75" s="24" t="s">
        <v>16</v>
      </c>
      <c r="D75" s="24" t="s">
        <v>27</v>
      </c>
      <c r="E75" s="26">
        <v>114.1</v>
      </c>
      <c r="F75" s="110">
        <v>115.6</v>
      </c>
      <c r="G75" s="110">
        <v>1.5</v>
      </c>
      <c r="H75" s="29">
        <v>5000</v>
      </c>
      <c r="I75" s="29">
        <v>7500</v>
      </c>
      <c r="J75" s="131"/>
    </row>
    <row r="76" spans="1:10" x14ac:dyDescent="0.3">
      <c r="A76" s="131"/>
      <c r="B76" s="71"/>
      <c r="C76" s="24"/>
      <c r="D76" s="24"/>
      <c r="E76" s="26"/>
      <c r="F76" s="110"/>
      <c r="G76" s="110"/>
      <c r="H76" s="29"/>
      <c r="I76" s="29"/>
      <c r="J76" s="131"/>
    </row>
    <row r="77" spans="1:10" x14ac:dyDescent="0.3">
      <c r="A77" s="131"/>
      <c r="B77" s="71"/>
      <c r="C77" s="24"/>
      <c r="D77" s="24"/>
      <c r="E77" s="26"/>
      <c r="F77" s="110"/>
      <c r="G77" s="110"/>
      <c r="H77" s="29"/>
      <c r="I77" s="33">
        <v>62250</v>
      </c>
      <c r="J77" s="131"/>
    </row>
    <row r="78" spans="1:10" x14ac:dyDescent="0.3">
      <c r="A78" s="131"/>
      <c r="B78" s="71"/>
      <c r="C78" s="24"/>
      <c r="D78" s="24"/>
      <c r="E78" s="29"/>
      <c r="F78" s="110"/>
      <c r="G78" s="110"/>
      <c r="H78" s="29"/>
      <c r="I78" s="29"/>
      <c r="J78" s="131"/>
    </row>
    <row r="79" spans="1:10" ht="17.399999999999999" x14ac:dyDescent="0.3">
      <c r="A79" s="131"/>
      <c r="B79" s="71"/>
      <c r="H79" s="29"/>
      <c r="I79" s="107"/>
      <c r="J79" s="131"/>
    </row>
    <row r="80" spans="1:10" ht="17.399999999999999" x14ac:dyDescent="0.3">
      <c r="A80" s="131"/>
      <c r="B80" s="71"/>
      <c r="H80" s="29"/>
      <c r="I80" s="106"/>
      <c r="J80" s="131"/>
    </row>
    <row r="81" spans="1:10" x14ac:dyDescent="0.3">
      <c r="A81" s="131"/>
      <c r="H81" s="29"/>
      <c r="I81" s="69"/>
      <c r="J81" s="131"/>
    </row>
    <row r="82" spans="1:10" ht="18" x14ac:dyDescent="0.35">
      <c r="A82" s="131"/>
      <c r="I82" s="105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500-000000000000}"/>
  </hyperlinks>
  <pageMargins left="0.7" right="0.7" top="0.75" bottom="0.75" header="0.3" footer="0.3"/>
  <pageSetup paperSize="9" orientation="portrait" horizontalDpi="300" verticalDpi="300" r:id="rId1"/>
  <ignoredErrors>
    <ignoredError sqref="E31:G40 L8:O11 E41:G4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88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ht="15.6" x14ac:dyDescent="0.3">
      <c r="A3" s="17"/>
      <c r="B3" s="298" t="s">
        <v>807</v>
      </c>
      <c r="C3" s="298"/>
      <c r="D3" s="298"/>
      <c r="E3" s="298"/>
      <c r="F3" s="298"/>
      <c r="G3" s="298"/>
      <c r="H3" s="298"/>
      <c r="I3" s="298"/>
      <c r="J3" s="17"/>
    </row>
    <row r="4" spans="1:15" ht="15.6" x14ac:dyDescent="0.3">
      <c r="A4" s="17"/>
      <c r="B4" s="299" t="s">
        <v>778</v>
      </c>
      <c r="C4" s="299"/>
      <c r="D4" s="299"/>
      <c r="E4" s="299"/>
      <c r="F4" s="299"/>
      <c r="G4" s="299"/>
      <c r="H4" s="299"/>
      <c r="I4" s="299"/>
      <c r="J4" s="17"/>
    </row>
    <row r="5" spans="1:15" x14ac:dyDescent="0.3">
      <c r="A5" s="17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60" t="s">
        <v>7</v>
      </c>
      <c r="J5" s="17"/>
      <c r="K5" s="71"/>
    </row>
    <row r="6" spans="1:15" x14ac:dyDescent="0.3">
      <c r="A6" s="17"/>
      <c r="B6" s="126">
        <v>42401</v>
      </c>
      <c r="C6" s="24" t="s">
        <v>55</v>
      </c>
      <c r="D6" s="26" t="s">
        <v>24</v>
      </c>
      <c r="E6" s="29">
        <v>26800</v>
      </c>
      <c r="F6" s="29">
        <v>26880</v>
      </c>
      <c r="G6" s="29">
        <v>80</v>
      </c>
      <c r="H6" s="29">
        <v>100</v>
      </c>
      <c r="I6" s="29">
        <v>8000</v>
      </c>
      <c r="J6" s="17"/>
      <c r="K6" s="71"/>
    </row>
    <row r="7" spans="1:15" x14ac:dyDescent="0.3">
      <c r="A7" s="17"/>
      <c r="B7" s="126">
        <v>42402</v>
      </c>
      <c r="C7" s="24" t="s">
        <v>16</v>
      </c>
      <c r="D7" s="26" t="s">
        <v>24</v>
      </c>
      <c r="E7" s="29">
        <v>26890</v>
      </c>
      <c r="F7" s="29">
        <v>27080</v>
      </c>
      <c r="G7" s="29">
        <v>190</v>
      </c>
      <c r="H7" s="29">
        <v>100</v>
      </c>
      <c r="I7" s="29">
        <v>19000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26">
        <v>42403</v>
      </c>
      <c r="C8" s="24" t="s">
        <v>23</v>
      </c>
      <c r="D8" s="26" t="s">
        <v>24</v>
      </c>
      <c r="E8" s="29">
        <v>27090</v>
      </c>
      <c r="F8" s="29">
        <v>27020</v>
      </c>
      <c r="G8" s="29">
        <v>70</v>
      </c>
      <c r="H8" s="29">
        <v>100</v>
      </c>
      <c r="I8" s="29">
        <v>7000</v>
      </c>
      <c r="J8" s="17"/>
      <c r="K8" s="71" t="s">
        <v>257</v>
      </c>
      <c r="L8" s="49" t="s">
        <v>553</v>
      </c>
      <c r="M8" s="101" t="s">
        <v>263</v>
      </c>
      <c r="N8" s="101" t="s">
        <v>261</v>
      </c>
      <c r="O8" s="101" t="s">
        <v>262</v>
      </c>
    </row>
    <row r="9" spans="1:15" x14ac:dyDescent="0.3">
      <c r="A9" s="17"/>
      <c r="B9" s="126">
        <v>42404</v>
      </c>
      <c r="C9" s="24" t="s">
        <v>23</v>
      </c>
      <c r="D9" s="26" t="s">
        <v>24</v>
      </c>
      <c r="E9" s="29">
        <v>27270</v>
      </c>
      <c r="F9" s="29">
        <v>27220</v>
      </c>
      <c r="G9" s="29">
        <v>50</v>
      </c>
      <c r="H9" s="29">
        <v>100</v>
      </c>
      <c r="I9" s="29">
        <v>5000</v>
      </c>
      <c r="J9" s="17"/>
      <c r="K9" s="71" t="s">
        <v>258</v>
      </c>
      <c r="L9" s="101" t="s">
        <v>553</v>
      </c>
      <c r="M9" s="101" t="s">
        <v>265</v>
      </c>
      <c r="N9" s="101" t="s">
        <v>299</v>
      </c>
      <c r="O9" s="101" t="s">
        <v>262</v>
      </c>
    </row>
    <row r="10" spans="1:15" x14ac:dyDescent="0.3">
      <c r="A10" s="17"/>
      <c r="B10" s="126">
        <v>42405</v>
      </c>
      <c r="C10" s="24" t="s">
        <v>16</v>
      </c>
      <c r="D10" s="26" t="s">
        <v>24</v>
      </c>
      <c r="E10" s="29">
        <v>27430</v>
      </c>
      <c r="F10" s="29">
        <v>27550</v>
      </c>
      <c r="G10" s="29">
        <v>120</v>
      </c>
      <c r="H10" s="29">
        <v>100</v>
      </c>
      <c r="I10" s="29">
        <v>12000</v>
      </c>
      <c r="J10" s="17"/>
      <c r="K10" s="71" t="s">
        <v>259</v>
      </c>
      <c r="L10" s="101" t="s">
        <v>553</v>
      </c>
      <c r="M10" s="101" t="s">
        <v>291</v>
      </c>
      <c r="N10" s="101" t="s">
        <v>436</v>
      </c>
      <c r="O10" s="101" t="s">
        <v>262</v>
      </c>
    </row>
    <row r="11" spans="1:15" x14ac:dyDescent="0.3">
      <c r="A11" s="17"/>
      <c r="B11" s="126">
        <v>42408</v>
      </c>
      <c r="C11" s="108" t="s">
        <v>16</v>
      </c>
      <c r="D11" s="109" t="s">
        <v>24</v>
      </c>
      <c r="E11" s="110">
        <v>27660</v>
      </c>
      <c r="F11" s="110">
        <v>27830</v>
      </c>
      <c r="G11" s="110">
        <v>170</v>
      </c>
      <c r="H11" s="110">
        <v>100</v>
      </c>
      <c r="I11" s="29">
        <v>17000</v>
      </c>
      <c r="J11" s="17"/>
      <c r="K11" s="71" t="s">
        <v>300</v>
      </c>
      <c r="L11" s="104" t="s">
        <v>738</v>
      </c>
      <c r="M11" s="104" t="s">
        <v>831</v>
      </c>
      <c r="N11" s="104" t="s">
        <v>335</v>
      </c>
      <c r="O11" s="104" t="s">
        <v>262</v>
      </c>
    </row>
    <row r="12" spans="1:15" x14ac:dyDescent="0.3">
      <c r="A12" s="17"/>
      <c r="B12" s="126">
        <v>42409</v>
      </c>
      <c r="C12" s="108" t="s">
        <v>16</v>
      </c>
      <c r="D12" s="109" t="s">
        <v>24</v>
      </c>
      <c r="E12" s="110">
        <v>28480</v>
      </c>
      <c r="F12" s="110">
        <v>28380</v>
      </c>
      <c r="G12" s="110">
        <v>-100</v>
      </c>
      <c r="H12" s="110">
        <v>100</v>
      </c>
      <c r="I12" s="29">
        <v>-10000</v>
      </c>
      <c r="J12" s="17"/>
      <c r="K12" s="71"/>
    </row>
    <row r="13" spans="1:15" x14ac:dyDescent="0.3">
      <c r="A13" s="17"/>
      <c r="B13" s="126">
        <v>42410</v>
      </c>
      <c r="C13" s="108" t="s">
        <v>23</v>
      </c>
      <c r="D13" s="109" t="s">
        <v>24</v>
      </c>
      <c r="E13" s="110">
        <v>28270</v>
      </c>
      <c r="F13" s="110">
        <v>28090</v>
      </c>
      <c r="G13" s="110">
        <v>180</v>
      </c>
      <c r="H13" s="110">
        <v>100</v>
      </c>
      <c r="I13" s="29">
        <v>18000</v>
      </c>
      <c r="J13" s="17"/>
      <c r="K13" s="132"/>
      <c r="L13" s="127" t="s">
        <v>832</v>
      </c>
      <c r="M13" s="128"/>
      <c r="N13" s="133">
        <f>M11*100/L11</f>
        <v>80.952380952380949</v>
      </c>
    </row>
    <row r="14" spans="1:15" x14ac:dyDescent="0.3">
      <c r="A14" s="17"/>
      <c r="B14" s="126">
        <v>42411</v>
      </c>
      <c r="C14" s="108" t="s">
        <v>16</v>
      </c>
      <c r="D14" s="109" t="s">
        <v>24</v>
      </c>
      <c r="E14" s="110">
        <v>28640</v>
      </c>
      <c r="F14" s="110">
        <v>28820</v>
      </c>
      <c r="G14" s="110">
        <v>180</v>
      </c>
      <c r="H14" s="110">
        <v>100</v>
      </c>
      <c r="I14" s="29">
        <v>18000</v>
      </c>
      <c r="J14" s="17"/>
      <c r="K14" s="71"/>
    </row>
    <row r="15" spans="1:15" x14ac:dyDescent="0.3">
      <c r="A15" s="17"/>
      <c r="B15" s="126">
        <v>42412</v>
      </c>
      <c r="C15" s="108" t="s">
        <v>16</v>
      </c>
      <c r="D15" s="109" t="s">
        <v>24</v>
      </c>
      <c r="E15" s="110">
        <v>28530</v>
      </c>
      <c r="F15" s="110">
        <v>29720</v>
      </c>
      <c r="G15" s="110">
        <v>190</v>
      </c>
      <c r="H15" s="110">
        <v>100</v>
      </c>
      <c r="I15" s="29">
        <v>19000</v>
      </c>
      <c r="J15" s="17"/>
      <c r="K15" s="71"/>
    </row>
    <row r="16" spans="1:15" x14ac:dyDescent="0.3">
      <c r="A16" s="17"/>
      <c r="B16" s="126">
        <v>42415</v>
      </c>
      <c r="C16" s="108" t="s">
        <v>23</v>
      </c>
      <c r="D16" s="109" t="s">
        <v>24</v>
      </c>
      <c r="E16" s="110">
        <v>28870</v>
      </c>
      <c r="F16" s="110">
        <v>28690</v>
      </c>
      <c r="G16" s="110">
        <v>180</v>
      </c>
      <c r="H16" s="110">
        <v>100</v>
      </c>
      <c r="I16" s="29">
        <v>18000</v>
      </c>
      <c r="J16" s="17"/>
      <c r="K16" s="71"/>
    </row>
    <row r="17" spans="1:11" x14ac:dyDescent="0.3">
      <c r="A17" s="17"/>
      <c r="B17" s="126">
        <v>42416</v>
      </c>
      <c r="C17" s="24" t="s">
        <v>16</v>
      </c>
      <c r="D17" s="26" t="s">
        <v>24</v>
      </c>
      <c r="E17" s="29">
        <v>28530</v>
      </c>
      <c r="F17" s="29">
        <v>28710</v>
      </c>
      <c r="G17" s="29">
        <v>180</v>
      </c>
      <c r="H17" s="29">
        <v>100</v>
      </c>
      <c r="I17" s="29">
        <v>18000</v>
      </c>
      <c r="J17" s="17"/>
      <c r="K17" s="71"/>
    </row>
    <row r="18" spans="1:11" x14ac:dyDescent="0.3">
      <c r="A18" s="17"/>
      <c r="B18" s="126">
        <v>42417</v>
      </c>
      <c r="C18" s="24" t="s">
        <v>23</v>
      </c>
      <c r="D18" s="26" t="s">
        <v>24</v>
      </c>
      <c r="E18" s="29">
        <v>28900</v>
      </c>
      <c r="F18" s="29">
        <v>28760</v>
      </c>
      <c r="G18" s="29">
        <v>140</v>
      </c>
      <c r="H18" s="29">
        <v>100</v>
      </c>
      <c r="I18" s="29">
        <v>14000</v>
      </c>
      <c r="J18" s="17"/>
      <c r="K18" s="71"/>
    </row>
    <row r="19" spans="1:11" x14ac:dyDescent="0.3">
      <c r="A19" s="17"/>
      <c r="B19" s="126">
        <v>42418</v>
      </c>
      <c r="C19" s="24" t="s">
        <v>23</v>
      </c>
      <c r="D19" s="26" t="s">
        <v>24</v>
      </c>
      <c r="E19" s="29">
        <v>28860</v>
      </c>
      <c r="F19" s="29">
        <v>28750</v>
      </c>
      <c r="G19" s="29">
        <v>110</v>
      </c>
      <c r="H19" s="29">
        <v>100</v>
      </c>
      <c r="I19" s="29">
        <v>11000</v>
      </c>
      <c r="J19" s="17"/>
      <c r="K19" s="71"/>
    </row>
    <row r="20" spans="1:11" x14ac:dyDescent="0.3">
      <c r="A20" s="17"/>
      <c r="B20" s="126">
        <v>42419</v>
      </c>
      <c r="C20" s="24" t="s">
        <v>23</v>
      </c>
      <c r="D20" s="26" t="s">
        <v>24</v>
      </c>
      <c r="E20" s="29">
        <v>29370</v>
      </c>
      <c r="F20" s="29">
        <v>29295</v>
      </c>
      <c r="G20" s="29">
        <v>75</v>
      </c>
      <c r="H20" s="29">
        <v>100</v>
      </c>
      <c r="I20" s="29">
        <v>7500</v>
      </c>
      <c r="J20" s="17"/>
      <c r="K20" s="71"/>
    </row>
    <row r="21" spans="1:11" x14ac:dyDescent="0.3">
      <c r="A21" s="17"/>
      <c r="B21" s="126">
        <v>42422</v>
      </c>
      <c r="C21" s="108" t="s">
        <v>23</v>
      </c>
      <c r="D21" s="26" t="s">
        <v>24</v>
      </c>
      <c r="E21" s="29">
        <v>29050</v>
      </c>
      <c r="F21" s="29">
        <v>28870</v>
      </c>
      <c r="G21" s="29">
        <v>180</v>
      </c>
      <c r="H21" s="29">
        <v>100</v>
      </c>
      <c r="I21" s="29">
        <v>18000</v>
      </c>
      <c r="J21" s="17"/>
      <c r="K21" s="71"/>
    </row>
    <row r="22" spans="1:11" x14ac:dyDescent="0.3">
      <c r="A22" s="17"/>
      <c r="B22" s="126">
        <v>42423</v>
      </c>
      <c r="C22" s="108" t="s">
        <v>23</v>
      </c>
      <c r="D22" s="26" t="s">
        <v>24</v>
      </c>
      <c r="E22" s="29">
        <v>29230</v>
      </c>
      <c r="F22" s="29">
        <v>29140</v>
      </c>
      <c r="G22" s="29">
        <v>90</v>
      </c>
      <c r="H22" s="29">
        <v>100</v>
      </c>
      <c r="I22" s="29">
        <v>9000</v>
      </c>
      <c r="J22" s="17"/>
      <c r="K22" s="71"/>
    </row>
    <row r="23" spans="1:11" x14ac:dyDescent="0.3">
      <c r="A23" s="17"/>
      <c r="B23" s="126">
        <v>42424</v>
      </c>
      <c r="C23" s="24" t="s">
        <v>23</v>
      </c>
      <c r="D23" s="26" t="s">
        <v>24</v>
      </c>
      <c r="E23" s="29">
        <v>29370</v>
      </c>
      <c r="F23" s="29">
        <v>29250</v>
      </c>
      <c r="G23" s="29">
        <v>120</v>
      </c>
      <c r="H23" s="29">
        <v>100</v>
      </c>
      <c r="I23" s="29">
        <v>12000</v>
      </c>
      <c r="J23" s="17"/>
      <c r="K23" s="71"/>
    </row>
    <row r="24" spans="1:11" x14ac:dyDescent="0.3">
      <c r="A24" s="17"/>
      <c r="B24" s="126">
        <v>42425</v>
      </c>
      <c r="C24" s="24" t="s">
        <v>16</v>
      </c>
      <c r="D24" s="26" t="s">
        <v>24</v>
      </c>
      <c r="E24" s="29">
        <v>29520</v>
      </c>
      <c r="F24" s="29">
        <v>29720</v>
      </c>
      <c r="G24" s="29">
        <v>200</v>
      </c>
      <c r="H24" s="29">
        <v>100</v>
      </c>
      <c r="I24" s="29">
        <v>20000</v>
      </c>
      <c r="J24" s="17"/>
    </row>
    <row r="25" spans="1:11" x14ac:dyDescent="0.3">
      <c r="A25" s="17"/>
      <c r="B25" s="126">
        <v>42426</v>
      </c>
      <c r="C25" s="24" t="s">
        <v>16</v>
      </c>
      <c r="D25" s="26" t="s">
        <v>24</v>
      </c>
      <c r="E25" s="29">
        <v>29660</v>
      </c>
      <c r="F25" s="29">
        <v>29550</v>
      </c>
      <c r="G25" s="29">
        <v>-110</v>
      </c>
      <c r="H25" s="29">
        <v>100</v>
      </c>
      <c r="I25" s="29">
        <v>-11000</v>
      </c>
      <c r="J25" s="17"/>
    </row>
    <row r="26" spans="1:11" x14ac:dyDescent="0.3">
      <c r="A26" s="17"/>
      <c r="B26" s="126">
        <v>42429</v>
      </c>
      <c r="C26" s="24" t="s">
        <v>23</v>
      </c>
      <c r="D26" s="26" t="s">
        <v>24</v>
      </c>
      <c r="E26" s="29">
        <v>28590</v>
      </c>
      <c r="F26" s="29">
        <v>29450</v>
      </c>
      <c r="G26" s="29">
        <v>140</v>
      </c>
      <c r="H26" s="29">
        <v>100</v>
      </c>
      <c r="I26" s="29">
        <v>14000</v>
      </c>
      <c r="J26" s="17"/>
    </row>
    <row r="27" spans="1:11" x14ac:dyDescent="0.3">
      <c r="A27" s="17"/>
      <c r="C27" s="24"/>
      <c r="D27" s="26"/>
      <c r="E27" s="26"/>
      <c r="F27" s="26"/>
      <c r="G27" s="26"/>
      <c r="H27" s="29"/>
      <c r="I27" s="29"/>
      <c r="J27" s="17"/>
    </row>
    <row r="28" spans="1:11" ht="17.399999999999999" x14ac:dyDescent="0.3">
      <c r="A28" s="17"/>
      <c r="C28" s="29"/>
      <c r="D28" s="26"/>
      <c r="E28" s="36"/>
      <c r="F28" s="29"/>
      <c r="G28" s="29"/>
      <c r="H28" s="29"/>
      <c r="I28" s="106">
        <v>243500</v>
      </c>
      <c r="J28" s="17"/>
    </row>
    <row r="29" spans="1:11" x14ac:dyDescent="0.3">
      <c r="A29" s="17"/>
      <c r="B29" s="71"/>
      <c r="C29" s="29"/>
      <c r="D29" s="36"/>
      <c r="E29" s="36"/>
      <c r="F29" s="29"/>
      <c r="G29" s="29"/>
      <c r="H29" s="29"/>
      <c r="I29" s="29"/>
      <c r="J29" s="17"/>
    </row>
    <row r="30" spans="1:11" ht="15.6" x14ac:dyDescent="0.3">
      <c r="A30" s="17"/>
      <c r="B30" s="130" t="s">
        <v>789</v>
      </c>
      <c r="C30" s="62"/>
      <c r="D30" s="63"/>
      <c r="E30" s="62"/>
      <c r="F30" s="62"/>
      <c r="G30" s="62"/>
      <c r="H30" s="62"/>
      <c r="I30" s="62"/>
      <c r="J30" s="17"/>
    </row>
    <row r="31" spans="1:11" x14ac:dyDescent="0.3">
      <c r="A31" s="17"/>
      <c r="B31" s="126">
        <v>42401</v>
      </c>
      <c r="C31" s="24" t="s">
        <v>23</v>
      </c>
      <c r="D31" s="24" t="s">
        <v>25</v>
      </c>
      <c r="E31" s="49" t="s">
        <v>808</v>
      </c>
      <c r="F31" s="23">
        <v>2190</v>
      </c>
      <c r="G31" s="49" t="s">
        <v>268</v>
      </c>
      <c r="H31" s="25">
        <v>100</v>
      </c>
      <c r="I31" s="29">
        <v>6500</v>
      </c>
      <c r="J31" s="17"/>
    </row>
    <row r="32" spans="1:11" x14ac:dyDescent="0.3">
      <c r="A32" s="17"/>
      <c r="B32" s="126">
        <v>42402</v>
      </c>
      <c r="C32" s="24" t="s">
        <v>23</v>
      </c>
      <c r="D32" s="24" t="s">
        <v>25</v>
      </c>
      <c r="E32" s="49" t="s">
        <v>809</v>
      </c>
      <c r="F32" s="49" t="s">
        <v>810</v>
      </c>
      <c r="G32" s="49" t="s">
        <v>623</v>
      </c>
      <c r="H32" s="25">
        <v>100</v>
      </c>
      <c r="I32" s="29">
        <v>7000</v>
      </c>
      <c r="J32" s="17"/>
    </row>
    <row r="33" spans="1:10" x14ac:dyDescent="0.3">
      <c r="A33" s="17"/>
      <c r="B33" s="126">
        <v>42403</v>
      </c>
      <c r="C33" s="24" t="s">
        <v>23</v>
      </c>
      <c r="D33" s="24" t="s">
        <v>25</v>
      </c>
      <c r="E33" s="83" t="s">
        <v>811</v>
      </c>
      <c r="F33" s="49" t="s">
        <v>812</v>
      </c>
      <c r="G33" s="49" t="s">
        <v>813</v>
      </c>
      <c r="H33" s="25">
        <v>100</v>
      </c>
      <c r="I33" s="29">
        <v>3000</v>
      </c>
      <c r="J33" s="17"/>
    </row>
    <row r="34" spans="1:10" x14ac:dyDescent="0.3">
      <c r="A34" s="17"/>
      <c r="B34" s="126">
        <v>42404</v>
      </c>
      <c r="C34" s="24" t="s">
        <v>16</v>
      </c>
      <c r="D34" s="24" t="s">
        <v>25</v>
      </c>
      <c r="E34" s="83" t="s">
        <v>814</v>
      </c>
      <c r="F34" s="49" t="s">
        <v>815</v>
      </c>
      <c r="G34" s="49" t="s">
        <v>621</v>
      </c>
      <c r="H34" s="25">
        <v>100</v>
      </c>
      <c r="I34" s="29">
        <v>2500</v>
      </c>
      <c r="J34" s="17"/>
    </row>
    <row r="35" spans="1:10" x14ac:dyDescent="0.3">
      <c r="A35" s="17"/>
      <c r="B35" s="126">
        <v>42405</v>
      </c>
      <c r="C35" s="24" t="s">
        <v>23</v>
      </c>
      <c r="D35" s="24" t="s">
        <v>25</v>
      </c>
      <c r="E35" s="49" t="s">
        <v>782</v>
      </c>
      <c r="F35" s="49" t="s">
        <v>797</v>
      </c>
      <c r="G35" s="49" t="s">
        <v>303</v>
      </c>
      <c r="H35" s="25">
        <v>100</v>
      </c>
      <c r="I35" s="29">
        <v>5000</v>
      </c>
      <c r="J35" s="17"/>
    </row>
    <row r="36" spans="1:10" x14ac:dyDescent="0.3">
      <c r="A36" s="17"/>
      <c r="B36" s="126">
        <v>42408</v>
      </c>
      <c r="C36" s="108" t="s">
        <v>23</v>
      </c>
      <c r="D36" s="108" t="s">
        <v>25</v>
      </c>
      <c r="E36" s="109">
        <v>2127</v>
      </c>
      <c r="F36" s="109">
        <v>2060</v>
      </c>
      <c r="G36" s="109">
        <v>67</v>
      </c>
      <c r="H36" s="109">
        <v>100</v>
      </c>
      <c r="I36" s="29">
        <v>6700</v>
      </c>
      <c r="J36" s="17"/>
    </row>
    <row r="37" spans="1:10" x14ac:dyDescent="0.3">
      <c r="A37" s="17"/>
      <c r="B37" s="126">
        <v>42409</v>
      </c>
      <c r="C37" s="108" t="s">
        <v>23</v>
      </c>
      <c r="D37" s="108" t="s">
        <v>25</v>
      </c>
      <c r="E37" s="109">
        <v>2060</v>
      </c>
      <c r="F37" s="109">
        <v>1990</v>
      </c>
      <c r="G37" s="109">
        <v>70</v>
      </c>
      <c r="H37" s="109">
        <v>100</v>
      </c>
      <c r="I37" s="29">
        <v>7000</v>
      </c>
      <c r="J37" s="17"/>
    </row>
    <row r="38" spans="1:10" x14ac:dyDescent="0.3">
      <c r="A38" s="17"/>
      <c r="B38" s="126">
        <v>42410</v>
      </c>
      <c r="C38" s="108" t="s">
        <v>23</v>
      </c>
      <c r="D38" s="108" t="s">
        <v>25</v>
      </c>
      <c r="E38" s="109">
        <v>1955</v>
      </c>
      <c r="F38" s="109">
        <v>1890</v>
      </c>
      <c r="G38" s="109">
        <v>65</v>
      </c>
      <c r="H38" s="109">
        <v>100</v>
      </c>
      <c r="I38" s="29">
        <v>6500</v>
      </c>
      <c r="J38" s="17"/>
    </row>
    <row r="39" spans="1:10" x14ac:dyDescent="0.3">
      <c r="A39" s="17"/>
      <c r="B39" s="126">
        <v>42411</v>
      </c>
      <c r="C39" s="108" t="s">
        <v>23</v>
      </c>
      <c r="D39" s="108" t="s">
        <v>25</v>
      </c>
      <c r="E39" s="109">
        <v>1860</v>
      </c>
      <c r="F39" s="109">
        <v>1825</v>
      </c>
      <c r="G39" s="109">
        <v>35</v>
      </c>
      <c r="H39" s="109">
        <v>100</v>
      </c>
      <c r="I39" s="29">
        <v>3500</v>
      </c>
      <c r="J39" s="17"/>
    </row>
    <row r="40" spans="1:10" x14ac:dyDescent="0.3">
      <c r="A40" s="17"/>
      <c r="B40" s="126">
        <v>42412</v>
      </c>
      <c r="C40" s="24" t="s">
        <v>23</v>
      </c>
      <c r="D40" s="24" t="s">
        <v>25</v>
      </c>
      <c r="E40" s="49" t="s">
        <v>816</v>
      </c>
      <c r="F40" s="49" t="s">
        <v>817</v>
      </c>
      <c r="G40" s="49" t="s">
        <v>303</v>
      </c>
      <c r="H40" s="25">
        <v>100</v>
      </c>
      <c r="I40" s="29">
        <v>5000</v>
      </c>
      <c r="J40" s="17"/>
    </row>
    <row r="41" spans="1:10" x14ac:dyDescent="0.3">
      <c r="A41" s="17"/>
      <c r="B41" s="126">
        <v>42415</v>
      </c>
      <c r="C41" s="24" t="s">
        <v>23</v>
      </c>
      <c r="D41" s="24" t="s">
        <v>25</v>
      </c>
      <c r="E41" s="49" t="s">
        <v>786</v>
      </c>
      <c r="F41" s="49" t="s">
        <v>818</v>
      </c>
      <c r="G41" s="49" t="s">
        <v>392</v>
      </c>
      <c r="H41" s="25">
        <v>100</v>
      </c>
      <c r="I41" s="29">
        <v>1500</v>
      </c>
      <c r="J41" s="17"/>
    </row>
    <row r="42" spans="1:10" x14ac:dyDescent="0.3">
      <c r="A42" s="17"/>
      <c r="B42" s="126">
        <v>42416</v>
      </c>
      <c r="C42" s="24" t="s">
        <v>16</v>
      </c>
      <c r="D42" s="24" t="s">
        <v>25</v>
      </c>
      <c r="E42" s="49" t="s">
        <v>809</v>
      </c>
      <c r="F42" s="23">
        <v>2145</v>
      </c>
      <c r="G42" s="49" t="s">
        <v>621</v>
      </c>
      <c r="H42" s="25">
        <v>100</v>
      </c>
      <c r="I42" s="29">
        <v>2500</v>
      </c>
      <c r="J42" s="17"/>
    </row>
    <row r="43" spans="1:10" x14ac:dyDescent="0.3">
      <c r="A43" s="17"/>
      <c r="B43" s="126">
        <v>42417</v>
      </c>
      <c r="C43" s="24" t="s">
        <v>23</v>
      </c>
      <c r="D43" s="24" t="s">
        <v>25</v>
      </c>
      <c r="E43" s="49" t="s">
        <v>819</v>
      </c>
      <c r="F43" s="49" t="s">
        <v>820</v>
      </c>
      <c r="G43" s="49" t="s">
        <v>742</v>
      </c>
      <c r="H43" s="25">
        <v>100</v>
      </c>
      <c r="I43" s="29">
        <v>-4000</v>
      </c>
      <c r="J43" s="17"/>
    </row>
    <row r="44" spans="1:10" x14ac:dyDescent="0.3">
      <c r="A44" s="17"/>
      <c r="B44" s="126">
        <v>42418</v>
      </c>
      <c r="C44" s="24" t="s">
        <v>16</v>
      </c>
      <c r="D44" s="24" t="s">
        <v>25</v>
      </c>
      <c r="E44" s="49" t="s">
        <v>798</v>
      </c>
      <c r="F44" s="49" t="s">
        <v>821</v>
      </c>
      <c r="G44" s="49" t="s">
        <v>813</v>
      </c>
      <c r="H44" s="25">
        <v>100</v>
      </c>
      <c r="I44" s="29">
        <v>3000</v>
      </c>
      <c r="J44" s="17"/>
    </row>
    <row r="45" spans="1:10" x14ac:dyDescent="0.3">
      <c r="A45" s="17"/>
      <c r="B45" s="126">
        <v>42419</v>
      </c>
      <c r="C45" s="24" t="s">
        <v>23</v>
      </c>
      <c r="D45" s="24" t="s">
        <v>25</v>
      </c>
      <c r="E45" s="49" t="s">
        <v>822</v>
      </c>
      <c r="F45" s="49" t="s">
        <v>784</v>
      </c>
      <c r="G45" s="49" t="s">
        <v>623</v>
      </c>
      <c r="H45" s="25">
        <v>100</v>
      </c>
      <c r="I45" s="29">
        <v>7000</v>
      </c>
      <c r="J45" s="17"/>
    </row>
    <row r="46" spans="1:10" x14ac:dyDescent="0.3">
      <c r="A46" s="17"/>
      <c r="B46" s="126">
        <v>42422</v>
      </c>
      <c r="C46" s="24" t="s">
        <v>23</v>
      </c>
      <c r="D46" s="24" t="s">
        <v>25</v>
      </c>
      <c r="E46" s="49" t="s">
        <v>815</v>
      </c>
      <c r="F46" s="49" t="s">
        <v>823</v>
      </c>
      <c r="G46" s="49" t="s">
        <v>742</v>
      </c>
      <c r="H46" s="25">
        <v>100</v>
      </c>
      <c r="I46" s="29">
        <v>-4000</v>
      </c>
      <c r="J46" s="17"/>
    </row>
    <row r="47" spans="1:10" x14ac:dyDescent="0.3">
      <c r="A47" s="17"/>
      <c r="B47" s="126">
        <v>42423</v>
      </c>
      <c r="C47" s="24" t="s">
        <v>23</v>
      </c>
      <c r="D47" s="24" t="s">
        <v>25</v>
      </c>
      <c r="E47" s="49" t="s">
        <v>824</v>
      </c>
      <c r="F47" s="49" t="s">
        <v>784</v>
      </c>
      <c r="G47" s="49" t="s">
        <v>268</v>
      </c>
      <c r="H47" s="25">
        <v>100</v>
      </c>
      <c r="I47" s="29">
        <v>6500</v>
      </c>
      <c r="J47" s="17"/>
    </row>
    <row r="48" spans="1:10" x14ac:dyDescent="0.3">
      <c r="A48" s="17"/>
      <c r="B48" s="126">
        <v>42424</v>
      </c>
      <c r="C48" s="24" t="s">
        <v>23</v>
      </c>
      <c r="D48" s="24" t="s">
        <v>25</v>
      </c>
      <c r="E48" s="49" t="s">
        <v>825</v>
      </c>
      <c r="F48" s="49" t="s">
        <v>826</v>
      </c>
      <c r="G48" s="49" t="s">
        <v>723</v>
      </c>
      <c r="H48" s="25">
        <v>100</v>
      </c>
      <c r="I48" s="29">
        <v>4000</v>
      </c>
      <c r="J48" s="17"/>
    </row>
    <row r="49" spans="1:10" x14ac:dyDescent="0.3">
      <c r="A49" s="17"/>
      <c r="B49" s="126">
        <v>42425</v>
      </c>
      <c r="C49" s="24" t="s">
        <v>16</v>
      </c>
      <c r="D49" s="24" t="s">
        <v>25</v>
      </c>
      <c r="E49" s="49" t="s">
        <v>814</v>
      </c>
      <c r="F49" s="49" t="s">
        <v>827</v>
      </c>
      <c r="G49" s="49" t="s">
        <v>267</v>
      </c>
      <c r="H49" s="25">
        <v>100</v>
      </c>
      <c r="I49" s="29">
        <v>1700</v>
      </c>
      <c r="J49" s="17"/>
    </row>
    <row r="50" spans="1:10" x14ac:dyDescent="0.3">
      <c r="A50" s="17"/>
      <c r="B50" s="126">
        <v>42426</v>
      </c>
      <c r="C50" s="24" t="s">
        <v>23</v>
      </c>
      <c r="D50" s="24" t="s">
        <v>25</v>
      </c>
      <c r="E50" s="49" t="s">
        <v>828</v>
      </c>
      <c r="F50" s="49" t="s">
        <v>829</v>
      </c>
      <c r="G50" s="49" t="s">
        <v>742</v>
      </c>
      <c r="H50" s="25">
        <v>100</v>
      </c>
      <c r="I50" s="29">
        <v>-4000</v>
      </c>
      <c r="J50" s="17"/>
    </row>
    <row r="51" spans="1:10" x14ac:dyDescent="0.3">
      <c r="A51" s="17"/>
      <c r="B51" s="126">
        <v>42429</v>
      </c>
      <c r="C51" s="24" t="s">
        <v>23</v>
      </c>
      <c r="D51" s="24" t="s">
        <v>25</v>
      </c>
      <c r="E51" s="49" t="s">
        <v>830</v>
      </c>
      <c r="F51" s="49" t="s">
        <v>781</v>
      </c>
      <c r="G51" s="49" t="s">
        <v>491</v>
      </c>
      <c r="H51" s="25">
        <v>100</v>
      </c>
      <c r="I51" s="29">
        <v>2000</v>
      </c>
      <c r="J51" s="17"/>
    </row>
    <row r="52" spans="1:10" x14ac:dyDescent="0.3">
      <c r="A52" s="17"/>
      <c r="B52" s="71"/>
      <c r="C52" s="24"/>
      <c r="D52" s="24"/>
      <c r="E52" s="49"/>
      <c r="F52" s="49"/>
      <c r="G52" s="49"/>
      <c r="H52" s="25"/>
      <c r="I52" s="29"/>
      <c r="J52" s="17"/>
    </row>
    <row r="53" spans="1:10" ht="17.399999999999999" x14ac:dyDescent="0.3">
      <c r="A53" s="17"/>
      <c r="B53" s="71"/>
      <c r="C53" s="97"/>
      <c r="D53" s="24"/>
      <c r="E53" s="97"/>
      <c r="F53" s="97"/>
      <c r="G53" s="97"/>
      <c r="H53" s="25"/>
      <c r="I53" s="106">
        <v>68900</v>
      </c>
      <c r="J53" s="17"/>
    </row>
    <row r="54" spans="1:10" x14ac:dyDescent="0.3">
      <c r="A54" s="17"/>
      <c r="B54" s="71"/>
      <c r="C54" s="97"/>
      <c r="D54" s="24"/>
      <c r="E54" s="97"/>
      <c r="F54" s="97"/>
      <c r="G54" s="97"/>
      <c r="H54" s="25"/>
      <c r="I54" s="69"/>
      <c r="J54" s="17"/>
    </row>
    <row r="55" spans="1:10" x14ac:dyDescent="0.3">
      <c r="A55" s="17"/>
      <c r="B55" s="71"/>
      <c r="C55" s="29"/>
      <c r="D55" s="36"/>
      <c r="E55" s="29"/>
      <c r="F55" s="29"/>
      <c r="G55" s="29"/>
      <c r="H55" s="29"/>
      <c r="I55" s="29"/>
      <c r="J55" s="17"/>
    </row>
    <row r="56" spans="1:10" ht="15.6" x14ac:dyDescent="0.3">
      <c r="A56" s="17"/>
      <c r="B56" s="130" t="s">
        <v>788</v>
      </c>
      <c r="C56" s="62"/>
      <c r="D56" s="63"/>
      <c r="E56" s="62"/>
      <c r="F56" s="62"/>
      <c r="G56" s="62"/>
      <c r="H56" s="62"/>
      <c r="I56" s="64"/>
      <c r="J56" s="17"/>
    </row>
    <row r="57" spans="1:10" x14ac:dyDescent="0.3">
      <c r="A57" s="17"/>
      <c r="B57" s="126">
        <v>42401</v>
      </c>
      <c r="C57" s="24" t="s">
        <v>140</v>
      </c>
      <c r="D57" s="24" t="s">
        <v>56</v>
      </c>
      <c r="E57" s="29">
        <v>102.8</v>
      </c>
      <c r="F57" s="29">
        <v>103.8</v>
      </c>
      <c r="G57" s="29">
        <v>-1</v>
      </c>
      <c r="H57" s="29">
        <v>5000</v>
      </c>
      <c r="I57" s="29">
        <v>-5000</v>
      </c>
      <c r="J57" s="17"/>
    </row>
    <row r="58" spans="1:10" x14ac:dyDescent="0.3">
      <c r="A58" s="17"/>
      <c r="B58" s="126">
        <v>42402</v>
      </c>
      <c r="C58" s="24" t="s">
        <v>16</v>
      </c>
      <c r="D58" s="24" t="s">
        <v>28</v>
      </c>
      <c r="E58" s="29">
        <v>112.4</v>
      </c>
      <c r="F58" s="29">
        <v>113.9</v>
      </c>
      <c r="G58" s="29">
        <v>1.5</v>
      </c>
      <c r="H58" s="29">
        <v>5000</v>
      </c>
      <c r="I58" s="29">
        <v>7500</v>
      </c>
      <c r="J58" s="17"/>
    </row>
    <row r="59" spans="1:10" x14ac:dyDescent="0.3">
      <c r="A59" s="17"/>
      <c r="B59" s="126">
        <v>42403</v>
      </c>
      <c r="C59" s="24" t="s">
        <v>140</v>
      </c>
      <c r="D59" s="24" t="s">
        <v>27</v>
      </c>
      <c r="E59" s="29">
        <v>120</v>
      </c>
      <c r="F59" s="29">
        <v>121</v>
      </c>
      <c r="G59" s="29">
        <v>-1</v>
      </c>
      <c r="H59" s="29">
        <v>5000</v>
      </c>
      <c r="I59" s="29">
        <v>-5000</v>
      </c>
      <c r="J59" s="131"/>
    </row>
    <row r="60" spans="1:10" x14ac:dyDescent="0.3">
      <c r="A60" s="131"/>
      <c r="B60" s="126">
        <v>42404</v>
      </c>
      <c r="C60" s="24" t="s">
        <v>140</v>
      </c>
      <c r="D60" s="24" t="s">
        <v>28</v>
      </c>
      <c r="E60" s="29">
        <v>116.9</v>
      </c>
      <c r="F60" s="29">
        <v>115.4</v>
      </c>
      <c r="G60" s="29">
        <v>1.5</v>
      </c>
      <c r="H60" s="29">
        <v>5000</v>
      </c>
      <c r="I60" s="29">
        <v>7500</v>
      </c>
      <c r="J60" s="131"/>
    </row>
    <row r="61" spans="1:10" x14ac:dyDescent="0.3">
      <c r="A61" s="131"/>
      <c r="B61" s="126">
        <v>42405</v>
      </c>
      <c r="C61" s="24" t="s">
        <v>140</v>
      </c>
      <c r="D61" s="24" t="s">
        <v>56</v>
      </c>
      <c r="E61" s="29">
        <v>104</v>
      </c>
      <c r="F61" s="29">
        <v>102.5</v>
      </c>
      <c r="G61" s="29">
        <v>1.5</v>
      </c>
      <c r="H61" s="29">
        <v>5000</v>
      </c>
      <c r="I61" s="29">
        <v>7500</v>
      </c>
      <c r="J61" s="131"/>
    </row>
    <row r="62" spans="1:10" x14ac:dyDescent="0.3">
      <c r="A62" s="131"/>
      <c r="B62" s="126">
        <v>42408</v>
      </c>
      <c r="C62" s="24" t="s">
        <v>140</v>
      </c>
      <c r="D62" s="24" t="s">
        <v>28</v>
      </c>
      <c r="E62" s="29">
        <v>113.3</v>
      </c>
      <c r="F62" s="29">
        <v>112.8</v>
      </c>
      <c r="G62" s="29">
        <v>0.5</v>
      </c>
      <c r="H62" s="29">
        <v>5000</v>
      </c>
      <c r="I62" s="29">
        <v>2500</v>
      </c>
      <c r="J62" s="131"/>
    </row>
    <row r="63" spans="1:10" x14ac:dyDescent="0.3">
      <c r="A63" s="131"/>
      <c r="B63" s="126">
        <v>42409</v>
      </c>
      <c r="C63" s="108" t="s">
        <v>140</v>
      </c>
      <c r="D63" s="108" t="s">
        <v>27</v>
      </c>
      <c r="E63" s="110">
        <v>124.8</v>
      </c>
      <c r="F63" s="110">
        <v>125.8</v>
      </c>
      <c r="G63" s="110">
        <v>1</v>
      </c>
      <c r="H63" s="110">
        <v>5000</v>
      </c>
      <c r="I63" s="29">
        <v>5000</v>
      </c>
      <c r="J63" s="131"/>
    </row>
    <row r="64" spans="1:10" x14ac:dyDescent="0.3">
      <c r="A64" s="131"/>
      <c r="B64" s="126">
        <v>42410</v>
      </c>
      <c r="C64" s="108" t="s">
        <v>140</v>
      </c>
      <c r="D64" s="108" t="s">
        <v>28</v>
      </c>
      <c r="E64" s="110">
        <v>113.9</v>
      </c>
      <c r="F64" s="110">
        <v>114.9</v>
      </c>
      <c r="G64" s="110">
        <v>-1</v>
      </c>
      <c r="H64" s="110">
        <v>5000</v>
      </c>
      <c r="I64" s="29">
        <v>-5000</v>
      </c>
      <c r="J64" s="131"/>
    </row>
    <row r="65" spans="1:10" x14ac:dyDescent="0.3">
      <c r="A65" s="131"/>
      <c r="B65" s="126">
        <v>42411</v>
      </c>
      <c r="C65" s="108" t="s">
        <v>140</v>
      </c>
      <c r="D65" s="108" t="s">
        <v>56</v>
      </c>
      <c r="E65" s="110">
        <v>102</v>
      </c>
      <c r="F65" s="110">
        <v>101.5</v>
      </c>
      <c r="G65" s="110">
        <v>0.5</v>
      </c>
      <c r="H65" s="110">
        <v>5000</v>
      </c>
      <c r="I65" s="29">
        <v>2500</v>
      </c>
      <c r="J65" s="131"/>
    </row>
    <row r="66" spans="1:10" x14ac:dyDescent="0.3">
      <c r="A66" s="131"/>
      <c r="B66" s="126">
        <v>42412</v>
      </c>
      <c r="C66" s="108" t="s">
        <v>140</v>
      </c>
      <c r="D66" s="108" t="s">
        <v>28</v>
      </c>
      <c r="E66" s="110">
        <v>117.1</v>
      </c>
      <c r="F66" s="110">
        <v>116.6</v>
      </c>
      <c r="G66" s="110">
        <v>0.5</v>
      </c>
      <c r="H66" s="110">
        <v>5000</v>
      </c>
      <c r="I66" s="29">
        <v>2500</v>
      </c>
      <c r="J66" s="131"/>
    </row>
    <row r="67" spans="1:10" x14ac:dyDescent="0.3">
      <c r="A67" s="131"/>
      <c r="B67" s="126">
        <v>42415</v>
      </c>
      <c r="C67" s="108" t="s">
        <v>140</v>
      </c>
      <c r="D67" s="108" t="s">
        <v>28</v>
      </c>
      <c r="E67" s="110">
        <v>116.5</v>
      </c>
      <c r="F67" s="110">
        <v>115</v>
      </c>
      <c r="G67" s="110">
        <v>1.5</v>
      </c>
      <c r="H67" s="110">
        <v>5000</v>
      </c>
      <c r="I67" s="29">
        <v>7500</v>
      </c>
      <c r="J67" s="131"/>
    </row>
    <row r="68" spans="1:10" x14ac:dyDescent="0.3">
      <c r="A68" s="131"/>
      <c r="B68" s="126">
        <v>42416</v>
      </c>
      <c r="C68" s="24" t="s">
        <v>140</v>
      </c>
      <c r="D68" s="24" t="s">
        <v>28</v>
      </c>
      <c r="E68" s="29">
        <v>115.3</v>
      </c>
      <c r="F68" s="29">
        <v>113.8</v>
      </c>
      <c r="G68" s="29">
        <v>1.5</v>
      </c>
      <c r="H68" s="29">
        <v>5000</v>
      </c>
      <c r="I68" s="29">
        <v>7500</v>
      </c>
      <c r="J68" s="131"/>
    </row>
    <row r="69" spans="1:10" x14ac:dyDescent="0.3">
      <c r="A69" s="131"/>
      <c r="B69" s="126">
        <v>42417</v>
      </c>
      <c r="C69" s="24" t="s">
        <v>140</v>
      </c>
      <c r="D69" s="24" t="s">
        <v>28</v>
      </c>
      <c r="E69" s="110">
        <v>113</v>
      </c>
      <c r="F69" s="110">
        <v>114</v>
      </c>
      <c r="G69" s="29">
        <v>-1</v>
      </c>
      <c r="H69" s="29">
        <v>5000</v>
      </c>
      <c r="I69" s="29">
        <v>-5000</v>
      </c>
      <c r="J69" s="131"/>
    </row>
    <row r="70" spans="1:10" x14ac:dyDescent="0.3">
      <c r="A70" s="131"/>
      <c r="B70" s="126">
        <v>42418</v>
      </c>
      <c r="C70" s="24" t="s">
        <v>140</v>
      </c>
      <c r="D70" s="24" t="s">
        <v>56</v>
      </c>
      <c r="E70" s="110">
        <v>104.75</v>
      </c>
      <c r="F70" s="26">
        <v>104.25</v>
      </c>
      <c r="G70" s="29">
        <v>0.5</v>
      </c>
      <c r="H70" s="29">
        <v>5000</v>
      </c>
      <c r="I70" s="29">
        <v>2500</v>
      </c>
      <c r="J70" s="131"/>
    </row>
    <row r="71" spans="1:10" x14ac:dyDescent="0.3">
      <c r="A71" s="131"/>
      <c r="B71" s="126">
        <v>42419</v>
      </c>
      <c r="C71" s="24" t="s">
        <v>140</v>
      </c>
      <c r="D71" s="24" t="s">
        <v>29</v>
      </c>
      <c r="E71" s="29">
        <v>317</v>
      </c>
      <c r="F71" s="29">
        <v>315</v>
      </c>
      <c r="G71" s="29">
        <v>2</v>
      </c>
      <c r="H71" s="29">
        <v>1000</v>
      </c>
      <c r="I71" s="29">
        <v>2000</v>
      </c>
      <c r="J71" s="131"/>
    </row>
    <row r="72" spans="1:10" x14ac:dyDescent="0.3">
      <c r="A72" s="131"/>
      <c r="B72" s="126">
        <v>42422</v>
      </c>
      <c r="C72" s="24" t="s">
        <v>140</v>
      </c>
      <c r="D72" s="24" t="s">
        <v>56</v>
      </c>
      <c r="E72" s="26">
        <v>107.3</v>
      </c>
      <c r="F72" s="26">
        <v>108.3</v>
      </c>
      <c r="G72" s="29">
        <v>-1</v>
      </c>
      <c r="H72" s="29">
        <v>5000</v>
      </c>
      <c r="I72" s="29">
        <v>-5000</v>
      </c>
      <c r="J72" s="131"/>
    </row>
    <row r="73" spans="1:10" x14ac:dyDescent="0.3">
      <c r="A73" s="131"/>
      <c r="B73" s="126">
        <v>42423</v>
      </c>
      <c r="C73" s="24" t="s">
        <v>140</v>
      </c>
      <c r="D73" s="75" t="s">
        <v>56</v>
      </c>
      <c r="E73" s="110">
        <v>108.8</v>
      </c>
      <c r="F73" s="29">
        <v>107.3</v>
      </c>
      <c r="G73" s="29">
        <v>1.5</v>
      </c>
      <c r="H73" s="29">
        <v>5000</v>
      </c>
      <c r="I73" s="29">
        <v>7500</v>
      </c>
      <c r="J73" s="131"/>
    </row>
    <row r="74" spans="1:10" x14ac:dyDescent="0.3">
      <c r="A74" s="131"/>
      <c r="B74" s="126">
        <v>42424</v>
      </c>
      <c r="C74" s="24" t="s">
        <v>140</v>
      </c>
      <c r="D74" s="24" t="s">
        <v>56</v>
      </c>
      <c r="E74" s="26">
        <v>107</v>
      </c>
      <c r="F74" s="110">
        <v>106.5</v>
      </c>
      <c r="G74" s="110">
        <v>0.5</v>
      </c>
      <c r="H74" s="29">
        <v>5000</v>
      </c>
      <c r="I74" s="29">
        <v>2500</v>
      </c>
      <c r="J74" s="131"/>
    </row>
    <row r="75" spans="1:10" x14ac:dyDescent="0.3">
      <c r="A75" s="131"/>
      <c r="B75" s="126">
        <v>42425</v>
      </c>
      <c r="C75" s="24" t="s">
        <v>140</v>
      </c>
      <c r="D75" s="24" t="s">
        <v>56</v>
      </c>
      <c r="E75" s="26">
        <v>108.3</v>
      </c>
      <c r="F75" s="110">
        <v>109.3</v>
      </c>
      <c r="G75" s="110">
        <v>-1</v>
      </c>
      <c r="H75" s="29">
        <v>5000</v>
      </c>
      <c r="I75" s="29">
        <v>-5000</v>
      </c>
      <c r="J75" s="131"/>
    </row>
    <row r="76" spans="1:10" x14ac:dyDescent="0.3">
      <c r="A76" s="131"/>
      <c r="B76" s="126">
        <v>42426</v>
      </c>
      <c r="C76" s="24" t="s">
        <v>16</v>
      </c>
      <c r="D76" s="24" t="s">
        <v>56</v>
      </c>
      <c r="E76" s="26">
        <v>109.3</v>
      </c>
      <c r="F76" s="110">
        <v>108.3</v>
      </c>
      <c r="G76" s="110">
        <v>-1</v>
      </c>
      <c r="H76" s="29">
        <v>5000</v>
      </c>
      <c r="I76" s="29">
        <v>-5000</v>
      </c>
      <c r="J76" s="131"/>
    </row>
    <row r="77" spans="1:10" x14ac:dyDescent="0.3">
      <c r="A77" s="131"/>
      <c r="B77" s="126">
        <v>42429</v>
      </c>
      <c r="C77" s="24" t="s">
        <v>140</v>
      </c>
      <c r="D77" s="24" t="s">
        <v>56</v>
      </c>
      <c r="E77" s="26">
        <v>108.6</v>
      </c>
      <c r="F77" s="110">
        <v>109.6</v>
      </c>
      <c r="G77" s="110">
        <v>-1</v>
      </c>
      <c r="H77" s="29">
        <v>5000</v>
      </c>
      <c r="I77" s="29">
        <v>-5000</v>
      </c>
      <c r="J77" s="131"/>
    </row>
    <row r="78" spans="1:10" x14ac:dyDescent="0.3">
      <c r="A78" s="131"/>
      <c r="B78" s="71"/>
      <c r="C78" s="24"/>
      <c r="D78" s="24"/>
      <c r="E78" s="29"/>
      <c r="F78" s="110"/>
      <c r="G78" s="110"/>
      <c r="H78" s="29"/>
      <c r="I78" s="29"/>
      <c r="J78" s="131"/>
    </row>
    <row r="79" spans="1:10" ht="17.399999999999999" x14ac:dyDescent="0.3">
      <c r="A79" s="131"/>
      <c r="B79" s="71"/>
      <c r="H79" s="29"/>
      <c r="I79" s="107">
        <v>24500</v>
      </c>
      <c r="J79" s="131"/>
    </row>
    <row r="80" spans="1:10" ht="17.399999999999999" x14ac:dyDescent="0.3">
      <c r="A80" s="131"/>
      <c r="B80" s="71"/>
      <c r="H80" s="29"/>
      <c r="I80" s="106"/>
      <c r="J80" s="131"/>
    </row>
    <row r="81" spans="1:10" x14ac:dyDescent="0.3">
      <c r="A81" s="131"/>
      <c r="H81" s="29"/>
      <c r="I81" s="69"/>
      <c r="J81" s="131"/>
    </row>
    <row r="82" spans="1:10" ht="18" x14ac:dyDescent="0.35">
      <c r="A82" s="131"/>
      <c r="I82" s="105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600-000000000000}"/>
  </hyperlinks>
  <pageMargins left="0.7" right="0.7" top="0.75" bottom="0.75" header="0.3" footer="0.3"/>
  <pageSetup paperSize="9" orientation="portrait" horizontalDpi="300" verticalDpi="300" r:id="rId1"/>
  <ignoredErrors>
    <ignoredError sqref="E31:G5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9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33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22">
        <v>41334</v>
      </c>
      <c r="C5" s="23" t="s">
        <v>16</v>
      </c>
      <c r="D5" s="24" t="s">
        <v>24</v>
      </c>
      <c r="E5" s="25">
        <v>29520</v>
      </c>
      <c r="F5" s="26">
        <v>29490</v>
      </c>
      <c r="G5" s="25">
        <v>100</v>
      </c>
      <c r="H5" s="29">
        <v>-3000</v>
      </c>
      <c r="I5" s="20"/>
    </row>
    <row r="6" spans="1:10" x14ac:dyDescent="0.3">
      <c r="A6" s="20"/>
      <c r="B6" s="22">
        <v>41337</v>
      </c>
      <c r="C6" s="23" t="s">
        <v>23</v>
      </c>
      <c r="D6" s="24" t="s">
        <v>22</v>
      </c>
      <c r="E6" s="25">
        <v>54950</v>
      </c>
      <c r="F6" s="26">
        <v>54600</v>
      </c>
      <c r="G6" s="25">
        <v>30</v>
      </c>
      <c r="H6" s="29">
        <v>10500</v>
      </c>
      <c r="I6" s="20"/>
    </row>
    <row r="7" spans="1:10" x14ac:dyDescent="0.3">
      <c r="A7" s="20"/>
      <c r="B7" s="22">
        <v>41338</v>
      </c>
      <c r="C7" s="23" t="s">
        <v>23</v>
      </c>
      <c r="D7" s="24" t="s">
        <v>24</v>
      </c>
      <c r="E7" s="25">
        <v>29640</v>
      </c>
      <c r="F7" s="26">
        <v>29585</v>
      </c>
      <c r="G7" s="25">
        <v>100</v>
      </c>
      <c r="H7" s="29">
        <v>5500</v>
      </c>
      <c r="I7" s="20"/>
    </row>
    <row r="8" spans="1:10" x14ac:dyDescent="0.3">
      <c r="A8" s="20"/>
      <c r="B8" s="22">
        <v>41339</v>
      </c>
      <c r="C8" s="23" t="s">
        <v>23</v>
      </c>
      <c r="D8" s="24" t="s">
        <v>22</v>
      </c>
      <c r="E8" s="25">
        <v>54750</v>
      </c>
      <c r="F8" s="26">
        <v>54555</v>
      </c>
      <c r="G8" s="25">
        <v>30</v>
      </c>
      <c r="H8" s="29">
        <v>5850</v>
      </c>
      <c r="I8" s="20"/>
    </row>
    <row r="9" spans="1:10" x14ac:dyDescent="0.3">
      <c r="A9" s="20"/>
      <c r="B9" s="22">
        <v>41340</v>
      </c>
      <c r="C9" s="23" t="s">
        <v>23</v>
      </c>
      <c r="D9" s="24" t="s">
        <v>24</v>
      </c>
      <c r="E9" s="25">
        <v>29610</v>
      </c>
      <c r="F9" s="26">
        <v>29520</v>
      </c>
      <c r="G9" s="25">
        <v>100</v>
      </c>
      <c r="H9" s="29">
        <v>9000</v>
      </c>
      <c r="I9" s="20"/>
    </row>
    <row r="10" spans="1:10" x14ac:dyDescent="0.3">
      <c r="A10" s="20"/>
      <c r="B10" s="22">
        <v>41341</v>
      </c>
      <c r="C10" s="23" t="s">
        <v>23</v>
      </c>
      <c r="D10" s="24" t="s">
        <v>24</v>
      </c>
      <c r="E10" s="25">
        <v>29380</v>
      </c>
      <c r="F10" s="26">
        <v>29335</v>
      </c>
      <c r="G10" s="25">
        <v>100</v>
      </c>
      <c r="H10" s="29">
        <v>4500</v>
      </c>
      <c r="I10" s="20"/>
    </row>
    <row r="11" spans="1:10" x14ac:dyDescent="0.3">
      <c r="A11" s="20"/>
      <c r="B11" s="22">
        <v>41344</v>
      </c>
      <c r="C11" s="23" t="s">
        <v>23</v>
      </c>
      <c r="D11" s="24" t="s">
        <v>22</v>
      </c>
      <c r="E11" s="25">
        <v>54825</v>
      </c>
      <c r="F11" s="26">
        <v>54440</v>
      </c>
      <c r="G11" s="25">
        <v>30</v>
      </c>
      <c r="H11" s="29">
        <v>11550</v>
      </c>
      <c r="I11" s="20"/>
    </row>
    <row r="12" spans="1:10" x14ac:dyDescent="0.3">
      <c r="A12" s="20"/>
      <c r="B12" s="22">
        <v>41345</v>
      </c>
      <c r="C12" s="23" t="s">
        <v>16</v>
      </c>
      <c r="D12" s="24" t="s">
        <v>24</v>
      </c>
      <c r="E12" s="25">
        <v>29360</v>
      </c>
      <c r="F12" s="26">
        <v>29500</v>
      </c>
      <c r="G12" s="25">
        <v>100</v>
      </c>
      <c r="H12" s="29">
        <v>14000</v>
      </c>
      <c r="I12" s="20"/>
    </row>
    <row r="13" spans="1:10" x14ac:dyDescent="0.3">
      <c r="A13" s="20"/>
      <c r="B13" s="22">
        <v>41346</v>
      </c>
      <c r="C13" s="23" t="s">
        <v>23</v>
      </c>
      <c r="D13" s="24" t="s">
        <v>24</v>
      </c>
      <c r="E13" s="25">
        <v>29450</v>
      </c>
      <c r="F13" s="26">
        <v>29470</v>
      </c>
      <c r="G13" s="25">
        <v>100</v>
      </c>
      <c r="H13" s="29">
        <v>-2000</v>
      </c>
      <c r="I13" s="20"/>
    </row>
    <row r="14" spans="1:10" x14ac:dyDescent="0.3">
      <c r="A14" s="20"/>
      <c r="B14" s="22">
        <v>41347</v>
      </c>
      <c r="C14" s="23" t="s">
        <v>23</v>
      </c>
      <c r="D14" s="24" t="s">
        <v>22</v>
      </c>
      <c r="E14" s="25">
        <v>54550</v>
      </c>
      <c r="F14" s="26">
        <v>54210</v>
      </c>
      <c r="G14" s="25">
        <v>30</v>
      </c>
      <c r="H14" s="29">
        <v>10200</v>
      </c>
      <c r="I14" s="20"/>
    </row>
    <row r="15" spans="1:10" x14ac:dyDescent="0.3">
      <c r="A15" s="20"/>
      <c r="B15" s="22">
        <v>41348</v>
      </c>
      <c r="C15" s="23" t="s">
        <v>16</v>
      </c>
      <c r="D15" s="24" t="s">
        <v>24</v>
      </c>
      <c r="E15" s="25">
        <v>29340</v>
      </c>
      <c r="F15" s="26">
        <v>29395</v>
      </c>
      <c r="G15" s="25">
        <v>100</v>
      </c>
      <c r="H15" s="29">
        <v>5500</v>
      </c>
      <c r="I15" s="20"/>
    </row>
    <row r="16" spans="1:10" x14ac:dyDescent="0.3">
      <c r="A16" s="20"/>
      <c r="B16" s="22">
        <v>41351</v>
      </c>
      <c r="C16" s="23" t="s">
        <v>23</v>
      </c>
      <c r="D16" s="24" t="s">
        <v>22</v>
      </c>
      <c r="E16" s="25">
        <v>54275</v>
      </c>
      <c r="F16" s="26">
        <v>54121</v>
      </c>
      <c r="G16" s="25">
        <v>30</v>
      </c>
      <c r="H16" s="29">
        <v>4620</v>
      </c>
      <c r="I16" s="20"/>
    </row>
    <row r="17" spans="1:9" x14ac:dyDescent="0.3">
      <c r="A17" s="20"/>
      <c r="B17" s="22">
        <v>41352</v>
      </c>
      <c r="C17" s="23" t="s">
        <v>16</v>
      </c>
      <c r="D17" s="24" t="s">
        <v>24</v>
      </c>
      <c r="E17" s="25">
        <v>29500</v>
      </c>
      <c r="F17" s="26">
        <v>29650</v>
      </c>
      <c r="G17" s="25">
        <v>100</v>
      </c>
      <c r="H17" s="29">
        <v>15000</v>
      </c>
      <c r="I17" s="20"/>
    </row>
    <row r="18" spans="1:9" x14ac:dyDescent="0.3">
      <c r="A18" s="20"/>
      <c r="B18" s="22">
        <v>41353</v>
      </c>
      <c r="C18" s="23" t="s">
        <v>23</v>
      </c>
      <c r="D18" s="24" t="s">
        <v>22</v>
      </c>
      <c r="E18" s="25">
        <v>54800</v>
      </c>
      <c r="F18" s="26">
        <v>54280</v>
      </c>
      <c r="G18" s="25">
        <v>30</v>
      </c>
      <c r="H18" s="29">
        <v>15600</v>
      </c>
      <c r="I18" s="20"/>
    </row>
    <row r="19" spans="1:9" x14ac:dyDescent="0.3">
      <c r="A19" s="20"/>
      <c r="B19" s="22">
        <v>41354</v>
      </c>
      <c r="C19" s="23" t="s">
        <v>23</v>
      </c>
      <c r="D19" s="24" t="s">
        <v>24</v>
      </c>
      <c r="E19" s="25">
        <v>29665</v>
      </c>
      <c r="F19" s="26">
        <v>29725</v>
      </c>
      <c r="G19" s="25">
        <v>100</v>
      </c>
      <c r="H19" s="29">
        <v>-6000</v>
      </c>
      <c r="I19" s="20"/>
    </row>
    <row r="20" spans="1:9" x14ac:dyDescent="0.3">
      <c r="A20" s="20"/>
      <c r="B20" s="22">
        <v>41355</v>
      </c>
      <c r="C20" s="23" t="s">
        <v>16</v>
      </c>
      <c r="D20" s="24" t="s">
        <v>24</v>
      </c>
      <c r="E20" s="25">
        <v>29740</v>
      </c>
      <c r="F20" s="26">
        <v>29800</v>
      </c>
      <c r="G20" s="25">
        <v>100</v>
      </c>
      <c r="H20" s="29">
        <v>6000</v>
      </c>
      <c r="I20" s="20"/>
    </row>
    <row r="21" spans="1:9" x14ac:dyDescent="0.3">
      <c r="A21" s="20"/>
      <c r="B21" s="22">
        <v>41358</v>
      </c>
      <c r="C21" s="23" t="s">
        <v>23</v>
      </c>
      <c r="D21" s="24" t="s">
        <v>24</v>
      </c>
      <c r="E21" s="25">
        <v>29620</v>
      </c>
      <c r="F21" s="26">
        <v>29535</v>
      </c>
      <c r="G21" s="25">
        <v>100</v>
      </c>
      <c r="H21" s="29">
        <v>8500</v>
      </c>
      <c r="I21" s="20"/>
    </row>
    <row r="22" spans="1:9" x14ac:dyDescent="0.3">
      <c r="A22" s="20"/>
      <c r="B22" s="22">
        <v>41359</v>
      </c>
      <c r="C22" s="23" t="s">
        <v>23</v>
      </c>
      <c r="D22" s="24" t="s">
        <v>24</v>
      </c>
      <c r="E22" s="25">
        <v>29520</v>
      </c>
      <c r="F22" s="26">
        <v>29435</v>
      </c>
      <c r="G22" s="25">
        <v>100</v>
      </c>
      <c r="H22" s="29">
        <v>8500</v>
      </c>
      <c r="I22" s="20"/>
    </row>
    <row r="23" spans="1:9" x14ac:dyDescent="0.3">
      <c r="A23" s="20"/>
      <c r="B23" s="22">
        <v>41360</v>
      </c>
      <c r="C23" s="23" t="s">
        <v>23</v>
      </c>
      <c r="D23" s="24" t="s">
        <v>24</v>
      </c>
      <c r="E23" s="25">
        <v>29500</v>
      </c>
      <c r="F23" s="26">
        <v>29560</v>
      </c>
      <c r="G23" s="25">
        <v>100</v>
      </c>
      <c r="H23" s="29">
        <v>-6000</v>
      </c>
      <c r="I23" s="20"/>
    </row>
    <row r="24" spans="1:9" x14ac:dyDescent="0.3">
      <c r="A24" s="20"/>
      <c r="B24" s="22">
        <v>41361</v>
      </c>
      <c r="C24" s="23" t="s">
        <v>23</v>
      </c>
      <c r="D24" s="24" t="s">
        <v>22</v>
      </c>
      <c r="E24" s="25">
        <v>53970</v>
      </c>
      <c r="F24" s="26">
        <v>53890</v>
      </c>
      <c r="G24" s="25">
        <v>30</v>
      </c>
      <c r="H24" s="29">
        <v>2400</v>
      </c>
      <c r="I24" s="20"/>
    </row>
    <row r="25" spans="1:9" x14ac:dyDescent="0.3">
      <c r="A25" s="20"/>
      <c r="B25" s="27"/>
      <c r="C25" s="27"/>
      <c r="D25" s="27"/>
      <c r="E25" s="27"/>
      <c r="F25" s="27"/>
      <c r="G25" s="27"/>
      <c r="H25" s="30">
        <v>120220</v>
      </c>
      <c r="I25" s="20"/>
    </row>
    <row r="26" spans="1:9" x14ac:dyDescent="0.3">
      <c r="A26" s="20"/>
      <c r="B26" s="18"/>
      <c r="C26" s="18"/>
      <c r="D26" s="18"/>
      <c r="E26" s="18"/>
      <c r="F26" s="18"/>
      <c r="G26" s="18"/>
      <c r="H26" s="15"/>
      <c r="I26" s="20"/>
    </row>
    <row r="27" spans="1:9" x14ac:dyDescent="0.3">
      <c r="A27" s="20"/>
      <c r="B27" s="18"/>
      <c r="C27" s="18"/>
      <c r="D27" s="18"/>
      <c r="E27" s="18"/>
      <c r="F27" s="18"/>
      <c r="G27" s="18"/>
      <c r="H27" s="18"/>
      <c r="I27" s="20"/>
    </row>
    <row r="28" spans="1:9" ht="15.6" x14ac:dyDescent="0.3">
      <c r="A28" s="20"/>
      <c r="B28" s="295" t="s">
        <v>42</v>
      </c>
      <c r="C28" s="295"/>
      <c r="D28" s="295"/>
      <c r="E28" s="295"/>
      <c r="F28" s="295"/>
      <c r="G28" s="295"/>
      <c r="H28" s="295"/>
      <c r="I28" s="20"/>
    </row>
    <row r="29" spans="1:9" x14ac:dyDescent="0.3">
      <c r="A29" s="20"/>
      <c r="B29" s="22">
        <v>41334</v>
      </c>
      <c r="C29" s="23" t="s">
        <v>23</v>
      </c>
      <c r="D29" s="24" t="s">
        <v>25</v>
      </c>
      <c r="E29" s="25">
        <v>5030</v>
      </c>
      <c r="F29" s="26">
        <v>5015</v>
      </c>
      <c r="G29" s="25">
        <v>100</v>
      </c>
      <c r="H29" s="27">
        <v>1500</v>
      </c>
      <c r="I29" s="20"/>
    </row>
    <row r="30" spans="1:9" x14ac:dyDescent="0.3">
      <c r="A30" s="20"/>
      <c r="B30" s="22">
        <v>41337</v>
      </c>
      <c r="C30" s="23" t="s">
        <v>23</v>
      </c>
      <c r="D30" s="24" t="s">
        <v>25</v>
      </c>
      <c r="E30" s="25">
        <v>4990</v>
      </c>
      <c r="F30" s="26">
        <v>4954</v>
      </c>
      <c r="G30" s="25">
        <v>100</v>
      </c>
      <c r="H30" s="27">
        <v>3600</v>
      </c>
      <c r="I30" s="20"/>
    </row>
    <row r="31" spans="1:9" x14ac:dyDescent="0.3">
      <c r="A31" s="20"/>
      <c r="B31" s="22">
        <v>41338</v>
      </c>
      <c r="C31" s="23" t="s">
        <v>23</v>
      </c>
      <c r="D31" s="24" t="s">
        <v>25</v>
      </c>
      <c r="E31" s="25">
        <v>4965</v>
      </c>
      <c r="F31" s="26">
        <v>4990</v>
      </c>
      <c r="G31" s="25">
        <v>100</v>
      </c>
      <c r="H31" s="27">
        <v>-2500</v>
      </c>
      <c r="I31" s="20"/>
    </row>
    <row r="32" spans="1:9" x14ac:dyDescent="0.3">
      <c r="A32" s="20"/>
      <c r="B32" s="22">
        <v>41339</v>
      </c>
      <c r="C32" s="23" t="s">
        <v>23</v>
      </c>
      <c r="D32" s="23" t="s">
        <v>26</v>
      </c>
      <c r="E32" s="26">
        <v>195.5</v>
      </c>
      <c r="F32" s="26">
        <v>193.2</v>
      </c>
      <c r="G32" s="25">
        <v>1250</v>
      </c>
      <c r="H32" s="27">
        <v>2875.0000000000141</v>
      </c>
      <c r="I32" s="20"/>
    </row>
    <row r="33" spans="1:9" x14ac:dyDescent="0.3">
      <c r="A33" s="20"/>
      <c r="B33" s="22">
        <v>41340</v>
      </c>
      <c r="C33" s="23" t="s">
        <v>23</v>
      </c>
      <c r="D33" s="24" t="s">
        <v>25</v>
      </c>
      <c r="E33" s="26">
        <v>4955</v>
      </c>
      <c r="F33" s="26">
        <v>4975</v>
      </c>
      <c r="G33" s="25">
        <v>100</v>
      </c>
      <c r="H33" s="27">
        <v>-2000</v>
      </c>
      <c r="I33" s="20"/>
    </row>
    <row r="34" spans="1:9" x14ac:dyDescent="0.3">
      <c r="A34" s="20"/>
      <c r="B34" s="22">
        <v>41341</v>
      </c>
      <c r="C34" s="23" t="s">
        <v>23</v>
      </c>
      <c r="D34" s="24" t="s">
        <v>25</v>
      </c>
      <c r="E34" s="25">
        <v>4990</v>
      </c>
      <c r="F34" s="26">
        <v>4986</v>
      </c>
      <c r="G34" s="25">
        <v>100</v>
      </c>
      <c r="H34" s="27">
        <v>400</v>
      </c>
      <c r="I34" s="20"/>
    </row>
    <row r="35" spans="1:9" x14ac:dyDescent="0.3">
      <c r="A35" s="20"/>
      <c r="B35" s="22">
        <v>41344</v>
      </c>
      <c r="C35" s="23" t="s">
        <v>16</v>
      </c>
      <c r="D35" s="24" t="s">
        <v>25</v>
      </c>
      <c r="E35" s="26">
        <v>4998</v>
      </c>
      <c r="F35" s="26">
        <v>4978</v>
      </c>
      <c r="G35" s="25">
        <v>100</v>
      </c>
      <c r="H35" s="27">
        <v>-2000</v>
      </c>
      <c r="I35" s="20"/>
    </row>
    <row r="36" spans="1:9" x14ac:dyDescent="0.3">
      <c r="A36" s="20"/>
      <c r="B36" s="22">
        <v>41345</v>
      </c>
      <c r="C36" s="23" t="s">
        <v>16</v>
      </c>
      <c r="D36" s="24" t="s">
        <v>25</v>
      </c>
      <c r="E36" s="25">
        <v>4990</v>
      </c>
      <c r="F36" s="26">
        <v>5026</v>
      </c>
      <c r="G36" s="25">
        <v>100</v>
      </c>
      <c r="H36" s="27">
        <v>3600</v>
      </c>
      <c r="I36" s="20"/>
    </row>
    <row r="37" spans="1:9" x14ac:dyDescent="0.3">
      <c r="A37" s="20"/>
      <c r="B37" s="22">
        <v>41346</v>
      </c>
      <c r="C37" s="23" t="s">
        <v>23</v>
      </c>
      <c r="D37" s="24" t="s">
        <v>25</v>
      </c>
      <c r="E37" s="25">
        <v>5030</v>
      </c>
      <c r="F37" s="26">
        <v>5050</v>
      </c>
      <c r="G37" s="25">
        <v>100</v>
      </c>
      <c r="H37" s="27">
        <v>-2000</v>
      </c>
      <c r="I37" s="20"/>
    </row>
    <row r="38" spans="1:9" x14ac:dyDescent="0.3">
      <c r="A38" s="20"/>
      <c r="B38" s="22">
        <v>41347</v>
      </c>
      <c r="C38" s="23" t="s">
        <v>16</v>
      </c>
      <c r="D38" s="23" t="s">
        <v>26</v>
      </c>
      <c r="E38" s="25">
        <v>201</v>
      </c>
      <c r="F38" s="26">
        <v>203.5</v>
      </c>
      <c r="G38" s="25">
        <v>1250</v>
      </c>
      <c r="H38" s="27">
        <v>3125</v>
      </c>
      <c r="I38" s="20"/>
    </row>
    <row r="39" spans="1:9" x14ac:dyDescent="0.3">
      <c r="A39" s="20"/>
      <c r="B39" s="22">
        <v>41348</v>
      </c>
      <c r="C39" s="23" t="s">
        <v>16</v>
      </c>
      <c r="D39" s="24" t="s">
        <v>25</v>
      </c>
      <c r="E39" s="25">
        <v>5047</v>
      </c>
      <c r="F39" s="26">
        <v>5064</v>
      </c>
      <c r="G39" s="25">
        <v>100</v>
      </c>
      <c r="H39" s="27">
        <v>1700</v>
      </c>
      <c r="I39" s="20"/>
    </row>
    <row r="40" spans="1:9" x14ac:dyDescent="0.3">
      <c r="A40" s="20"/>
      <c r="B40" s="22">
        <v>41351</v>
      </c>
      <c r="C40" s="23" t="s">
        <v>16</v>
      </c>
      <c r="D40" s="24" t="s">
        <v>25</v>
      </c>
      <c r="E40" s="25">
        <v>5022</v>
      </c>
      <c r="F40" s="26">
        <v>5009</v>
      </c>
      <c r="G40" s="25">
        <v>100</v>
      </c>
      <c r="H40" s="27">
        <v>-1300</v>
      </c>
      <c r="I40" s="20"/>
    </row>
    <row r="41" spans="1:9" x14ac:dyDescent="0.3">
      <c r="A41" s="20"/>
      <c r="B41" s="22">
        <v>41352</v>
      </c>
      <c r="C41" s="23" t="s">
        <v>16</v>
      </c>
      <c r="D41" s="24" t="s">
        <v>25</v>
      </c>
      <c r="E41" s="25">
        <v>5060</v>
      </c>
      <c r="F41" s="26">
        <v>5094</v>
      </c>
      <c r="G41" s="25">
        <v>100</v>
      </c>
      <c r="H41" s="27">
        <v>3400</v>
      </c>
      <c r="I41" s="20"/>
    </row>
    <row r="42" spans="1:9" x14ac:dyDescent="0.3">
      <c r="A42" s="20"/>
      <c r="B42" s="22">
        <v>41353</v>
      </c>
      <c r="C42" s="23" t="s">
        <v>23</v>
      </c>
      <c r="D42" s="23" t="s">
        <v>26</v>
      </c>
      <c r="E42" s="26">
        <v>215</v>
      </c>
      <c r="F42" s="26">
        <v>212.5</v>
      </c>
      <c r="G42" s="25">
        <v>1250</v>
      </c>
      <c r="H42" s="27">
        <v>3125</v>
      </c>
      <c r="I42" s="20"/>
    </row>
    <row r="43" spans="1:9" x14ac:dyDescent="0.3">
      <c r="A43" s="20"/>
      <c r="B43" s="22">
        <v>41354</v>
      </c>
      <c r="C43" s="23" t="s">
        <v>23</v>
      </c>
      <c r="D43" s="24" t="s">
        <v>25</v>
      </c>
      <c r="E43" s="25">
        <v>5095</v>
      </c>
      <c r="F43" s="26">
        <v>5064</v>
      </c>
      <c r="G43" s="25">
        <v>100</v>
      </c>
      <c r="H43" s="27">
        <v>3100</v>
      </c>
      <c r="I43" s="20"/>
    </row>
    <row r="44" spans="1:9" x14ac:dyDescent="0.3">
      <c r="A44" s="20"/>
      <c r="B44" s="22">
        <v>41355</v>
      </c>
      <c r="C44" s="23" t="s">
        <v>16</v>
      </c>
      <c r="D44" s="24" t="s">
        <v>25</v>
      </c>
      <c r="E44" s="26">
        <v>5056</v>
      </c>
      <c r="F44" s="26">
        <v>5089</v>
      </c>
      <c r="G44" s="25">
        <v>100</v>
      </c>
      <c r="H44" s="27">
        <v>3300</v>
      </c>
      <c r="I44" s="20"/>
    </row>
    <row r="45" spans="1:9" x14ac:dyDescent="0.3">
      <c r="A45" s="20"/>
      <c r="B45" s="22">
        <v>41358</v>
      </c>
      <c r="C45" s="23" t="s">
        <v>16</v>
      </c>
      <c r="D45" s="23" t="s">
        <v>26</v>
      </c>
      <c r="E45" s="26">
        <v>214.5</v>
      </c>
      <c r="F45" s="26">
        <v>215.7</v>
      </c>
      <c r="G45" s="25">
        <v>1250</v>
      </c>
      <c r="H45" s="27">
        <v>1499.9999999999859</v>
      </c>
      <c r="I45" s="20"/>
    </row>
    <row r="46" spans="1:9" x14ac:dyDescent="0.3">
      <c r="A46" s="20"/>
      <c r="B46" s="22">
        <v>41359</v>
      </c>
      <c r="C46" s="23" t="s">
        <v>16</v>
      </c>
      <c r="D46" s="23" t="s">
        <v>26</v>
      </c>
      <c r="E46" s="25">
        <v>214</v>
      </c>
      <c r="F46" s="26">
        <v>214.8</v>
      </c>
      <c r="G46" s="25">
        <v>1250</v>
      </c>
      <c r="H46" s="27">
        <v>1000.0000000000142</v>
      </c>
      <c r="I46" s="20"/>
    </row>
    <row r="47" spans="1:9" x14ac:dyDescent="0.3">
      <c r="A47" s="20"/>
      <c r="B47" s="22">
        <v>41360</v>
      </c>
      <c r="C47" s="23" t="s">
        <v>16</v>
      </c>
      <c r="D47" s="24" t="s">
        <v>25</v>
      </c>
      <c r="E47" s="26">
        <v>5238</v>
      </c>
      <c r="F47" s="26">
        <v>5260</v>
      </c>
      <c r="G47" s="25">
        <v>100</v>
      </c>
      <c r="H47" s="27">
        <v>2200</v>
      </c>
      <c r="I47" s="20"/>
    </row>
    <row r="48" spans="1:9" x14ac:dyDescent="0.3">
      <c r="A48" s="20"/>
      <c r="B48" s="22">
        <v>41361</v>
      </c>
      <c r="C48" s="23" t="s">
        <v>23</v>
      </c>
      <c r="D48" s="23" t="s">
        <v>26</v>
      </c>
      <c r="E48" s="26">
        <v>223.5</v>
      </c>
      <c r="F48" s="26">
        <v>221</v>
      </c>
      <c r="G48" s="25">
        <v>1250</v>
      </c>
      <c r="H48" s="27">
        <v>3125</v>
      </c>
      <c r="I48" s="20"/>
    </row>
    <row r="49" spans="1:9" x14ac:dyDescent="0.3">
      <c r="A49" s="20"/>
      <c r="B49" s="27"/>
      <c r="C49" s="27"/>
      <c r="D49" s="27"/>
      <c r="E49" s="27"/>
      <c r="F49" s="27"/>
      <c r="G49" s="27"/>
      <c r="H49" s="30">
        <v>27750</v>
      </c>
      <c r="I49" s="20"/>
    </row>
    <row r="50" spans="1:9" x14ac:dyDescent="0.3">
      <c r="A50" s="20"/>
      <c r="B50" s="18"/>
      <c r="C50" s="18"/>
      <c r="D50" s="18"/>
      <c r="E50" s="18"/>
      <c r="F50" s="18"/>
      <c r="G50" s="18"/>
      <c r="H50" s="18"/>
      <c r="I50" s="20"/>
    </row>
    <row r="51" spans="1:9" x14ac:dyDescent="0.3">
      <c r="A51" s="20"/>
      <c r="B51" s="18"/>
      <c r="C51" s="18"/>
      <c r="D51" s="18"/>
      <c r="E51" s="18"/>
      <c r="F51" s="18"/>
      <c r="G51" s="18"/>
      <c r="H51" s="18"/>
      <c r="I51" s="20"/>
    </row>
    <row r="52" spans="1:9" ht="15.6" x14ac:dyDescent="0.3">
      <c r="A52" s="20"/>
      <c r="B52" s="295" t="s">
        <v>43</v>
      </c>
      <c r="C52" s="295"/>
      <c r="D52" s="295"/>
      <c r="E52" s="295"/>
      <c r="F52" s="295"/>
      <c r="G52" s="295"/>
      <c r="H52" s="295"/>
      <c r="I52" s="20"/>
    </row>
    <row r="53" spans="1:9" x14ac:dyDescent="0.3">
      <c r="A53" s="20"/>
      <c r="B53" s="22">
        <v>41334</v>
      </c>
      <c r="C53" s="23" t="s">
        <v>23</v>
      </c>
      <c r="D53" s="23" t="s">
        <v>27</v>
      </c>
      <c r="E53" s="26">
        <v>124</v>
      </c>
      <c r="F53" s="26">
        <v>122.9</v>
      </c>
      <c r="G53" s="25">
        <v>5000</v>
      </c>
      <c r="H53" s="27">
        <v>5499.9999999999718</v>
      </c>
      <c r="I53" s="20"/>
    </row>
    <row r="54" spans="1:9" x14ac:dyDescent="0.3">
      <c r="A54" s="20"/>
      <c r="B54" s="22">
        <v>41337</v>
      </c>
      <c r="C54" s="23" t="s">
        <v>23</v>
      </c>
      <c r="D54" s="23" t="s">
        <v>27</v>
      </c>
      <c r="E54" s="26">
        <v>123.4</v>
      </c>
      <c r="F54" s="26">
        <v>122.6</v>
      </c>
      <c r="G54" s="25">
        <v>5000</v>
      </c>
      <c r="H54" s="27">
        <v>4000.0000000000568</v>
      </c>
      <c r="I54" s="20"/>
    </row>
    <row r="55" spans="1:9" x14ac:dyDescent="0.3">
      <c r="A55" s="20"/>
      <c r="B55" s="22">
        <v>41338</v>
      </c>
      <c r="C55" s="23" t="s">
        <v>23</v>
      </c>
      <c r="D55" s="23" t="s">
        <v>28</v>
      </c>
      <c r="E55" s="26">
        <v>110.5</v>
      </c>
      <c r="F55" s="26">
        <v>109.7</v>
      </c>
      <c r="G55" s="25">
        <v>5000</v>
      </c>
      <c r="H55" s="27">
        <v>3999.9999999999859</v>
      </c>
      <c r="I55" s="20"/>
    </row>
    <row r="56" spans="1:9" x14ac:dyDescent="0.3">
      <c r="A56" s="20"/>
      <c r="B56" s="22">
        <v>41339</v>
      </c>
      <c r="C56" s="23" t="s">
        <v>23</v>
      </c>
      <c r="D56" s="23" t="s">
        <v>29</v>
      </c>
      <c r="E56" s="26">
        <v>429.5</v>
      </c>
      <c r="F56" s="26">
        <v>426.5</v>
      </c>
      <c r="G56" s="25">
        <v>1000</v>
      </c>
      <c r="H56" s="27">
        <v>3000</v>
      </c>
      <c r="I56" s="20"/>
    </row>
    <row r="57" spans="1:9" x14ac:dyDescent="0.3">
      <c r="A57" s="20"/>
      <c r="B57" s="22">
        <v>41340</v>
      </c>
      <c r="C57" s="23" t="s">
        <v>23</v>
      </c>
      <c r="D57" s="23" t="s">
        <v>27</v>
      </c>
      <c r="E57" s="26">
        <v>119.3</v>
      </c>
      <c r="F57" s="26">
        <v>119.9</v>
      </c>
      <c r="G57" s="25">
        <v>5000</v>
      </c>
      <c r="H57" s="27">
        <v>-3000.0000000000427</v>
      </c>
      <c r="I57" s="20"/>
    </row>
    <row r="58" spans="1:9" x14ac:dyDescent="0.3">
      <c r="A58" s="20"/>
      <c r="B58" s="22">
        <v>41341</v>
      </c>
      <c r="C58" s="23" t="s">
        <v>23</v>
      </c>
      <c r="D58" s="23" t="s">
        <v>27</v>
      </c>
      <c r="E58" s="26">
        <v>120.6</v>
      </c>
      <c r="F58" s="26">
        <v>119.55</v>
      </c>
      <c r="G58" s="25">
        <v>5000</v>
      </c>
      <c r="H58" s="27">
        <v>5249.9999999999854</v>
      </c>
      <c r="I58" s="20"/>
    </row>
    <row r="59" spans="1:9" x14ac:dyDescent="0.3">
      <c r="A59" s="20"/>
      <c r="B59" s="22">
        <v>41344</v>
      </c>
      <c r="C59" s="23" t="s">
        <v>23</v>
      </c>
      <c r="D59" s="23" t="s">
        <v>35</v>
      </c>
      <c r="E59" s="26">
        <v>907</v>
      </c>
      <c r="F59" s="26">
        <v>914</v>
      </c>
      <c r="G59" s="25">
        <v>250</v>
      </c>
      <c r="H59" s="27">
        <v>-1750</v>
      </c>
      <c r="I59" s="20"/>
    </row>
    <row r="60" spans="1:9" x14ac:dyDescent="0.3">
      <c r="A60" s="20"/>
      <c r="B60" s="22">
        <v>41345</v>
      </c>
      <c r="C60" s="23" t="s">
        <v>16</v>
      </c>
      <c r="D60" s="23" t="s">
        <v>27</v>
      </c>
      <c r="E60" s="26">
        <v>119.5</v>
      </c>
      <c r="F60" s="26">
        <v>120.4</v>
      </c>
      <c r="G60" s="25">
        <v>5000</v>
      </c>
      <c r="H60" s="27">
        <v>4500.0000000000282</v>
      </c>
      <c r="I60" s="20"/>
    </row>
    <row r="61" spans="1:9" x14ac:dyDescent="0.3">
      <c r="A61" s="20"/>
      <c r="B61" s="22">
        <v>41346</v>
      </c>
      <c r="C61" s="23" t="s">
        <v>23</v>
      </c>
      <c r="D61" s="23" t="s">
        <v>27</v>
      </c>
      <c r="E61" s="26">
        <v>120.7</v>
      </c>
      <c r="F61" s="26">
        <v>121.3</v>
      </c>
      <c r="G61" s="25">
        <v>5000</v>
      </c>
      <c r="H61" s="27">
        <v>-2999.9999999999718</v>
      </c>
      <c r="I61" s="20"/>
    </row>
    <row r="62" spans="1:9" x14ac:dyDescent="0.3">
      <c r="A62" s="20"/>
      <c r="B62" s="22">
        <v>41347</v>
      </c>
      <c r="C62" s="23" t="s">
        <v>23</v>
      </c>
      <c r="D62" s="23" t="s">
        <v>28</v>
      </c>
      <c r="E62" s="26">
        <v>106.5</v>
      </c>
      <c r="F62" s="26">
        <v>106</v>
      </c>
      <c r="G62" s="25">
        <v>5000</v>
      </c>
      <c r="H62" s="27">
        <v>2500</v>
      </c>
      <c r="I62" s="20"/>
    </row>
    <row r="63" spans="1:9" x14ac:dyDescent="0.3">
      <c r="A63" s="20"/>
      <c r="B63" s="22">
        <v>41348</v>
      </c>
      <c r="C63" s="23" t="s">
        <v>16</v>
      </c>
      <c r="D63" s="23" t="s">
        <v>27</v>
      </c>
      <c r="E63" s="26">
        <v>121.3</v>
      </c>
      <c r="F63" s="26">
        <v>120.7</v>
      </c>
      <c r="G63" s="25">
        <v>5000</v>
      </c>
      <c r="H63" s="27">
        <v>-2999.9999999999718</v>
      </c>
      <c r="I63" s="20"/>
    </row>
    <row r="64" spans="1:9" x14ac:dyDescent="0.3">
      <c r="A64" s="20"/>
      <c r="B64" s="22">
        <v>41351</v>
      </c>
      <c r="C64" s="23" t="s">
        <v>16</v>
      </c>
      <c r="D64" s="23" t="s">
        <v>27</v>
      </c>
      <c r="E64" s="26">
        <v>118.25</v>
      </c>
      <c r="F64" s="26">
        <v>117.6</v>
      </c>
      <c r="G64" s="25">
        <v>5000</v>
      </c>
      <c r="H64" s="27">
        <v>-3250.0000000000282</v>
      </c>
      <c r="I64" s="20"/>
    </row>
    <row r="65" spans="1:9" x14ac:dyDescent="0.3">
      <c r="A65" s="20"/>
      <c r="B65" s="22">
        <v>41352</v>
      </c>
      <c r="C65" s="23" t="s">
        <v>16</v>
      </c>
      <c r="D65" s="23" t="s">
        <v>28</v>
      </c>
      <c r="E65" s="26">
        <v>102.9</v>
      </c>
      <c r="F65" s="26">
        <v>103.1</v>
      </c>
      <c r="G65" s="25">
        <v>5000</v>
      </c>
      <c r="H65" s="27">
        <v>999.99999999994316</v>
      </c>
      <c r="I65" s="20"/>
    </row>
    <row r="66" spans="1:9" x14ac:dyDescent="0.3">
      <c r="A66" s="20"/>
      <c r="B66" s="22">
        <v>41353</v>
      </c>
      <c r="C66" s="23" t="s">
        <v>23</v>
      </c>
      <c r="D66" s="23" t="s">
        <v>29</v>
      </c>
      <c r="E66" s="26">
        <v>416.4</v>
      </c>
      <c r="F66" s="26">
        <v>418.5</v>
      </c>
      <c r="G66" s="25">
        <v>1000</v>
      </c>
      <c r="H66" s="27">
        <v>-2100.0000000000227</v>
      </c>
      <c r="I66" s="20"/>
    </row>
    <row r="67" spans="1:9" x14ac:dyDescent="0.3">
      <c r="A67" s="20"/>
      <c r="B67" s="22">
        <v>41354</v>
      </c>
      <c r="C67" s="23" t="s">
        <v>23</v>
      </c>
      <c r="D67" s="23" t="s">
        <v>27</v>
      </c>
      <c r="E67" s="26">
        <v>119.1</v>
      </c>
      <c r="F67" s="26">
        <v>118.1</v>
      </c>
      <c r="G67" s="25">
        <v>5000</v>
      </c>
      <c r="H67" s="27">
        <v>5000</v>
      </c>
      <c r="I67" s="20"/>
    </row>
    <row r="68" spans="1:9" x14ac:dyDescent="0.3">
      <c r="A68" s="20"/>
      <c r="B68" s="22">
        <v>41355</v>
      </c>
      <c r="C68" s="23" t="s">
        <v>23</v>
      </c>
      <c r="D68" s="23" t="s">
        <v>28</v>
      </c>
      <c r="E68" s="26">
        <v>104.2</v>
      </c>
      <c r="F68" s="26">
        <v>103.6</v>
      </c>
      <c r="G68" s="25">
        <v>5000</v>
      </c>
      <c r="H68" s="27">
        <v>3000.0000000000427</v>
      </c>
      <c r="I68" s="20"/>
    </row>
    <row r="69" spans="1:9" x14ac:dyDescent="0.3">
      <c r="A69" s="20"/>
      <c r="B69" s="22">
        <v>41358</v>
      </c>
      <c r="C69" s="23" t="s">
        <v>23</v>
      </c>
      <c r="D69" s="23" t="s">
        <v>27</v>
      </c>
      <c r="E69" s="26">
        <v>118.5</v>
      </c>
      <c r="F69" s="26">
        <v>117.4</v>
      </c>
      <c r="G69" s="25">
        <v>5000</v>
      </c>
      <c r="H69" s="27">
        <v>5499.9999999999718</v>
      </c>
      <c r="I69" s="20"/>
    </row>
    <row r="70" spans="1:9" x14ac:dyDescent="0.3">
      <c r="A70" s="20"/>
      <c r="B70" s="22">
        <v>41359</v>
      </c>
      <c r="C70" s="23" t="s">
        <v>23</v>
      </c>
      <c r="D70" s="23" t="s">
        <v>28</v>
      </c>
      <c r="E70" s="26">
        <v>104.1</v>
      </c>
      <c r="F70" s="26">
        <v>103.9</v>
      </c>
      <c r="G70" s="25">
        <v>5000</v>
      </c>
      <c r="H70" s="27">
        <v>999.99999999994316</v>
      </c>
      <c r="I70" s="20"/>
    </row>
    <row r="71" spans="1:9" x14ac:dyDescent="0.3">
      <c r="A71" s="20"/>
      <c r="B71" s="22">
        <v>41361</v>
      </c>
      <c r="C71" s="23" t="s">
        <v>23</v>
      </c>
      <c r="D71" s="23" t="s">
        <v>29</v>
      </c>
      <c r="E71" s="26">
        <v>416.5</v>
      </c>
      <c r="F71" s="26">
        <v>414.5</v>
      </c>
      <c r="G71" s="25">
        <v>1000</v>
      </c>
      <c r="H71" s="27">
        <v>2000</v>
      </c>
      <c r="I71" s="20"/>
    </row>
    <row r="72" spans="1:9" x14ac:dyDescent="0.3">
      <c r="A72" s="20"/>
      <c r="B72" s="27"/>
      <c r="C72" s="27"/>
      <c r="D72" s="27"/>
      <c r="E72" s="27"/>
      <c r="F72" s="27"/>
      <c r="G72" s="27"/>
      <c r="H72" s="30">
        <v>30150</v>
      </c>
      <c r="I72" s="20"/>
    </row>
    <row r="73" spans="1:9" x14ac:dyDescent="0.3">
      <c r="A73" s="20"/>
      <c r="B73" s="27"/>
      <c r="C73" s="27"/>
      <c r="D73" s="27"/>
      <c r="E73" s="27"/>
      <c r="F73" s="27"/>
      <c r="G73" s="27"/>
      <c r="I73" s="20"/>
    </row>
    <row r="74" spans="1:9" x14ac:dyDescent="0.3">
      <c r="A74" s="20"/>
      <c r="B74" s="18"/>
      <c r="C74" s="18"/>
      <c r="D74" s="18"/>
      <c r="E74" s="18"/>
      <c r="F74" s="18"/>
      <c r="G74" s="18"/>
      <c r="H74" s="18"/>
      <c r="I74" s="20"/>
    </row>
    <row r="75" spans="1:9" x14ac:dyDescent="0.3">
      <c r="A75" s="20"/>
      <c r="B75" s="18"/>
      <c r="C75" s="18"/>
      <c r="D75" s="18"/>
      <c r="E75" s="18"/>
      <c r="F75" s="18"/>
      <c r="G75" s="18"/>
      <c r="H75" s="18"/>
      <c r="I75" s="20"/>
    </row>
    <row r="76" spans="1:9" x14ac:dyDescent="0.3">
      <c r="A76" s="20"/>
      <c r="B76" s="18"/>
      <c r="C76" s="18"/>
      <c r="D76" s="18"/>
      <c r="E76" s="18"/>
      <c r="F76" s="18"/>
      <c r="G76" s="18"/>
      <c r="H76" s="18"/>
      <c r="I76" s="20"/>
    </row>
    <row r="77" spans="1:9" x14ac:dyDescent="0.3">
      <c r="A77" s="20"/>
      <c r="B77" s="18"/>
      <c r="C77" s="18"/>
      <c r="D77" s="18"/>
      <c r="E77" s="18"/>
      <c r="F77" s="18"/>
      <c r="G77" s="18"/>
      <c r="H77" s="18"/>
      <c r="I77" s="20"/>
    </row>
    <row r="78" spans="1:9" x14ac:dyDescent="0.3">
      <c r="A78" s="20"/>
      <c r="B78" s="18"/>
      <c r="C78" s="18"/>
      <c r="D78" s="18"/>
      <c r="E78" s="18"/>
      <c r="F78" s="18"/>
      <c r="G78" s="18"/>
      <c r="H78" s="18"/>
      <c r="I78" s="20"/>
    </row>
    <row r="79" spans="1:9" x14ac:dyDescent="0.3">
      <c r="A79" s="20"/>
      <c r="B79" s="18"/>
      <c r="C79" s="18"/>
      <c r="D79" s="18"/>
      <c r="E79" s="18"/>
      <c r="F79" s="18"/>
      <c r="G79" s="18"/>
      <c r="H79" s="18"/>
      <c r="I79" s="20"/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300-000000000000}"/>
  </hyperlinks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88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ht="15.6" x14ac:dyDescent="0.3">
      <c r="A3" s="17"/>
      <c r="B3" s="298" t="s">
        <v>833</v>
      </c>
      <c r="C3" s="298"/>
      <c r="D3" s="298"/>
      <c r="E3" s="298"/>
      <c r="F3" s="298"/>
      <c r="G3" s="298"/>
      <c r="H3" s="298"/>
      <c r="I3" s="298"/>
      <c r="J3" s="17"/>
    </row>
    <row r="4" spans="1:15" ht="15.6" x14ac:dyDescent="0.3">
      <c r="A4" s="17"/>
      <c r="B4" s="299" t="s">
        <v>778</v>
      </c>
      <c r="C4" s="299"/>
      <c r="D4" s="299"/>
      <c r="E4" s="299"/>
      <c r="F4" s="299"/>
      <c r="G4" s="299"/>
      <c r="H4" s="299"/>
      <c r="I4" s="299"/>
      <c r="J4" s="17"/>
    </row>
    <row r="5" spans="1:15" x14ac:dyDescent="0.3">
      <c r="A5" s="17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60" t="s">
        <v>7</v>
      </c>
      <c r="J5" s="17"/>
      <c r="K5" s="71"/>
    </row>
    <row r="6" spans="1:15" x14ac:dyDescent="0.3">
      <c r="A6" s="17"/>
      <c r="B6" s="126">
        <v>42430</v>
      </c>
      <c r="C6" s="75" t="s">
        <v>23</v>
      </c>
      <c r="D6" s="75" t="s">
        <v>24</v>
      </c>
      <c r="E6" s="75">
        <v>29700</v>
      </c>
      <c r="F6" s="75">
        <v>29520</v>
      </c>
      <c r="G6" s="75">
        <v>180</v>
      </c>
      <c r="H6" s="75">
        <v>100</v>
      </c>
      <c r="I6" s="75">
        <v>18000</v>
      </c>
      <c r="J6" s="17"/>
      <c r="K6" s="71"/>
    </row>
    <row r="7" spans="1:15" x14ac:dyDescent="0.3">
      <c r="A7" s="17"/>
      <c r="B7" s="126">
        <v>42431</v>
      </c>
      <c r="C7" s="75" t="s">
        <v>23</v>
      </c>
      <c r="D7" s="75" t="s">
        <v>24</v>
      </c>
      <c r="E7" s="75">
        <v>29140</v>
      </c>
      <c r="F7" s="75">
        <v>29240</v>
      </c>
      <c r="G7" s="75">
        <v>-100</v>
      </c>
      <c r="H7" s="75">
        <v>100</v>
      </c>
      <c r="I7" s="75">
        <v>-10000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26">
        <v>42432</v>
      </c>
      <c r="C8" s="75" t="s">
        <v>23</v>
      </c>
      <c r="D8" s="75" t="s">
        <v>24</v>
      </c>
      <c r="E8" s="75">
        <v>29290</v>
      </c>
      <c r="F8" s="75">
        <v>29390</v>
      </c>
      <c r="G8" s="75">
        <v>-100</v>
      </c>
      <c r="H8" s="75">
        <v>100</v>
      </c>
      <c r="I8" s="75">
        <v>-10000</v>
      </c>
      <c r="J8" s="17"/>
      <c r="K8" s="71" t="s">
        <v>257</v>
      </c>
      <c r="L8" s="49" t="s">
        <v>491</v>
      </c>
      <c r="M8" s="101" t="s">
        <v>298</v>
      </c>
      <c r="N8" s="101" t="s">
        <v>264</v>
      </c>
      <c r="O8" s="101" t="s">
        <v>262</v>
      </c>
    </row>
    <row r="9" spans="1:15" x14ac:dyDescent="0.3">
      <c r="A9" s="17"/>
      <c r="B9" s="126">
        <v>42433</v>
      </c>
      <c r="C9" s="75" t="s">
        <v>16</v>
      </c>
      <c r="D9" s="75" t="s">
        <v>24</v>
      </c>
      <c r="E9" s="75">
        <v>29750</v>
      </c>
      <c r="F9" s="75">
        <v>29940</v>
      </c>
      <c r="G9" s="75">
        <v>190</v>
      </c>
      <c r="H9" s="75">
        <v>100</v>
      </c>
      <c r="I9" s="75">
        <v>19000</v>
      </c>
      <c r="J9" s="17"/>
      <c r="K9" s="71" t="s">
        <v>258</v>
      </c>
      <c r="L9" s="101" t="s">
        <v>491</v>
      </c>
      <c r="M9" s="101" t="s">
        <v>298</v>
      </c>
      <c r="N9" s="101" t="s">
        <v>299</v>
      </c>
      <c r="O9" s="101" t="s">
        <v>290</v>
      </c>
    </row>
    <row r="10" spans="1:15" x14ac:dyDescent="0.3">
      <c r="A10" s="17"/>
      <c r="B10" s="126">
        <v>42437</v>
      </c>
      <c r="C10" s="75" t="s">
        <v>16</v>
      </c>
      <c r="D10" s="75" t="s">
        <v>24</v>
      </c>
      <c r="E10" s="75">
        <v>30100</v>
      </c>
      <c r="F10" s="75">
        <v>30000</v>
      </c>
      <c r="G10" s="75">
        <v>-100</v>
      </c>
      <c r="H10" s="75">
        <v>100</v>
      </c>
      <c r="I10" s="75">
        <v>-10000</v>
      </c>
      <c r="J10" s="17"/>
      <c r="K10" s="71" t="s">
        <v>259</v>
      </c>
      <c r="L10" s="101" t="s">
        <v>553</v>
      </c>
      <c r="M10" s="101" t="s">
        <v>265</v>
      </c>
      <c r="N10" s="101" t="s">
        <v>299</v>
      </c>
      <c r="O10" s="101" t="s">
        <v>262</v>
      </c>
    </row>
    <row r="11" spans="1:15" x14ac:dyDescent="0.3">
      <c r="A11" s="17"/>
      <c r="B11" s="126">
        <v>42438</v>
      </c>
      <c r="C11" s="75" t="s">
        <v>23</v>
      </c>
      <c r="D11" s="75" t="s">
        <v>24</v>
      </c>
      <c r="E11" s="75">
        <v>29650</v>
      </c>
      <c r="F11" s="75">
        <v>29470</v>
      </c>
      <c r="G11" s="75">
        <v>180</v>
      </c>
      <c r="H11" s="75">
        <v>100</v>
      </c>
      <c r="I11" s="75">
        <v>18000</v>
      </c>
      <c r="J11" s="17"/>
      <c r="K11" s="71" t="s">
        <v>300</v>
      </c>
      <c r="L11" s="104" t="s">
        <v>583</v>
      </c>
      <c r="M11" s="104" t="s">
        <v>303</v>
      </c>
      <c r="N11" s="104" t="s">
        <v>740</v>
      </c>
      <c r="O11" s="104" t="s">
        <v>290</v>
      </c>
    </row>
    <row r="12" spans="1:15" x14ac:dyDescent="0.3">
      <c r="A12" s="17"/>
      <c r="B12" s="126">
        <v>42439</v>
      </c>
      <c r="C12" s="75" t="s">
        <v>23</v>
      </c>
      <c r="D12" s="75" t="s">
        <v>24</v>
      </c>
      <c r="E12" s="75">
        <v>29380</v>
      </c>
      <c r="F12" s="75">
        <v>29180</v>
      </c>
      <c r="G12" s="75">
        <v>200</v>
      </c>
      <c r="H12" s="75">
        <v>100</v>
      </c>
      <c r="I12" s="75">
        <v>20000</v>
      </c>
      <c r="J12" s="17"/>
      <c r="K12" s="71"/>
    </row>
    <row r="13" spans="1:15" x14ac:dyDescent="0.3">
      <c r="A13" s="17"/>
      <c r="B13" s="126">
        <v>42440</v>
      </c>
      <c r="C13" s="75" t="s">
        <v>23</v>
      </c>
      <c r="D13" s="75" t="s">
        <v>24</v>
      </c>
      <c r="E13" s="75">
        <v>29720</v>
      </c>
      <c r="F13" s="75">
        <v>29530</v>
      </c>
      <c r="G13" s="75">
        <v>190</v>
      </c>
      <c r="H13" s="75">
        <v>100</v>
      </c>
      <c r="I13" s="75">
        <v>19000</v>
      </c>
      <c r="J13" s="17"/>
      <c r="K13" s="132"/>
      <c r="L13" s="127" t="s">
        <v>832</v>
      </c>
      <c r="M13" s="128"/>
      <c r="N13" s="133" t="s">
        <v>834</v>
      </c>
    </row>
    <row r="14" spans="1:15" x14ac:dyDescent="0.3">
      <c r="A14" s="17"/>
      <c r="B14" s="126">
        <v>42443</v>
      </c>
      <c r="C14" s="75" t="s">
        <v>16</v>
      </c>
      <c r="D14" s="75" t="s">
        <v>24</v>
      </c>
      <c r="E14" s="75">
        <v>29440</v>
      </c>
      <c r="F14" s="75">
        <v>29570</v>
      </c>
      <c r="G14" s="75">
        <v>130</v>
      </c>
      <c r="H14" s="75">
        <v>100</v>
      </c>
      <c r="I14" s="75">
        <v>13000</v>
      </c>
      <c r="J14" s="17"/>
      <c r="K14" s="71"/>
    </row>
    <row r="15" spans="1:15" x14ac:dyDescent="0.3">
      <c r="A15" s="17"/>
      <c r="B15" s="126">
        <v>42444</v>
      </c>
      <c r="C15" s="75" t="s">
        <v>16</v>
      </c>
      <c r="D15" s="75" t="s">
        <v>24</v>
      </c>
      <c r="E15" s="75">
        <v>29050</v>
      </c>
      <c r="F15" s="75">
        <v>29190</v>
      </c>
      <c r="G15" s="75">
        <v>140</v>
      </c>
      <c r="H15" s="75">
        <v>100</v>
      </c>
      <c r="I15" s="75">
        <v>14000</v>
      </c>
      <c r="J15" s="17"/>
      <c r="K15" s="71"/>
    </row>
    <row r="16" spans="1:15" x14ac:dyDescent="0.3">
      <c r="A16" s="17"/>
      <c r="B16" s="126">
        <v>42445</v>
      </c>
      <c r="C16" s="75" t="s">
        <v>23</v>
      </c>
      <c r="D16" s="75" t="s">
        <v>24</v>
      </c>
      <c r="E16" s="75">
        <v>29020</v>
      </c>
      <c r="F16" s="75">
        <v>28940</v>
      </c>
      <c r="G16" s="75">
        <v>80</v>
      </c>
      <c r="H16" s="75">
        <v>100</v>
      </c>
      <c r="I16" s="75">
        <v>8000</v>
      </c>
      <c r="J16" s="17"/>
      <c r="K16" s="71"/>
    </row>
    <row r="17" spans="1:11" x14ac:dyDescent="0.3">
      <c r="A17" s="17"/>
      <c r="B17" s="126">
        <v>42446</v>
      </c>
      <c r="C17" s="75" t="s">
        <v>16</v>
      </c>
      <c r="D17" s="75" t="s">
        <v>24</v>
      </c>
      <c r="E17" s="75">
        <v>29500</v>
      </c>
      <c r="F17" s="75">
        <v>29580</v>
      </c>
      <c r="G17" s="75">
        <v>80</v>
      </c>
      <c r="H17" s="75">
        <v>100</v>
      </c>
      <c r="I17" s="75">
        <v>8000</v>
      </c>
      <c r="J17" s="17"/>
      <c r="K17" s="71"/>
    </row>
    <row r="18" spans="1:11" x14ac:dyDescent="0.3">
      <c r="A18" s="17"/>
      <c r="B18" s="126">
        <v>42447</v>
      </c>
      <c r="C18" s="75" t="s">
        <v>23</v>
      </c>
      <c r="D18" s="75" t="s">
        <v>24</v>
      </c>
      <c r="E18" s="75">
        <v>29380</v>
      </c>
      <c r="F18" s="75">
        <v>29200</v>
      </c>
      <c r="G18" s="75">
        <v>180</v>
      </c>
      <c r="H18" s="75">
        <v>100</v>
      </c>
      <c r="I18" s="75">
        <v>18000</v>
      </c>
      <c r="J18" s="17"/>
      <c r="K18" s="71"/>
    </row>
    <row r="19" spans="1:11" x14ac:dyDescent="0.3">
      <c r="A19" s="17"/>
      <c r="B19" s="126">
        <v>42450</v>
      </c>
      <c r="C19" s="75" t="s">
        <v>23</v>
      </c>
      <c r="D19" s="75" t="s">
        <v>24</v>
      </c>
      <c r="E19" s="75">
        <v>29000</v>
      </c>
      <c r="F19" s="75">
        <v>29820</v>
      </c>
      <c r="G19" s="75">
        <v>180</v>
      </c>
      <c r="H19" s="75">
        <v>100</v>
      </c>
      <c r="I19" s="75">
        <v>18000</v>
      </c>
      <c r="J19" s="17"/>
      <c r="K19" s="71"/>
    </row>
    <row r="20" spans="1:11" x14ac:dyDescent="0.3">
      <c r="A20" s="17"/>
      <c r="B20" s="126">
        <v>42451</v>
      </c>
      <c r="C20" s="75" t="s">
        <v>16</v>
      </c>
      <c r="D20" s="75" t="s">
        <v>24</v>
      </c>
      <c r="E20" s="75">
        <v>29100</v>
      </c>
      <c r="F20" s="75">
        <v>29270</v>
      </c>
      <c r="G20" s="75">
        <v>170</v>
      </c>
      <c r="H20" s="75">
        <v>100</v>
      </c>
      <c r="I20" s="75">
        <v>17000</v>
      </c>
      <c r="J20" s="17"/>
      <c r="K20" s="71"/>
    </row>
    <row r="21" spans="1:11" x14ac:dyDescent="0.3">
      <c r="A21" s="17"/>
      <c r="B21" s="126">
        <v>42452</v>
      </c>
      <c r="C21" s="75" t="s">
        <v>23</v>
      </c>
      <c r="D21" s="75" t="s">
        <v>24</v>
      </c>
      <c r="E21" s="75">
        <v>28820</v>
      </c>
      <c r="F21" s="75">
        <v>28640</v>
      </c>
      <c r="G21" s="75">
        <v>180</v>
      </c>
      <c r="H21" s="75">
        <v>100</v>
      </c>
      <c r="I21" s="75">
        <v>18000</v>
      </c>
      <c r="J21" s="17"/>
      <c r="K21" s="71"/>
    </row>
    <row r="22" spans="1:11" x14ac:dyDescent="0.3">
      <c r="A22" s="17"/>
      <c r="B22" s="126">
        <v>42457</v>
      </c>
      <c r="C22" s="75" t="s">
        <v>16</v>
      </c>
      <c r="D22" s="75" t="s">
        <v>24</v>
      </c>
      <c r="E22" s="75">
        <v>28380</v>
      </c>
      <c r="F22" s="75">
        <v>28500</v>
      </c>
      <c r="G22" s="75">
        <v>120</v>
      </c>
      <c r="H22" s="75">
        <v>100</v>
      </c>
      <c r="I22" s="75">
        <v>12000</v>
      </c>
      <c r="J22" s="17"/>
      <c r="K22" s="71"/>
    </row>
    <row r="23" spans="1:11" x14ac:dyDescent="0.3">
      <c r="A23" s="17"/>
      <c r="B23" s="126">
        <v>42458</v>
      </c>
      <c r="C23" s="75" t="s">
        <v>23</v>
      </c>
      <c r="D23" s="75" t="s">
        <v>24</v>
      </c>
      <c r="E23" s="75">
        <v>28420</v>
      </c>
      <c r="F23" s="75">
        <v>28345</v>
      </c>
      <c r="G23" s="75">
        <v>75</v>
      </c>
      <c r="H23" s="75">
        <v>100</v>
      </c>
      <c r="I23" s="75">
        <v>7500</v>
      </c>
      <c r="J23" s="17"/>
      <c r="K23" s="71"/>
    </row>
    <row r="24" spans="1:11" x14ac:dyDescent="0.3">
      <c r="A24" s="17"/>
      <c r="B24" s="126">
        <v>42459</v>
      </c>
      <c r="C24" s="75" t="s">
        <v>16</v>
      </c>
      <c r="D24" s="75" t="s">
        <v>24</v>
      </c>
      <c r="E24" s="75">
        <v>28760</v>
      </c>
      <c r="F24" s="75">
        <v>28660</v>
      </c>
      <c r="G24" s="75">
        <v>-100</v>
      </c>
      <c r="H24" s="75">
        <v>100</v>
      </c>
      <c r="I24" s="75">
        <v>-10000</v>
      </c>
      <c r="J24" s="17"/>
    </row>
    <row r="25" spans="1:11" x14ac:dyDescent="0.3">
      <c r="A25" s="17"/>
      <c r="B25" s="126">
        <v>42460</v>
      </c>
      <c r="C25" s="75" t="s">
        <v>16</v>
      </c>
      <c r="D25" s="75" t="s">
        <v>24</v>
      </c>
      <c r="E25" s="75">
        <v>28570</v>
      </c>
      <c r="F25" s="75">
        <v>28650</v>
      </c>
      <c r="G25" s="75">
        <v>80</v>
      </c>
      <c r="H25" s="75">
        <v>100</v>
      </c>
      <c r="I25" s="75">
        <v>8000</v>
      </c>
      <c r="J25" s="17"/>
    </row>
    <row r="26" spans="1:11" x14ac:dyDescent="0.3">
      <c r="A26" s="17"/>
      <c r="J26" s="17"/>
    </row>
    <row r="27" spans="1:11" x14ac:dyDescent="0.3">
      <c r="A27" s="17"/>
      <c r="C27" s="24"/>
      <c r="D27" s="26"/>
      <c r="E27" s="26"/>
      <c r="F27" s="26"/>
      <c r="G27" s="26"/>
      <c r="H27" s="29"/>
      <c r="I27" s="29"/>
      <c r="J27" s="17"/>
    </row>
    <row r="28" spans="1:11" ht="17.399999999999999" x14ac:dyDescent="0.3">
      <c r="A28" s="17"/>
      <c r="C28" s="29"/>
      <c r="D28" s="26"/>
      <c r="E28" s="36"/>
      <c r="F28" s="29"/>
      <c r="G28" s="29"/>
      <c r="H28" s="29"/>
      <c r="I28" s="106">
        <v>195500</v>
      </c>
      <c r="J28" s="17"/>
    </row>
    <row r="29" spans="1:11" x14ac:dyDescent="0.3">
      <c r="A29" s="17"/>
      <c r="C29" s="29"/>
      <c r="D29" s="36"/>
      <c r="E29" s="36"/>
      <c r="F29" s="29"/>
      <c r="G29" s="29"/>
      <c r="H29" s="29"/>
      <c r="I29" s="29"/>
      <c r="J29" s="17"/>
    </row>
    <row r="30" spans="1:11" ht="15.6" x14ac:dyDescent="0.3">
      <c r="A30" s="17"/>
      <c r="B30" s="130" t="s">
        <v>789</v>
      </c>
      <c r="C30" s="62"/>
      <c r="D30" s="63"/>
      <c r="E30" s="62"/>
      <c r="F30" s="62"/>
      <c r="G30" s="62"/>
      <c r="H30" s="62"/>
      <c r="I30" s="62"/>
      <c r="J30" s="17"/>
    </row>
    <row r="31" spans="1:11" x14ac:dyDescent="0.3">
      <c r="A31" s="17"/>
      <c r="B31" s="126">
        <v>42430</v>
      </c>
      <c r="C31" s="75" t="s">
        <v>23</v>
      </c>
      <c r="D31" s="75" t="s">
        <v>25</v>
      </c>
      <c r="E31" s="75">
        <v>2328</v>
      </c>
      <c r="F31" s="75">
        <v>2280</v>
      </c>
      <c r="G31" s="75">
        <v>48</v>
      </c>
      <c r="H31" s="75">
        <v>100</v>
      </c>
      <c r="I31" s="75">
        <v>4800</v>
      </c>
      <c r="J31" s="17"/>
    </row>
    <row r="32" spans="1:11" x14ac:dyDescent="0.3">
      <c r="A32" s="17"/>
      <c r="B32" s="126">
        <v>42431</v>
      </c>
      <c r="C32" s="75" t="s">
        <v>23</v>
      </c>
      <c r="D32" s="75" t="s">
        <v>25</v>
      </c>
      <c r="E32" s="75">
        <v>2330</v>
      </c>
      <c r="F32" s="75">
        <v>2288</v>
      </c>
      <c r="G32" s="75">
        <v>42</v>
      </c>
      <c r="H32" s="75">
        <v>100</v>
      </c>
      <c r="I32" s="75">
        <v>4200</v>
      </c>
      <c r="J32" s="17"/>
    </row>
    <row r="33" spans="1:10" x14ac:dyDescent="0.3">
      <c r="A33" s="17"/>
      <c r="B33" s="126">
        <v>42432</v>
      </c>
      <c r="C33" s="75" t="s">
        <v>23</v>
      </c>
      <c r="D33" s="75" t="s">
        <v>25</v>
      </c>
      <c r="E33" s="75">
        <v>2345</v>
      </c>
      <c r="F33" s="75">
        <v>2320</v>
      </c>
      <c r="G33" s="75">
        <v>25</v>
      </c>
      <c r="H33" s="75">
        <v>100</v>
      </c>
      <c r="I33" s="75">
        <v>2500</v>
      </c>
      <c r="J33" s="17"/>
    </row>
    <row r="34" spans="1:10" x14ac:dyDescent="0.3">
      <c r="A34" s="17"/>
      <c r="B34" s="126">
        <v>42433</v>
      </c>
      <c r="C34" s="75" t="s">
        <v>23</v>
      </c>
      <c r="D34" s="75" t="s">
        <v>25</v>
      </c>
      <c r="E34" s="75">
        <v>2360</v>
      </c>
      <c r="F34" s="75">
        <v>2330</v>
      </c>
      <c r="G34" s="75">
        <v>30</v>
      </c>
      <c r="H34" s="75">
        <v>100</v>
      </c>
      <c r="I34" s="75">
        <v>3000</v>
      </c>
      <c r="J34" s="17"/>
    </row>
    <row r="35" spans="1:10" x14ac:dyDescent="0.3">
      <c r="A35" s="17"/>
      <c r="B35" s="126">
        <v>42437</v>
      </c>
      <c r="C35" s="75" t="s">
        <v>16</v>
      </c>
      <c r="D35" s="75" t="s">
        <v>25</v>
      </c>
      <c r="E35" s="75">
        <v>2560</v>
      </c>
      <c r="F35" s="75">
        <v>2595</v>
      </c>
      <c r="G35" s="75">
        <v>35</v>
      </c>
      <c r="H35" s="75">
        <v>100</v>
      </c>
      <c r="I35" s="75">
        <v>3500</v>
      </c>
      <c r="J35" s="17"/>
    </row>
    <row r="36" spans="1:10" x14ac:dyDescent="0.3">
      <c r="A36" s="17"/>
      <c r="B36" s="126">
        <v>42438</v>
      </c>
      <c r="C36" s="75" t="s">
        <v>16</v>
      </c>
      <c r="D36" s="75" t="s">
        <v>25</v>
      </c>
      <c r="E36" s="75">
        <v>2490</v>
      </c>
      <c r="F36" s="75">
        <v>2560</v>
      </c>
      <c r="G36" s="75">
        <v>70</v>
      </c>
      <c r="H36" s="75">
        <v>100</v>
      </c>
      <c r="I36" s="75">
        <v>7000</v>
      </c>
      <c r="J36" s="17"/>
    </row>
    <row r="37" spans="1:10" x14ac:dyDescent="0.3">
      <c r="A37" s="17"/>
      <c r="B37" s="126">
        <v>42439</v>
      </c>
      <c r="C37" s="75" t="s">
        <v>23</v>
      </c>
      <c r="D37" s="75" t="s">
        <v>25</v>
      </c>
      <c r="E37" s="75">
        <v>2555</v>
      </c>
      <c r="F37" s="75">
        <v>2515</v>
      </c>
      <c r="G37" s="75">
        <v>40</v>
      </c>
      <c r="H37" s="75">
        <v>100</v>
      </c>
      <c r="I37" s="75">
        <v>4000</v>
      </c>
      <c r="J37" s="17"/>
    </row>
    <row r="38" spans="1:10" x14ac:dyDescent="0.3">
      <c r="A38" s="17"/>
      <c r="B38" s="126">
        <v>42440</v>
      </c>
      <c r="C38" s="75" t="s">
        <v>16</v>
      </c>
      <c r="D38" s="75" t="s">
        <v>25</v>
      </c>
      <c r="E38" s="75">
        <v>2600</v>
      </c>
      <c r="F38" s="75">
        <v>2600</v>
      </c>
      <c r="G38" s="75">
        <v>0</v>
      </c>
      <c r="H38" s="75">
        <v>100</v>
      </c>
      <c r="I38" s="75">
        <v>0</v>
      </c>
      <c r="J38" s="17"/>
    </row>
    <row r="39" spans="1:10" x14ac:dyDescent="0.3">
      <c r="A39" s="17"/>
      <c r="B39" s="126">
        <v>42443</v>
      </c>
      <c r="C39" s="75" t="s">
        <v>23</v>
      </c>
      <c r="D39" s="75" t="s">
        <v>25</v>
      </c>
      <c r="E39" s="75">
        <v>2580</v>
      </c>
      <c r="F39" s="75">
        <v>2510</v>
      </c>
      <c r="G39" s="75">
        <v>70</v>
      </c>
      <c r="H39" s="75">
        <v>100</v>
      </c>
      <c r="I39" s="75">
        <v>7000</v>
      </c>
      <c r="J39" s="17"/>
    </row>
    <row r="40" spans="1:10" x14ac:dyDescent="0.3">
      <c r="A40" s="17"/>
      <c r="B40" s="126">
        <v>42444</v>
      </c>
      <c r="C40" s="75" t="s">
        <v>23</v>
      </c>
      <c r="D40" s="75" t="s">
        <v>25</v>
      </c>
      <c r="E40" s="75">
        <v>2480</v>
      </c>
      <c r="F40" s="75">
        <v>2440</v>
      </c>
      <c r="G40" s="75">
        <v>40</v>
      </c>
      <c r="H40" s="75">
        <v>100</v>
      </c>
      <c r="I40" s="75">
        <v>4000</v>
      </c>
      <c r="J40" s="17"/>
    </row>
    <row r="41" spans="1:10" x14ac:dyDescent="0.3">
      <c r="A41" s="17"/>
      <c r="B41" s="126">
        <v>42445</v>
      </c>
      <c r="C41" s="75" t="s">
        <v>23</v>
      </c>
      <c r="D41" s="75" t="s">
        <v>25</v>
      </c>
      <c r="E41" s="75">
        <v>2485</v>
      </c>
      <c r="F41" s="75">
        <v>2525</v>
      </c>
      <c r="G41" s="75">
        <v>-40</v>
      </c>
      <c r="H41" s="75">
        <v>100</v>
      </c>
      <c r="I41" s="75">
        <v>-4000</v>
      </c>
      <c r="J41" s="17"/>
    </row>
    <row r="42" spans="1:10" x14ac:dyDescent="0.3">
      <c r="A42" s="17"/>
      <c r="B42" s="126">
        <v>42446</v>
      </c>
      <c r="C42" s="75" t="s">
        <v>23</v>
      </c>
      <c r="D42" s="75" t="s">
        <v>25</v>
      </c>
      <c r="E42" s="75">
        <v>2625</v>
      </c>
      <c r="F42" s="75">
        <v>2695</v>
      </c>
      <c r="G42" s="75">
        <v>30</v>
      </c>
      <c r="H42" s="75">
        <v>100</v>
      </c>
      <c r="I42" s="75">
        <v>3000</v>
      </c>
      <c r="J42" s="17"/>
    </row>
    <row r="43" spans="1:10" x14ac:dyDescent="0.3">
      <c r="A43" s="17"/>
      <c r="B43" s="126">
        <v>42447</v>
      </c>
      <c r="C43" s="75" t="s">
        <v>23</v>
      </c>
      <c r="D43" s="75" t="s">
        <v>25</v>
      </c>
      <c r="E43" s="75">
        <v>2790</v>
      </c>
      <c r="F43" s="75">
        <v>2820</v>
      </c>
      <c r="G43" s="75">
        <v>-30</v>
      </c>
      <c r="H43" s="75">
        <v>100</v>
      </c>
      <c r="I43" s="75">
        <v>-3000</v>
      </c>
      <c r="J43" s="17"/>
    </row>
    <row r="44" spans="1:10" x14ac:dyDescent="0.3">
      <c r="A44" s="17"/>
      <c r="B44" s="126">
        <v>42450</v>
      </c>
      <c r="C44" s="75" t="s">
        <v>23</v>
      </c>
      <c r="D44" s="75" t="s">
        <v>25</v>
      </c>
      <c r="E44" s="75">
        <v>2725</v>
      </c>
      <c r="F44" s="75">
        <v>2705</v>
      </c>
      <c r="G44" s="75">
        <v>20</v>
      </c>
      <c r="H44" s="75">
        <v>100</v>
      </c>
      <c r="I44" s="75">
        <v>2000</v>
      </c>
      <c r="J44" s="17"/>
    </row>
    <row r="45" spans="1:10" x14ac:dyDescent="0.3">
      <c r="A45" s="17"/>
      <c r="B45" s="126">
        <v>42451</v>
      </c>
      <c r="C45" s="75" t="s">
        <v>23</v>
      </c>
      <c r="D45" s="75" t="s">
        <v>25</v>
      </c>
      <c r="E45" s="75">
        <v>2783</v>
      </c>
      <c r="F45" s="75">
        <v>2740</v>
      </c>
      <c r="G45" s="75">
        <v>43</v>
      </c>
      <c r="H45" s="75">
        <v>100</v>
      </c>
      <c r="I45" s="75">
        <v>4300</v>
      </c>
      <c r="J45" s="17"/>
    </row>
    <row r="46" spans="1:10" x14ac:dyDescent="0.3">
      <c r="A46" s="17"/>
      <c r="B46" s="126">
        <v>42452</v>
      </c>
      <c r="C46" s="75" t="s">
        <v>23</v>
      </c>
      <c r="D46" s="75" t="s">
        <v>25</v>
      </c>
      <c r="E46" s="75">
        <v>2755</v>
      </c>
      <c r="F46" s="75">
        <v>2695</v>
      </c>
      <c r="G46" s="75">
        <v>60</v>
      </c>
      <c r="H46" s="75">
        <v>100</v>
      </c>
      <c r="I46" s="75">
        <v>6000</v>
      </c>
      <c r="J46" s="17"/>
    </row>
    <row r="47" spans="1:10" x14ac:dyDescent="0.3">
      <c r="A47" s="17"/>
      <c r="B47" s="126">
        <v>42457</v>
      </c>
      <c r="C47" s="75" t="s">
        <v>23</v>
      </c>
      <c r="D47" s="75" t="s">
        <v>25</v>
      </c>
      <c r="E47" s="75">
        <v>2680</v>
      </c>
      <c r="F47" s="75">
        <v>2620</v>
      </c>
      <c r="G47" s="75">
        <v>60</v>
      </c>
      <c r="H47" s="75">
        <v>100</v>
      </c>
      <c r="I47" s="75">
        <v>6000</v>
      </c>
      <c r="J47" s="17"/>
    </row>
    <row r="48" spans="1:10" x14ac:dyDescent="0.3">
      <c r="A48" s="17"/>
      <c r="B48" s="126">
        <v>42458</v>
      </c>
      <c r="C48" s="75" t="s">
        <v>23</v>
      </c>
      <c r="D48" s="75" t="s">
        <v>25</v>
      </c>
      <c r="E48" s="75">
        <v>2625</v>
      </c>
      <c r="F48" s="75">
        <v>2555</v>
      </c>
      <c r="G48" s="75">
        <v>70</v>
      </c>
      <c r="H48" s="75">
        <v>100</v>
      </c>
      <c r="I48" s="75">
        <v>7000</v>
      </c>
      <c r="J48" s="17"/>
    </row>
    <row r="49" spans="1:10" x14ac:dyDescent="0.3">
      <c r="A49" s="17"/>
      <c r="B49" s="126">
        <v>42459</v>
      </c>
      <c r="C49" s="75" t="s">
        <v>23</v>
      </c>
      <c r="D49" s="75" t="s">
        <v>25</v>
      </c>
      <c r="E49" s="75">
        <v>2600</v>
      </c>
      <c r="F49" s="75">
        <v>2655</v>
      </c>
      <c r="G49" s="75">
        <v>45</v>
      </c>
      <c r="H49" s="75">
        <v>100</v>
      </c>
      <c r="I49" s="75">
        <v>4500</v>
      </c>
      <c r="J49" s="17"/>
    </row>
    <row r="50" spans="1:10" x14ac:dyDescent="0.3">
      <c r="A50" s="17"/>
      <c r="B50" s="126">
        <v>42460</v>
      </c>
      <c r="C50" s="75" t="s">
        <v>23</v>
      </c>
      <c r="D50" s="75" t="s">
        <v>25</v>
      </c>
      <c r="E50" s="75">
        <v>2520</v>
      </c>
      <c r="F50" s="75">
        <v>2560</v>
      </c>
      <c r="G50" s="75">
        <v>-40</v>
      </c>
      <c r="H50" s="75">
        <v>100</v>
      </c>
      <c r="I50" s="75">
        <v>-4000</v>
      </c>
      <c r="J50" s="17"/>
    </row>
    <row r="51" spans="1:10" x14ac:dyDescent="0.3">
      <c r="A51" s="17"/>
      <c r="J51" s="17"/>
    </row>
    <row r="52" spans="1:10" x14ac:dyDescent="0.3">
      <c r="A52" s="17"/>
      <c r="B52" s="71"/>
      <c r="C52" s="24"/>
      <c r="D52" s="24"/>
      <c r="E52" s="49"/>
      <c r="F52" s="49"/>
      <c r="G52" s="49"/>
      <c r="H52" s="25"/>
      <c r="I52" s="29"/>
      <c r="J52" s="17"/>
    </row>
    <row r="53" spans="1:10" ht="17.399999999999999" x14ac:dyDescent="0.3">
      <c r="A53" s="17"/>
      <c r="B53" s="71"/>
      <c r="C53" s="97"/>
      <c r="D53" s="24"/>
      <c r="E53" s="97"/>
      <c r="F53" s="97"/>
      <c r="G53" s="97"/>
      <c r="H53" s="25"/>
      <c r="I53" s="106">
        <v>61800</v>
      </c>
      <c r="J53" s="17"/>
    </row>
    <row r="54" spans="1:10" x14ac:dyDescent="0.3">
      <c r="A54" s="17"/>
      <c r="B54" s="71"/>
      <c r="C54" s="97"/>
      <c r="D54" s="24"/>
      <c r="E54" s="97"/>
      <c r="F54" s="97"/>
      <c r="G54" s="97"/>
      <c r="H54" s="25"/>
      <c r="I54" s="69"/>
      <c r="J54" s="17"/>
    </row>
    <row r="55" spans="1:10" x14ac:dyDescent="0.3">
      <c r="A55" s="17"/>
      <c r="B55" s="71"/>
      <c r="C55" s="29"/>
      <c r="D55" s="36"/>
      <c r="E55" s="29"/>
      <c r="F55" s="29"/>
      <c r="G55" s="29"/>
      <c r="H55" s="29"/>
      <c r="I55" s="29"/>
      <c r="J55" s="17"/>
    </row>
    <row r="56" spans="1:10" ht="15.6" x14ac:dyDescent="0.3">
      <c r="A56" s="17"/>
      <c r="B56" s="130" t="s">
        <v>788</v>
      </c>
      <c r="C56" s="62"/>
      <c r="D56" s="63"/>
      <c r="E56" s="62"/>
      <c r="F56" s="62"/>
      <c r="G56" s="62"/>
      <c r="H56" s="62"/>
      <c r="I56" s="64"/>
      <c r="J56" s="17"/>
    </row>
    <row r="57" spans="1:10" x14ac:dyDescent="0.3">
      <c r="A57" s="17"/>
      <c r="B57" s="126">
        <v>42430</v>
      </c>
      <c r="C57" s="75" t="s">
        <v>16</v>
      </c>
      <c r="D57" s="75" t="s">
        <v>56</v>
      </c>
      <c r="E57" s="75">
        <v>108.05</v>
      </c>
      <c r="F57" s="75">
        <v>108.55</v>
      </c>
      <c r="G57" s="75">
        <v>0.5</v>
      </c>
      <c r="H57" s="75">
        <v>5000</v>
      </c>
      <c r="I57" s="75">
        <v>2500</v>
      </c>
      <c r="J57" s="17"/>
    </row>
    <row r="58" spans="1:10" x14ac:dyDescent="0.3">
      <c r="A58" s="17"/>
      <c r="B58" s="126">
        <v>42431</v>
      </c>
      <c r="C58" s="75" t="s">
        <v>16</v>
      </c>
      <c r="D58" s="75" t="s">
        <v>56</v>
      </c>
      <c r="E58" s="75">
        <v>108.1</v>
      </c>
      <c r="F58" s="75">
        <v>107.1</v>
      </c>
      <c r="G58" s="75">
        <v>-1</v>
      </c>
      <c r="H58" s="75">
        <v>5000</v>
      </c>
      <c r="I58" s="75">
        <v>-5000</v>
      </c>
      <c r="J58" s="17"/>
    </row>
    <row r="59" spans="1:10" x14ac:dyDescent="0.3">
      <c r="A59" s="17"/>
      <c r="B59" s="126">
        <v>42432</v>
      </c>
      <c r="C59" s="75" t="s">
        <v>16</v>
      </c>
      <c r="D59" s="75" t="s">
        <v>35</v>
      </c>
      <c r="E59" s="75">
        <v>593</v>
      </c>
      <c r="F59" s="75">
        <v>604</v>
      </c>
      <c r="G59" s="75">
        <v>11</v>
      </c>
      <c r="H59" s="75">
        <v>250</v>
      </c>
      <c r="I59" s="75">
        <v>2750</v>
      </c>
      <c r="J59" s="131"/>
    </row>
    <row r="60" spans="1:10" x14ac:dyDescent="0.3">
      <c r="A60" s="131"/>
      <c r="B60" s="126">
        <v>42433</v>
      </c>
      <c r="C60" s="75" t="s">
        <v>16</v>
      </c>
      <c r="D60" s="75" t="s">
        <v>28</v>
      </c>
      <c r="E60" s="75">
        <v>123.6</v>
      </c>
      <c r="F60" s="75">
        <v>124.4</v>
      </c>
      <c r="G60" s="75">
        <v>0.8</v>
      </c>
      <c r="H60" s="75">
        <v>5000</v>
      </c>
      <c r="I60" s="75">
        <v>4000</v>
      </c>
      <c r="J60" s="131"/>
    </row>
    <row r="61" spans="1:10" x14ac:dyDescent="0.3">
      <c r="A61" s="131"/>
      <c r="B61" s="126">
        <v>42437</v>
      </c>
      <c r="C61" s="75" t="s">
        <v>23</v>
      </c>
      <c r="D61" s="75" t="s">
        <v>56</v>
      </c>
      <c r="E61" s="75">
        <v>107.7</v>
      </c>
      <c r="F61" s="75">
        <v>106.2</v>
      </c>
      <c r="G61" s="75">
        <v>1.5</v>
      </c>
      <c r="H61" s="75">
        <v>5000</v>
      </c>
      <c r="I61" s="75">
        <v>7500</v>
      </c>
      <c r="J61" s="131"/>
    </row>
    <row r="62" spans="1:10" x14ac:dyDescent="0.3">
      <c r="A62" s="131"/>
      <c r="B62" s="126">
        <v>42438</v>
      </c>
      <c r="C62" s="75" t="s">
        <v>23</v>
      </c>
      <c r="D62" s="75" t="s">
        <v>56</v>
      </c>
      <c r="E62" s="75">
        <v>105.75</v>
      </c>
      <c r="F62" s="75">
        <v>105.25</v>
      </c>
      <c r="G62" s="75">
        <v>0.5</v>
      </c>
      <c r="H62" s="75">
        <v>5000</v>
      </c>
      <c r="I62" s="75">
        <v>2500</v>
      </c>
      <c r="J62" s="131"/>
    </row>
    <row r="63" spans="1:10" x14ac:dyDescent="0.3">
      <c r="A63" s="131"/>
      <c r="B63" s="126">
        <v>42439</v>
      </c>
      <c r="C63" s="75" t="s">
        <v>23</v>
      </c>
      <c r="D63" s="75" t="s">
        <v>56</v>
      </c>
      <c r="E63" s="75">
        <v>105.9</v>
      </c>
      <c r="F63" s="75">
        <v>104.4</v>
      </c>
      <c r="G63" s="75">
        <v>1.5</v>
      </c>
      <c r="H63" s="75">
        <v>5000</v>
      </c>
      <c r="I63" s="75">
        <v>7500</v>
      </c>
      <c r="J63" s="131"/>
    </row>
    <row r="64" spans="1:10" x14ac:dyDescent="0.3">
      <c r="A64" s="131"/>
      <c r="B64" s="126">
        <v>42440</v>
      </c>
      <c r="C64" s="75" t="s">
        <v>23</v>
      </c>
      <c r="D64" s="75" t="s">
        <v>56</v>
      </c>
      <c r="E64" s="75">
        <v>105.1</v>
      </c>
      <c r="F64" s="75">
        <v>104.6</v>
      </c>
      <c r="G64" s="75">
        <v>0.5</v>
      </c>
      <c r="H64" s="75">
        <v>5000</v>
      </c>
      <c r="I64" s="75">
        <v>2500</v>
      </c>
      <c r="J64" s="131"/>
    </row>
    <row r="65" spans="1:10" x14ac:dyDescent="0.3">
      <c r="A65" s="131"/>
      <c r="B65" s="126">
        <v>42443</v>
      </c>
      <c r="C65" s="75" t="s">
        <v>23</v>
      </c>
      <c r="D65" s="75" t="s">
        <v>56</v>
      </c>
      <c r="E65" s="75">
        <v>104.5</v>
      </c>
      <c r="F65" s="75">
        <v>103.5</v>
      </c>
      <c r="G65" s="75">
        <v>1</v>
      </c>
      <c r="H65" s="75">
        <v>5000</v>
      </c>
      <c r="I65" s="75">
        <v>5000</v>
      </c>
      <c r="J65" s="131"/>
    </row>
    <row r="66" spans="1:10" x14ac:dyDescent="0.3">
      <c r="A66" s="131"/>
      <c r="B66" s="126">
        <v>42444</v>
      </c>
      <c r="C66" s="75" t="s">
        <v>23</v>
      </c>
      <c r="D66" s="75" t="s">
        <v>28</v>
      </c>
      <c r="E66" s="75">
        <v>119.6</v>
      </c>
      <c r="F66" s="75">
        <v>118.1</v>
      </c>
      <c r="G66" s="75">
        <v>1.5</v>
      </c>
      <c r="H66" s="75">
        <v>5000</v>
      </c>
      <c r="I66" s="75">
        <v>7500</v>
      </c>
      <c r="J66" s="131"/>
    </row>
    <row r="67" spans="1:10" x14ac:dyDescent="0.3">
      <c r="A67" s="131"/>
      <c r="B67" s="126">
        <v>42445</v>
      </c>
      <c r="C67" s="75" t="s">
        <v>23</v>
      </c>
      <c r="D67" s="75" t="s">
        <v>56</v>
      </c>
      <c r="E67" s="75">
        <v>102.3</v>
      </c>
      <c r="F67" s="75">
        <v>101.8</v>
      </c>
      <c r="G67" s="75">
        <v>0.5</v>
      </c>
      <c r="H67" s="75">
        <v>5000</v>
      </c>
      <c r="I67" s="75">
        <v>2500</v>
      </c>
      <c r="J67" s="131"/>
    </row>
    <row r="68" spans="1:10" x14ac:dyDescent="0.3">
      <c r="A68" s="131"/>
      <c r="B68" s="126">
        <v>42446</v>
      </c>
      <c r="C68" s="75" t="s">
        <v>23</v>
      </c>
      <c r="D68" s="75" t="s">
        <v>56</v>
      </c>
      <c r="E68" s="75">
        <v>100.7</v>
      </c>
      <c r="F68" s="75">
        <v>100.5</v>
      </c>
      <c r="G68" s="75">
        <v>1.2</v>
      </c>
      <c r="H68" s="75">
        <v>5000</v>
      </c>
      <c r="I68" s="75">
        <v>6000</v>
      </c>
      <c r="J68" s="131"/>
    </row>
    <row r="69" spans="1:10" x14ac:dyDescent="0.3">
      <c r="A69" s="131"/>
      <c r="B69" s="126">
        <v>42447</v>
      </c>
      <c r="C69" s="75" t="s">
        <v>23</v>
      </c>
      <c r="D69" s="75" t="s">
        <v>56</v>
      </c>
      <c r="E69" s="75">
        <v>101.6</v>
      </c>
      <c r="F69" s="75">
        <v>100.1</v>
      </c>
      <c r="G69" s="75">
        <v>1.5</v>
      </c>
      <c r="H69" s="75">
        <v>5000</v>
      </c>
      <c r="I69" s="75">
        <v>7500</v>
      </c>
      <c r="J69" s="131"/>
    </row>
    <row r="70" spans="1:10" x14ac:dyDescent="0.3">
      <c r="A70" s="131"/>
      <c r="B70" s="126">
        <v>42450</v>
      </c>
      <c r="C70" s="75" t="s">
        <v>23</v>
      </c>
      <c r="D70" s="75" t="s">
        <v>56</v>
      </c>
      <c r="E70" s="75">
        <v>100.2</v>
      </c>
      <c r="F70" s="75">
        <v>99.7</v>
      </c>
      <c r="G70" s="75">
        <v>0.5</v>
      </c>
      <c r="H70" s="75">
        <v>5000</v>
      </c>
      <c r="I70" s="75">
        <v>2500</v>
      </c>
      <c r="J70" s="131"/>
    </row>
    <row r="71" spans="1:10" x14ac:dyDescent="0.3">
      <c r="A71" s="131"/>
      <c r="B71" s="126">
        <v>42451</v>
      </c>
      <c r="C71" s="75" t="s">
        <v>23</v>
      </c>
      <c r="D71" s="75" t="s">
        <v>56</v>
      </c>
      <c r="E71" s="75">
        <v>99.7</v>
      </c>
      <c r="F71" s="75">
        <v>99.2</v>
      </c>
      <c r="G71" s="75">
        <v>0.5</v>
      </c>
      <c r="H71" s="75">
        <v>5000</v>
      </c>
      <c r="I71" s="75">
        <v>2500</v>
      </c>
      <c r="J71" s="131"/>
    </row>
    <row r="72" spans="1:10" x14ac:dyDescent="0.3">
      <c r="A72" s="131"/>
      <c r="B72" s="126">
        <v>42452</v>
      </c>
      <c r="C72" s="75" t="s">
        <v>23</v>
      </c>
      <c r="D72" s="75" t="s">
        <v>56</v>
      </c>
      <c r="E72" s="75">
        <v>99.2</v>
      </c>
      <c r="F72" s="75">
        <v>98.7</v>
      </c>
      <c r="G72" s="75">
        <v>0.5</v>
      </c>
      <c r="H72" s="75">
        <v>5000</v>
      </c>
      <c r="I72" s="75">
        <v>2500</v>
      </c>
      <c r="J72" s="131"/>
    </row>
    <row r="73" spans="1:10" x14ac:dyDescent="0.3">
      <c r="A73" s="131"/>
      <c r="B73" s="126">
        <v>42457</v>
      </c>
      <c r="C73" s="75" t="s">
        <v>23</v>
      </c>
      <c r="D73" s="75" t="s">
        <v>56</v>
      </c>
      <c r="E73" s="75">
        <v>99</v>
      </c>
      <c r="F73" s="75">
        <v>98.75</v>
      </c>
      <c r="G73" s="75">
        <v>0.25</v>
      </c>
      <c r="H73" s="75">
        <v>5000</v>
      </c>
      <c r="I73" s="75">
        <v>1250</v>
      </c>
      <c r="J73" s="131"/>
    </row>
    <row r="74" spans="1:10" x14ac:dyDescent="0.3">
      <c r="A74" s="131"/>
      <c r="B74" s="126">
        <v>42458</v>
      </c>
      <c r="C74" s="75" t="s">
        <v>23</v>
      </c>
      <c r="D74" s="75" t="s">
        <v>56</v>
      </c>
      <c r="E74" s="75">
        <v>98.75</v>
      </c>
      <c r="F74" s="75">
        <v>98.4</v>
      </c>
      <c r="G74" s="75">
        <v>0.35</v>
      </c>
      <c r="H74" s="75">
        <v>5000</v>
      </c>
      <c r="I74" s="75">
        <v>1750</v>
      </c>
      <c r="J74" s="131"/>
    </row>
    <row r="75" spans="1:10" x14ac:dyDescent="0.3">
      <c r="A75" s="131"/>
      <c r="B75" s="126">
        <v>42459</v>
      </c>
      <c r="C75" s="75" t="s">
        <v>23</v>
      </c>
      <c r="D75" s="75" t="s">
        <v>56</v>
      </c>
      <c r="E75" s="75">
        <v>98.3</v>
      </c>
      <c r="F75" s="75">
        <v>98.6</v>
      </c>
      <c r="G75" s="75">
        <v>-0.3</v>
      </c>
      <c r="H75" s="75">
        <v>5000</v>
      </c>
      <c r="I75" s="75">
        <v>-1500</v>
      </c>
      <c r="J75" s="131"/>
    </row>
    <row r="76" spans="1:10" x14ac:dyDescent="0.3">
      <c r="A76" s="131"/>
      <c r="B76" s="126">
        <v>42460</v>
      </c>
      <c r="C76" s="75" t="s">
        <v>23</v>
      </c>
      <c r="D76" s="75" t="s">
        <v>27</v>
      </c>
      <c r="E76" s="75">
        <v>114.3</v>
      </c>
      <c r="F76" s="75">
        <v>113.4</v>
      </c>
      <c r="G76" s="75">
        <v>0.9</v>
      </c>
      <c r="H76" s="75">
        <v>5000</v>
      </c>
      <c r="I76" s="75">
        <v>4500</v>
      </c>
      <c r="J76" s="131"/>
    </row>
    <row r="77" spans="1:10" x14ac:dyDescent="0.3">
      <c r="A77" s="131"/>
      <c r="B77" s="126">
        <v>42460</v>
      </c>
      <c r="C77" s="75" t="s">
        <v>23</v>
      </c>
      <c r="D77" s="75" t="s">
        <v>56</v>
      </c>
      <c r="E77" s="75">
        <v>99.3</v>
      </c>
      <c r="F77" s="75">
        <v>100.3</v>
      </c>
      <c r="G77" s="75">
        <v>-1</v>
      </c>
      <c r="H77" s="75">
        <v>5000</v>
      </c>
      <c r="I77" s="75">
        <v>-5000</v>
      </c>
      <c r="J77" s="131"/>
    </row>
    <row r="78" spans="1:10" x14ac:dyDescent="0.3">
      <c r="A78" s="131"/>
      <c r="J78" s="131"/>
    </row>
    <row r="79" spans="1:10" x14ac:dyDescent="0.3">
      <c r="A79" s="131"/>
      <c r="J79" s="131"/>
    </row>
    <row r="80" spans="1:10" ht="17.399999999999999" x14ac:dyDescent="0.3">
      <c r="A80" s="131"/>
      <c r="B80" s="71"/>
      <c r="H80" s="29"/>
      <c r="I80" s="106">
        <v>61250</v>
      </c>
      <c r="J80" s="131"/>
    </row>
    <row r="81" spans="1:10" x14ac:dyDescent="0.3">
      <c r="A81" s="131"/>
      <c r="H81" s="29"/>
      <c r="I81" s="69"/>
      <c r="J81" s="131"/>
    </row>
    <row r="82" spans="1:10" ht="18" x14ac:dyDescent="0.35">
      <c r="A82" s="131"/>
      <c r="I82" s="105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7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88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ht="15.6" x14ac:dyDescent="0.3">
      <c r="A3" s="17"/>
      <c r="B3" s="298" t="s">
        <v>835</v>
      </c>
      <c r="C3" s="298"/>
      <c r="D3" s="298"/>
      <c r="E3" s="298"/>
      <c r="F3" s="298"/>
      <c r="G3" s="298"/>
      <c r="H3" s="298"/>
      <c r="I3" s="298"/>
      <c r="J3" s="17"/>
    </row>
    <row r="4" spans="1:15" ht="15.6" x14ac:dyDescent="0.3">
      <c r="A4" s="17"/>
      <c r="B4" s="299" t="s">
        <v>778</v>
      </c>
      <c r="C4" s="299"/>
      <c r="D4" s="299"/>
      <c r="E4" s="299"/>
      <c r="F4" s="299"/>
      <c r="G4" s="299"/>
      <c r="H4" s="299"/>
      <c r="I4" s="299"/>
      <c r="J4" s="17"/>
    </row>
    <row r="5" spans="1:15" x14ac:dyDescent="0.3">
      <c r="A5" s="17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60" t="s">
        <v>7</v>
      </c>
      <c r="J5" s="17"/>
      <c r="K5" s="71"/>
    </row>
    <row r="6" spans="1:15" x14ac:dyDescent="0.3">
      <c r="A6" s="17"/>
      <c r="B6" s="134">
        <v>42461</v>
      </c>
      <c r="C6" s="135" t="s">
        <v>23</v>
      </c>
      <c r="D6" s="135" t="s">
        <v>24</v>
      </c>
      <c r="E6" s="135">
        <v>28820</v>
      </c>
      <c r="F6" s="135">
        <v>28640</v>
      </c>
      <c r="G6" s="135">
        <v>180</v>
      </c>
      <c r="H6" s="135">
        <v>100</v>
      </c>
      <c r="I6" s="135">
        <v>18000</v>
      </c>
      <c r="J6" s="17"/>
      <c r="K6" s="71"/>
    </row>
    <row r="7" spans="1:15" x14ac:dyDescent="0.3">
      <c r="A7" s="17"/>
      <c r="B7" s="134">
        <v>42464</v>
      </c>
      <c r="C7" s="135" t="s">
        <v>23</v>
      </c>
      <c r="D7" s="135" t="s">
        <v>24</v>
      </c>
      <c r="E7" s="135">
        <v>28410</v>
      </c>
      <c r="F7" s="135">
        <v>28330</v>
      </c>
      <c r="G7" s="135">
        <v>80</v>
      </c>
      <c r="H7" s="135">
        <v>100</v>
      </c>
      <c r="I7" s="135">
        <v>8000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42465</v>
      </c>
      <c r="C8" s="135" t="s">
        <v>23</v>
      </c>
      <c r="D8" s="135" t="s">
        <v>24</v>
      </c>
      <c r="E8" s="135">
        <v>28835</v>
      </c>
      <c r="F8" s="135">
        <v>28935</v>
      </c>
      <c r="G8" s="135">
        <v>-100</v>
      </c>
      <c r="H8" s="135">
        <v>100</v>
      </c>
      <c r="I8" s="135">
        <v>-10000</v>
      </c>
      <c r="J8" s="17"/>
      <c r="K8" s="71" t="s">
        <v>257</v>
      </c>
      <c r="L8" s="49" t="s">
        <v>265</v>
      </c>
      <c r="M8" s="101" t="s">
        <v>291</v>
      </c>
      <c r="N8" s="101" t="s">
        <v>264</v>
      </c>
      <c r="O8" s="101" t="s">
        <v>262</v>
      </c>
    </row>
    <row r="9" spans="1:15" x14ac:dyDescent="0.3">
      <c r="A9" s="17"/>
      <c r="B9" s="134">
        <v>42466</v>
      </c>
      <c r="C9" s="135" t="s">
        <v>23</v>
      </c>
      <c r="D9" s="135" t="s">
        <v>24</v>
      </c>
      <c r="E9" s="135">
        <v>28740</v>
      </c>
      <c r="F9" s="135">
        <v>28620</v>
      </c>
      <c r="G9" s="135">
        <v>120</v>
      </c>
      <c r="H9" s="135">
        <v>100</v>
      </c>
      <c r="I9" s="135">
        <v>12000</v>
      </c>
      <c r="J9" s="17"/>
      <c r="K9" s="71" t="s">
        <v>258</v>
      </c>
      <c r="L9" s="101" t="s">
        <v>265</v>
      </c>
      <c r="M9" s="101" t="s">
        <v>392</v>
      </c>
      <c r="N9" s="101" t="s">
        <v>261</v>
      </c>
      <c r="O9" s="101" t="s">
        <v>290</v>
      </c>
    </row>
    <row r="10" spans="1:15" x14ac:dyDescent="0.3">
      <c r="A10" s="17"/>
      <c r="B10" s="134">
        <v>42467</v>
      </c>
      <c r="C10" s="135" t="s">
        <v>16</v>
      </c>
      <c r="D10" s="135" t="s">
        <v>24</v>
      </c>
      <c r="E10" s="135">
        <v>28970</v>
      </c>
      <c r="F10" s="135">
        <v>29140</v>
      </c>
      <c r="G10" s="135">
        <v>170</v>
      </c>
      <c r="H10" s="135">
        <v>100</v>
      </c>
      <c r="I10" s="135">
        <v>17000</v>
      </c>
      <c r="J10" s="17"/>
      <c r="K10" s="71" t="s">
        <v>259</v>
      </c>
      <c r="L10" s="101" t="s">
        <v>265</v>
      </c>
      <c r="M10" s="101" t="s">
        <v>335</v>
      </c>
      <c r="N10" s="101" t="s">
        <v>266</v>
      </c>
      <c r="O10" s="101" t="s">
        <v>262</v>
      </c>
    </row>
    <row r="11" spans="1:15" x14ac:dyDescent="0.3">
      <c r="A11" s="17"/>
      <c r="B11" s="134">
        <v>42468</v>
      </c>
      <c r="C11" s="135" t="s">
        <v>23</v>
      </c>
      <c r="D11" s="135" t="s">
        <v>24</v>
      </c>
      <c r="E11" s="135">
        <v>28930</v>
      </c>
      <c r="F11" s="135">
        <v>28855</v>
      </c>
      <c r="G11" s="135">
        <v>75</v>
      </c>
      <c r="H11" s="135">
        <v>100</v>
      </c>
      <c r="I11" s="135">
        <v>7500</v>
      </c>
      <c r="J11" s="17"/>
      <c r="K11" s="71" t="s">
        <v>300</v>
      </c>
      <c r="L11" s="104" t="s">
        <v>269</v>
      </c>
      <c r="M11" s="104" t="s">
        <v>301</v>
      </c>
      <c r="N11" s="104" t="s">
        <v>270</v>
      </c>
      <c r="O11" s="104" t="s">
        <v>290</v>
      </c>
    </row>
    <row r="12" spans="1:15" x14ac:dyDescent="0.3">
      <c r="A12" s="17"/>
      <c r="B12" s="134">
        <v>42471</v>
      </c>
      <c r="C12" s="135" t="s">
        <v>23</v>
      </c>
      <c r="D12" s="135" t="s">
        <v>24</v>
      </c>
      <c r="E12" s="135">
        <v>29310</v>
      </c>
      <c r="F12" s="135">
        <v>29150</v>
      </c>
      <c r="G12" s="135">
        <v>160</v>
      </c>
      <c r="H12" s="135">
        <v>100</v>
      </c>
      <c r="I12" s="135">
        <v>16000</v>
      </c>
      <c r="J12" s="17"/>
      <c r="K12" s="71"/>
    </row>
    <row r="13" spans="1:15" x14ac:dyDescent="0.3">
      <c r="A13" s="17"/>
      <c r="B13" s="134">
        <v>42472</v>
      </c>
      <c r="C13" s="135" t="s">
        <v>16</v>
      </c>
      <c r="D13" s="135" t="s">
        <v>24</v>
      </c>
      <c r="E13" s="135">
        <v>29380</v>
      </c>
      <c r="F13" s="135">
        <v>29460</v>
      </c>
      <c r="G13" s="135">
        <v>80</v>
      </c>
      <c r="H13" s="135">
        <v>100</v>
      </c>
      <c r="I13" s="135">
        <v>8000</v>
      </c>
      <c r="J13" s="17"/>
      <c r="K13" s="132"/>
      <c r="L13" s="127" t="s">
        <v>832</v>
      </c>
      <c r="M13" s="128"/>
      <c r="N13" s="133" t="s">
        <v>836</v>
      </c>
    </row>
    <row r="14" spans="1:15" x14ac:dyDescent="0.3">
      <c r="A14" s="17"/>
      <c r="B14" s="134">
        <v>42473</v>
      </c>
      <c r="C14" s="135" t="s">
        <v>16</v>
      </c>
      <c r="D14" s="135" t="s">
        <v>22</v>
      </c>
      <c r="E14" s="135">
        <v>38100</v>
      </c>
      <c r="F14" s="135">
        <v>38550</v>
      </c>
      <c r="G14" s="135">
        <v>450</v>
      </c>
      <c r="H14" s="135">
        <v>30</v>
      </c>
      <c r="I14" s="135">
        <v>13500</v>
      </c>
      <c r="J14" s="17"/>
      <c r="K14" s="71"/>
    </row>
    <row r="15" spans="1:15" x14ac:dyDescent="0.3">
      <c r="A15" s="17"/>
      <c r="B15" s="134">
        <v>42478</v>
      </c>
      <c r="C15" s="135" t="s">
        <v>23</v>
      </c>
      <c r="D15" s="135" t="s">
        <v>24</v>
      </c>
      <c r="E15" s="135">
        <v>29050</v>
      </c>
      <c r="F15" s="135">
        <v>29150</v>
      </c>
      <c r="G15" s="135">
        <v>-100</v>
      </c>
      <c r="H15" s="135">
        <v>100</v>
      </c>
      <c r="I15" s="135">
        <v>-10000</v>
      </c>
      <c r="J15" s="17"/>
      <c r="K15" s="71"/>
    </row>
    <row r="16" spans="1:15" x14ac:dyDescent="0.3">
      <c r="A16" s="17"/>
      <c r="B16" s="134">
        <v>42480</v>
      </c>
      <c r="C16" s="135" t="s">
        <v>23</v>
      </c>
      <c r="D16" s="135" t="s">
        <v>24</v>
      </c>
      <c r="E16" s="135">
        <v>29220</v>
      </c>
      <c r="F16" s="135">
        <v>29330</v>
      </c>
      <c r="G16" s="135">
        <v>-100</v>
      </c>
      <c r="H16" s="135">
        <v>100</v>
      </c>
      <c r="I16" s="135">
        <v>-10000</v>
      </c>
      <c r="J16" s="17"/>
      <c r="K16" s="71"/>
    </row>
    <row r="17" spans="1:11" x14ac:dyDescent="0.3">
      <c r="A17" s="17"/>
      <c r="B17" s="134">
        <v>42481</v>
      </c>
      <c r="C17" s="135" t="s">
        <v>16</v>
      </c>
      <c r="D17" s="135" t="s">
        <v>24</v>
      </c>
      <c r="E17" s="135">
        <v>29500</v>
      </c>
      <c r="F17" s="135">
        <v>29590</v>
      </c>
      <c r="G17" s="135">
        <v>190</v>
      </c>
      <c r="H17" s="135">
        <v>100</v>
      </c>
      <c r="I17" s="135">
        <v>19000</v>
      </c>
      <c r="J17" s="17"/>
      <c r="K17" s="71"/>
    </row>
    <row r="18" spans="1:11" x14ac:dyDescent="0.3">
      <c r="A18" s="17"/>
      <c r="B18" s="134">
        <v>42482</v>
      </c>
      <c r="C18" s="135" t="s">
        <v>16</v>
      </c>
      <c r="D18" s="135" t="s">
        <v>22</v>
      </c>
      <c r="E18" s="135">
        <v>40500</v>
      </c>
      <c r="F18" s="135">
        <v>40800</v>
      </c>
      <c r="G18" s="135">
        <v>300</v>
      </c>
      <c r="H18" s="135">
        <v>30</v>
      </c>
      <c r="I18" s="135">
        <v>9000</v>
      </c>
      <c r="J18" s="17"/>
      <c r="K18" s="71"/>
    </row>
    <row r="19" spans="1:11" x14ac:dyDescent="0.3">
      <c r="A19" s="17"/>
      <c r="B19" s="134">
        <v>42485</v>
      </c>
      <c r="C19" s="135" t="s">
        <v>16</v>
      </c>
      <c r="D19" s="135" t="s">
        <v>24</v>
      </c>
      <c r="E19" s="135">
        <v>29150</v>
      </c>
      <c r="F19" s="135">
        <v>29270</v>
      </c>
      <c r="G19" s="135">
        <v>120</v>
      </c>
      <c r="H19" s="135">
        <v>100</v>
      </c>
      <c r="I19" s="135">
        <v>12000</v>
      </c>
      <c r="J19" s="17"/>
      <c r="K19" s="71"/>
    </row>
    <row r="20" spans="1:11" x14ac:dyDescent="0.3">
      <c r="A20" s="17"/>
      <c r="B20" s="134">
        <v>42486</v>
      </c>
      <c r="C20" s="135" t="s">
        <v>23</v>
      </c>
      <c r="D20" s="135" t="s">
        <v>24</v>
      </c>
      <c r="E20" s="135">
        <v>29050</v>
      </c>
      <c r="F20" s="135">
        <v>29150</v>
      </c>
      <c r="G20" s="135">
        <v>-100</v>
      </c>
      <c r="H20" s="135">
        <v>100</v>
      </c>
      <c r="I20" s="135">
        <v>-10000</v>
      </c>
      <c r="J20" s="17"/>
      <c r="K20" s="71"/>
    </row>
    <row r="21" spans="1:11" x14ac:dyDescent="0.3">
      <c r="A21" s="17"/>
      <c r="B21" s="134">
        <v>42487</v>
      </c>
      <c r="C21" s="135" t="s">
        <v>16</v>
      </c>
      <c r="D21" s="135" t="s">
        <v>22</v>
      </c>
      <c r="E21" s="135">
        <v>40600</v>
      </c>
      <c r="F21" s="135">
        <v>40850</v>
      </c>
      <c r="G21" s="135">
        <v>250</v>
      </c>
      <c r="H21" s="135">
        <v>30</v>
      </c>
      <c r="I21" s="135">
        <v>7500</v>
      </c>
      <c r="J21" s="17"/>
      <c r="K21" s="71"/>
    </row>
    <row r="22" spans="1:11" x14ac:dyDescent="0.3">
      <c r="A22" s="17"/>
      <c r="B22" s="134">
        <v>42488</v>
      </c>
      <c r="C22" s="135" t="s">
        <v>16</v>
      </c>
      <c r="D22" s="135" t="s">
        <v>24</v>
      </c>
      <c r="E22" s="135">
        <v>29480</v>
      </c>
      <c r="F22" s="135">
        <v>29670</v>
      </c>
      <c r="G22" s="135">
        <v>190</v>
      </c>
      <c r="H22" s="135">
        <v>100</v>
      </c>
      <c r="I22" s="135">
        <v>19000</v>
      </c>
      <c r="J22" s="17"/>
      <c r="K22" s="71"/>
    </row>
    <row r="23" spans="1:11" x14ac:dyDescent="0.3">
      <c r="A23" s="17"/>
      <c r="B23" s="134">
        <v>42489</v>
      </c>
      <c r="C23" s="135" t="s">
        <v>16</v>
      </c>
      <c r="D23" s="135" t="s">
        <v>24</v>
      </c>
      <c r="E23" s="135">
        <v>29970</v>
      </c>
      <c r="F23" s="135">
        <v>30160</v>
      </c>
      <c r="G23" s="135">
        <v>190</v>
      </c>
      <c r="H23" s="135">
        <v>100</v>
      </c>
      <c r="I23" s="135">
        <v>19000</v>
      </c>
      <c r="J23" s="17"/>
      <c r="K23" s="71"/>
    </row>
    <row r="24" spans="1:11" x14ac:dyDescent="0.3">
      <c r="A24" s="17"/>
      <c r="B24" s="135"/>
      <c r="C24" s="135"/>
      <c r="D24" s="135"/>
      <c r="E24" s="135"/>
      <c r="F24" s="135"/>
      <c r="G24" s="135"/>
      <c r="H24" s="135"/>
      <c r="I24" s="135"/>
      <c r="J24" s="17"/>
    </row>
    <row r="25" spans="1:11" x14ac:dyDescent="0.3">
      <c r="A25" s="17"/>
      <c r="B25" s="135"/>
      <c r="C25" s="135"/>
      <c r="D25" s="135"/>
      <c r="E25" s="135"/>
      <c r="F25" s="135"/>
      <c r="G25" s="135"/>
      <c r="H25" s="135"/>
      <c r="I25" s="135"/>
      <c r="J25" s="17"/>
    </row>
    <row r="26" spans="1:11" ht="17.399999999999999" x14ac:dyDescent="0.3">
      <c r="A26" s="17"/>
      <c r="B26" s="136"/>
      <c r="C26" s="137"/>
      <c r="D26" s="137"/>
      <c r="E26" s="137"/>
      <c r="F26" s="137"/>
      <c r="G26" s="137"/>
      <c r="H26" s="137"/>
      <c r="I26" s="138">
        <v>145500</v>
      </c>
      <c r="J26" s="17"/>
    </row>
    <row r="27" spans="1:11" x14ac:dyDescent="0.3">
      <c r="A27" s="17"/>
      <c r="B27" s="135"/>
      <c r="C27" s="24"/>
      <c r="D27" s="26"/>
      <c r="E27" s="26"/>
      <c r="F27" s="26"/>
      <c r="G27" s="26"/>
      <c r="H27" s="29"/>
      <c r="I27" s="29"/>
      <c r="J27" s="17"/>
    </row>
    <row r="28" spans="1:11" x14ac:dyDescent="0.3">
      <c r="A28" s="17"/>
      <c r="B28" s="139"/>
      <c r="C28" s="29"/>
      <c r="D28" s="26"/>
      <c r="E28" s="36"/>
      <c r="F28" s="29"/>
      <c r="G28" s="29"/>
      <c r="H28" s="29"/>
      <c r="I28" s="140"/>
      <c r="J28" s="17"/>
    </row>
    <row r="29" spans="1:11" x14ac:dyDescent="0.3">
      <c r="A29" s="17"/>
      <c r="C29" s="29"/>
      <c r="D29" s="36"/>
      <c r="E29" s="36"/>
      <c r="F29" s="29"/>
      <c r="G29" s="29"/>
      <c r="H29" s="29"/>
      <c r="I29" s="29"/>
      <c r="J29" s="17"/>
    </row>
    <row r="30" spans="1:11" ht="15.6" x14ac:dyDescent="0.3">
      <c r="A30" s="17"/>
      <c r="B30" s="130" t="s">
        <v>789</v>
      </c>
      <c r="C30" s="62"/>
      <c r="D30" s="63"/>
      <c r="E30" s="62"/>
      <c r="F30" s="62"/>
      <c r="G30" s="62"/>
      <c r="H30" s="62"/>
      <c r="I30" s="62"/>
      <c r="J30" s="17"/>
    </row>
    <row r="31" spans="1:11" x14ac:dyDescent="0.3">
      <c r="A31" s="17"/>
      <c r="B31" s="141">
        <v>42461</v>
      </c>
      <c r="C31" s="135" t="s">
        <v>23</v>
      </c>
      <c r="D31" s="135" t="s">
        <v>25</v>
      </c>
      <c r="E31" s="135">
        <v>2548</v>
      </c>
      <c r="F31" s="135">
        <v>2478</v>
      </c>
      <c r="G31" s="135">
        <v>70</v>
      </c>
      <c r="H31" s="135">
        <v>100</v>
      </c>
      <c r="I31" s="135">
        <v>7000</v>
      </c>
      <c r="J31" s="17"/>
    </row>
    <row r="32" spans="1:11" x14ac:dyDescent="0.3">
      <c r="A32" s="17"/>
      <c r="B32" s="141">
        <v>42464</v>
      </c>
      <c r="C32" s="135" t="s">
        <v>16</v>
      </c>
      <c r="D32" s="135" t="s">
        <v>25</v>
      </c>
      <c r="E32" s="135">
        <v>2420</v>
      </c>
      <c r="F32" s="135">
        <v>2460</v>
      </c>
      <c r="G32" s="135">
        <v>40</v>
      </c>
      <c r="H32" s="135">
        <v>100</v>
      </c>
      <c r="I32" s="135">
        <v>4000</v>
      </c>
      <c r="J32" s="17"/>
    </row>
    <row r="33" spans="1:10" x14ac:dyDescent="0.3">
      <c r="A33" s="17"/>
      <c r="B33" s="141">
        <v>42465</v>
      </c>
      <c r="C33" s="135" t="s">
        <v>23</v>
      </c>
      <c r="D33" s="135" t="s">
        <v>25</v>
      </c>
      <c r="E33" s="135">
        <v>2370</v>
      </c>
      <c r="F33" s="135">
        <v>2370</v>
      </c>
      <c r="G33" s="135">
        <v>0</v>
      </c>
      <c r="H33" s="135">
        <v>100</v>
      </c>
      <c r="I33" s="135">
        <v>0</v>
      </c>
      <c r="J33" s="17"/>
    </row>
    <row r="34" spans="1:10" x14ac:dyDescent="0.3">
      <c r="A34" s="17"/>
      <c r="B34" s="141">
        <v>42466</v>
      </c>
      <c r="C34" s="135" t="s">
        <v>16</v>
      </c>
      <c r="D34" s="135" t="s">
        <v>25</v>
      </c>
      <c r="E34" s="135">
        <v>2455</v>
      </c>
      <c r="F34" s="135">
        <v>2520</v>
      </c>
      <c r="G34" s="135">
        <v>65</v>
      </c>
      <c r="H34" s="135">
        <v>100</v>
      </c>
      <c r="I34" s="135">
        <v>6500</v>
      </c>
      <c r="J34" s="17"/>
    </row>
    <row r="35" spans="1:10" x14ac:dyDescent="0.3">
      <c r="A35" s="17"/>
      <c r="B35" s="141">
        <v>42467</v>
      </c>
      <c r="C35" s="135" t="s">
        <v>23</v>
      </c>
      <c r="D35" s="135" t="s">
        <v>25</v>
      </c>
      <c r="E35" s="135">
        <v>2530</v>
      </c>
      <c r="F35" s="135">
        <v>2460</v>
      </c>
      <c r="G35" s="135">
        <v>70</v>
      </c>
      <c r="H35" s="135">
        <v>100</v>
      </c>
      <c r="I35" s="135">
        <v>7000</v>
      </c>
      <c r="J35" s="17"/>
    </row>
    <row r="36" spans="1:10" x14ac:dyDescent="0.3">
      <c r="A36" s="17"/>
      <c r="B36" s="141">
        <v>42468</v>
      </c>
      <c r="C36" s="135" t="s">
        <v>23</v>
      </c>
      <c r="D36" s="135" t="s">
        <v>25</v>
      </c>
      <c r="E36" s="135">
        <v>2570</v>
      </c>
      <c r="F36" s="135">
        <v>2540</v>
      </c>
      <c r="G36" s="135">
        <v>70</v>
      </c>
      <c r="H36" s="135">
        <v>100</v>
      </c>
      <c r="I36" s="135">
        <v>7000</v>
      </c>
      <c r="J36" s="17"/>
    </row>
    <row r="37" spans="1:10" x14ac:dyDescent="0.3">
      <c r="A37" s="17"/>
      <c r="B37" s="141">
        <v>42471</v>
      </c>
      <c r="C37" s="135" t="s">
        <v>23</v>
      </c>
      <c r="D37" s="135" t="s">
        <v>25</v>
      </c>
      <c r="E37" s="135">
        <v>2635</v>
      </c>
      <c r="F37" s="135">
        <v>2670</v>
      </c>
      <c r="G37" s="135">
        <v>-35</v>
      </c>
      <c r="H37" s="135">
        <v>100</v>
      </c>
      <c r="I37" s="135">
        <v>-3500</v>
      </c>
      <c r="J37" s="17"/>
    </row>
    <row r="38" spans="1:10" x14ac:dyDescent="0.3">
      <c r="A38" s="17"/>
      <c r="B38" s="141">
        <v>42472</v>
      </c>
      <c r="C38" s="135" t="s">
        <v>16</v>
      </c>
      <c r="D38" s="135" t="s">
        <v>25</v>
      </c>
      <c r="E38" s="135">
        <v>2685</v>
      </c>
      <c r="F38" s="135">
        <v>2760</v>
      </c>
      <c r="G38" s="135">
        <v>75</v>
      </c>
      <c r="H38" s="135">
        <v>100</v>
      </c>
      <c r="I38" s="135">
        <v>7500</v>
      </c>
      <c r="J38" s="17"/>
    </row>
    <row r="39" spans="1:10" x14ac:dyDescent="0.3">
      <c r="A39" s="17"/>
      <c r="B39" s="141">
        <v>42473</v>
      </c>
      <c r="C39" s="135" t="s">
        <v>23</v>
      </c>
      <c r="D39" s="135" t="s">
        <v>25</v>
      </c>
      <c r="E39" s="135">
        <v>2765</v>
      </c>
      <c r="F39" s="135">
        <v>2750</v>
      </c>
      <c r="G39" s="135">
        <v>15</v>
      </c>
      <c r="H39" s="135">
        <v>100</v>
      </c>
      <c r="I39" s="135">
        <v>1500</v>
      </c>
      <c r="J39" s="17"/>
    </row>
    <row r="40" spans="1:10" x14ac:dyDescent="0.3">
      <c r="A40" s="17"/>
      <c r="B40" s="141">
        <v>42478</v>
      </c>
      <c r="C40" s="135" t="s">
        <v>23</v>
      </c>
      <c r="D40" s="135" t="s">
        <v>25</v>
      </c>
      <c r="E40" s="135">
        <v>2560</v>
      </c>
      <c r="F40" s="135">
        <v>2595</v>
      </c>
      <c r="G40" s="135">
        <v>-35</v>
      </c>
      <c r="H40" s="135">
        <v>100</v>
      </c>
      <c r="I40" s="135">
        <v>-3500</v>
      </c>
      <c r="J40" s="17"/>
    </row>
    <row r="41" spans="1:10" x14ac:dyDescent="0.3">
      <c r="A41" s="17"/>
      <c r="B41" s="141">
        <v>42480</v>
      </c>
      <c r="C41" s="135" t="s">
        <v>16</v>
      </c>
      <c r="D41" s="135" t="s">
        <v>25</v>
      </c>
      <c r="E41" s="135">
        <v>2765</v>
      </c>
      <c r="F41" s="135">
        <v>2855</v>
      </c>
      <c r="G41" s="135">
        <v>90</v>
      </c>
      <c r="H41" s="135">
        <v>100</v>
      </c>
      <c r="I41" s="135">
        <v>9000</v>
      </c>
      <c r="J41" s="17"/>
    </row>
    <row r="42" spans="1:10" x14ac:dyDescent="0.3">
      <c r="A42" s="17"/>
      <c r="B42" s="141">
        <v>42481</v>
      </c>
      <c r="C42" s="135" t="s">
        <v>23</v>
      </c>
      <c r="D42" s="135" t="s">
        <v>25</v>
      </c>
      <c r="E42" s="135">
        <v>2935</v>
      </c>
      <c r="F42" s="135">
        <v>2990</v>
      </c>
      <c r="G42" s="135">
        <v>45</v>
      </c>
      <c r="H42" s="135">
        <v>100</v>
      </c>
      <c r="I42" s="135">
        <v>4500</v>
      </c>
      <c r="J42" s="17"/>
    </row>
    <row r="43" spans="1:10" x14ac:dyDescent="0.3">
      <c r="A43" s="17"/>
      <c r="B43" s="141">
        <v>42482</v>
      </c>
      <c r="C43" s="135" t="s">
        <v>16</v>
      </c>
      <c r="D43" s="135" t="s">
        <v>25</v>
      </c>
      <c r="E43" s="135">
        <v>2900</v>
      </c>
      <c r="F43" s="135">
        <v>2965</v>
      </c>
      <c r="G43" s="135">
        <v>65</v>
      </c>
      <c r="H43" s="135">
        <v>100</v>
      </c>
      <c r="I43" s="135">
        <v>6500</v>
      </c>
      <c r="J43" s="17"/>
    </row>
    <row r="44" spans="1:10" x14ac:dyDescent="0.3">
      <c r="A44" s="17"/>
      <c r="B44" s="141">
        <v>42485</v>
      </c>
      <c r="C44" s="135" t="s">
        <v>16</v>
      </c>
      <c r="D44" s="135" t="s">
        <v>25</v>
      </c>
      <c r="E44" s="135">
        <v>2890</v>
      </c>
      <c r="F44" s="135">
        <v>2840</v>
      </c>
      <c r="G44" s="135">
        <v>50</v>
      </c>
      <c r="H44" s="135">
        <v>100</v>
      </c>
      <c r="I44" s="135">
        <v>5000</v>
      </c>
      <c r="J44" s="17"/>
    </row>
    <row r="45" spans="1:10" x14ac:dyDescent="0.3">
      <c r="A45" s="17"/>
      <c r="B45" s="141">
        <v>42486</v>
      </c>
      <c r="C45" s="135" t="s">
        <v>16</v>
      </c>
      <c r="D45" s="135" t="s">
        <v>25</v>
      </c>
      <c r="E45" s="135">
        <v>2880</v>
      </c>
      <c r="F45" s="135">
        <v>2940</v>
      </c>
      <c r="G45" s="135">
        <v>60</v>
      </c>
      <c r="H45" s="135">
        <v>100</v>
      </c>
      <c r="I45" s="135">
        <v>6000</v>
      </c>
      <c r="J45" s="17"/>
    </row>
    <row r="46" spans="1:10" x14ac:dyDescent="0.3">
      <c r="A46" s="17"/>
      <c r="B46" s="141">
        <v>42487</v>
      </c>
      <c r="C46" s="135" t="s">
        <v>16</v>
      </c>
      <c r="D46" s="135" t="s">
        <v>25</v>
      </c>
      <c r="E46" s="135">
        <v>2980</v>
      </c>
      <c r="F46" s="135">
        <v>3005</v>
      </c>
      <c r="G46" s="135">
        <v>25</v>
      </c>
      <c r="H46" s="135">
        <v>100</v>
      </c>
      <c r="I46" s="135">
        <v>2500</v>
      </c>
      <c r="J46" s="17"/>
    </row>
    <row r="47" spans="1:10" x14ac:dyDescent="0.3">
      <c r="A47" s="17"/>
      <c r="B47" s="141">
        <v>42488</v>
      </c>
      <c r="C47" s="135" t="s">
        <v>16</v>
      </c>
      <c r="D47" s="135" t="s">
        <v>25</v>
      </c>
      <c r="E47" s="135">
        <v>3005</v>
      </c>
      <c r="F47" s="135">
        <v>3065</v>
      </c>
      <c r="G47" s="135">
        <v>60</v>
      </c>
      <c r="H47" s="135">
        <v>100</v>
      </c>
      <c r="I47" s="135">
        <v>6000</v>
      </c>
      <c r="J47" s="17"/>
    </row>
    <row r="48" spans="1:10" x14ac:dyDescent="0.3">
      <c r="A48" s="17"/>
      <c r="B48" s="141">
        <v>42489</v>
      </c>
      <c r="C48" s="135" t="s">
        <v>16</v>
      </c>
      <c r="D48" s="135" t="s">
        <v>25</v>
      </c>
      <c r="E48" s="135">
        <v>3090</v>
      </c>
      <c r="F48" s="135">
        <v>3115</v>
      </c>
      <c r="G48" s="135">
        <v>25</v>
      </c>
      <c r="H48" s="135">
        <v>100</v>
      </c>
      <c r="I48" s="135">
        <v>2500</v>
      </c>
      <c r="J48" s="17"/>
    </row>
    <row r="49" spans="1:10" x14ac:dyDescent="0.3">
      <c r="A49" s="17"/>
      <c r="B49" s="141"/>
      <c r="C49" s="135"/>
      <c r="D49" s="135"/>
      <c r="E49" s="135"/>
      <c r="F49" s="135"/>
      <c r="G49" s="135"/>
      <c r="H49" s="135"/>
      <c r="I49" s="135"/>
      <c r="J49" s="17"/>
    </row>
    <row r="50" spans="1:10" x14ac:dyDescent="0.3">
      <c r="A50" s="17"/>
      <c r="B50" s="141"/>
      <c r="C50" s="135"/>
      <c r="D50" s="135"/>
      <c r="E50" s="135"/>
      <c r="F50" s="135"/>
      <c r="G50" s="135"/>
      <c r="H50" s="135"/>
      <c r="I50" s="135"/>
      <c r="J50" s="17"/>
    </row>
    <row r="51" spans="1:10" ht="18" x14ac:dyDescent="0.35">
      <c r="A51" s="142"/>
      <c r="B51" s="143"/>
      <c r="C51" s="137"/>
      <c r="D51" s="137"/>
      <c r="E51" s="137"/>
      <c r="F51" s="137"/>
      <c r="G51" s="137"/>
      <c r="H51" s="137"/>
      <c r="I51" s="138">
        <v>75500</v>
      </c>
      <c r="J51" s="17"/>
    </row>
    <row r="52" spans="1:10" x14ac:dyDescent="0.3">
      <c r="A52" s="17"/>
      <c r="B52" s="71"/>
      <c r="C52" s="24"/>
      <c r="D52" s="24"/>
      <c r="E52" s="49"/>
      <c r="F52" s="49"/>
      <c r="G52" s="49"/>
      <c r="H52" s="25"/>
      <c r="I52" s="29"/>
      <c r="J52" s="17"/>
    </row>
    <row r="53" spans="1:10" x14ac:dyDescent="0.3">
      <c r="A53" s="144"/>
      <c r="B53" s="145"/>
      <c r="C53" s="97"/>
      <c r="D53" s="24"/>
      <c r="E53" s="97"/>
      <c r="F53" s="97"/>
      <c r="G53" s="97"/>
      <c r="H53" s="25"/>
      <c r="I53" s="140"/>
      <c r="J53" s="17"/>
    </row>
    <row r="54" spans="1:10" x14ac:dyDescent="0.3">
      <c r="A54" s="17"/>
      <c r="B54" s="71"/>
      <c r="C54" s="97"/>
      <c r="D54" s="24"/>
      <c r="E54" s="97"/>
      <c r="F54" s="97"/>
      <c r="G54" s="97"/>
      <c r="H54" s="25"/>
      <c r="I54" s="69"/>
      <c r="J54" s="17"/>
    </row>
    <row r="55" spans="1:10" x14ac:dyDescent="0.3">
      <c r="A55" s="17"/>
      <c r="B55" s="71"/>
      <c r="C55" s="29"/>
      <c r="D55" s="36"/>
      <c r="E55" s="29"/>
      <c r="F55" s="29"/>
      <c r="G55" s="29"/>
      <c r="H55" s="29"/>
      <c r="I55" s="29"/>
      <c r="J55" s="17"/>
    </row>
    <row r="56" spans="1:10" ht="15.6" x14ac:dyDescent="0.3">
      <c r="A56" s="17"/>
      <c r="B56" s="130" t="s">
        <v>788</v>
      </c>
      <c r="C56" s="62"/>
      <c r="D56" s="63"/>
      <c r="E56" s="62"/>
      <c r="F56" s="62"/>
      <c r="G56" s="62"/>
      <c r="H56" s="62"/>
      <c r="I56" s="64"/>
      <c r="J56" s="17"/>
    </row>
    <row r="57" spans="1:10" x14ac:dyDescent="0.3">
      <c r="A57" s="17"/>
      <c r="B57" s="134">
        <v>42461</v>
      </c>
      <c r="C57" s="135" t="s">
        <v>23</v>
      </c>
      <c r="D57" s="135" t="s">
        <v>56</v>
      </c>
      <c r="E57" s="135">
        <v>102</v>
      </c>
      <c r="F57" s="135">
        <v>101.7</v>
      </c>
      <c r="G57" s="135">
        <v>0.3</v>
      </c>
      <c r="H57" s="135">
        <v>5000</v>
      </c>
      <c r="I57" s="135">
        <v>1500</v>
      </c>
      <c r="J57" s="17"/>
    </row>
    <row r="58" spans="1:10" x14ac:dyDescent="0.3">
      <c r="A58" s="17"/>
      <c r="B58" s="134">
        <v>42464</v>
      </c>
      <c r="C58" s="135" t="s">
        <v>23</v>
      </c>
      <c r="D58" s="135" t="s">
        <v>29</v>
      </c>
      <c r="E58" s="135">
        <v>116.5</v>
      </c>
      <c r="F58" s="135">
        <v>314.3</v>
      </c>
      <c r="G58" s="135">
        <v>2.2000000000000002</v>
      </c>
      <c r="H58" s="135">
        <v>1000</v>
      </c>
      <c r="I58" s="135">
        <v>2200</v>
      </c>
      <c r="J58" s="17"/>
    </row>
    <row r="59" spans="1:10" x14ac:dyDescent="0.3">
      <c r="A59" s="17"/>
      <c r="B59" s="134">
        <v>42465</v>
      </c>
      <c r="C59" s="135" t="s">
        <v>23</v>
      </c>
      <c r="D59" s="135" t="s">
        <v>28</v>
      </c>
      <c r="E59" s="135">
        <v>121.6</v>
      </c>
      <c r="F59" s="135">
        <v>120.1</v>
      </c>
      <c r="G59" s="135">
        <v>1.5</v>
      </c>
      <c r="H59" s="135">
        <v>5000</v>
      </c>
      <c r="I59" s="135">
        <v>7500</v>
      </c>
      <c r="J59" s="131"/>
    </row>
    <row r="60" spans="1:10" x14ac:dyDescent="0.3">
      <c r="A60" s="131"/>
      <c r="B60" s="134">
        <v>42466</v>
      </c>
      <c r="C60" s="135" t="s">
        <v>23</v>
      </c>
      <c r="D60" s="135" t="s">
        <v>56</v>
      </c>
      <c r="E60" s="135">
        <v>100.2</v>
      </c>
      <c r="F60" s="135">
        <v>99.7</v>
      </c>
      <c r="G60" s="135">
        <v>0.5</v>
      </c>
      <c r="H60" s="135">
        <v>5000</v>
      </c>
      <c r="I60" s="135">
        <v>2500</v>
      </c>
      <c r="J60" s="131"/>
    </row>
    <row r="61" spans="1:10" x14ac:dyDescent="0.3">
      <c r="A61" s="131"/>
      <c r="B61" s="134">
        <v>42467</v>
      </c>
      <c r="C61" s="135" t="s">
        <v>23</v>
      </c>
      <c r="D61" s="135" t="s">
        <v>28</v>
      </c>
      <c r="E61" s="135">
        <v>119</v>
      </c>
      <c r="F61" s="135">
        <v>117.5</v>
      </c>
      <c r="G61" s="135">
        <v>1.5</v>
      </c>
      <c r="H61" s="135">
        <v>5000</v>
      </c>
      <c r="I61" s="135">
        <v>7500</v>
      </c>
      <c r="J61" s="131"/>
    </row>
    <row r="62" spans="1:10" x14ac:dyDescent="0.3">
      <c r="A62" s="131"/>
      <c r="B62" s="134">
        <v>42468</v>
      </c>
      <c r="C62" s="135" t="s">
        <v>23</v>
      </c>
      <c r="D62" s="135" t="s">
        <v>27</v>
      </c>
      <c r="E62" s="135">
        <v>113.2</v>
      </c>
      <c r="F62" s="135">
        <v>112.7</v>
      </c>
      <c r="G62" s="135">
        <v>0.5</v>
      </c>
      <c r="H62" s="135">
        <v>5000</v>
      </c>
      <c r="I62" s="135">
        <v>2500</v>
      </c>
      <c r="J62" s="131"/>
    </row>
    <row r="63" spans="1:10" x14ac:dyDescent="0.3">
      <c r="A63" s="131"/>
      <c r="B63" s="134">
        <v>42471</v>
      </c>
      <c r="C63" s="135" t="s">
        <v>23</v>
      </c>
      <c r="D63" s="135" t="s">
        <v>56</v>
      </c>
      <c r="E63" s="135">
        <v>100.5</v>
      </c>
      <c r="F63" s="135">
        <v>99.75</v>
      </c>
      <c r="G63" s="135">
        <v>0.75</v>
      </c>
      <c r="H63" s="135">
        <v>5000</v>
      </c>
      <c r="I63" s="135">
        <v>3750</v>
      </c>
      <c r="J63" s="131"/>
    </row>
    <row r="64" spans="1:10" x14ac:dyDescent="0.3">
      <c r="A64" s="131"/>
      <c r="B64" s="134">
        <v>42472</v>
      </c>
      <c r="C64" s="135" t="s">
        <v>23</v>
      </c>
      <c r="D64" s="135" t="s">
        <v>27</v>
      </c>
      <c r="E64" s="135">
        <v>112</v>
      </c>
      <c r="F64" s="135">
        <v>113</v>
      </c>
      <c r="G64" s="135">
        <v>-1</v>
      </c>
      <c r="H64" s="135">
        <v>5000</v>
      </c>
      <c r="I64" s="135">
        <v>-5000</v>
      </c>
      <c r="J64" s="131"/>
    </row>
    <row r="65" spans="1:10" x14ac:dyDescent="0.3">
      <c r="A65" s="131"/>
      <c r="B65" s="134">
        <v>42473</v>
      </c>
      <c r="C65" s="135" t="s">
        <v>16</v>
      </c>
      <c r="D65" s="135" t="s">
        <v>56</v>
      </c>
      <c r="E65" s="135">
        <v>103</v>
      </c>
      <c r="F65" s="135">
        <v>103.8</v>
      </c>
      <c r="G65" s="135">
        <v>0.8</v>
      </c>
      <c r="H65" s="135">
        <v>5000</v>
      </c>
      <c r="I65" s="135">
        <v>4000</v>
      </c>
      <c r="J65" s="131"/>
    </row>
    <row r="66" spans="1:10" x14ac:dyDescent="0.3">
      <c r="A66" s="131"/>
      <c r="B66" s="134">
        <v>42478</v>
      </c>
      <c r="C66" s="135" t="s">
        <v>23</v>
      </c>
      <c r="D66" s="135" t="s">
        <v>56</v>
      </c>
      <c r="E66" s="135">
        <v>102.7</v>
      </c>
      <c r="F66" s="135">
        <v>103.7</v>
      </c>
      <c r="G66" s="135">
        <v>-1</v>
      </c>
      <c r="H66" s="135">
        <v>5000</v>
      </c>
      <c r="I66" s="135">
        <v>-5000</v>
      </c>
      <c r="J66" s="131"/>
    </row>
    <row r="67" spans="1:10" x14ac:dyDescent="0.3">
      <c r="A67" s="131"/>
      <c r="B67" s="134">
        <v>42480</v>
      </c>
      <c r="C67" s="135" t="s">
        <v>16</v>
      </c>
      <c r="D67" s="135" t="s">
        <v>56</v>
      </c>
      <c r="E67" s="135">
        <v>106</v>
      </c>
      <c r="F67" s="135">
        <v>107.5</v>
      </c>
      <c r="G67" s="135">
        <v>1.5</v>
      </c>
      <c r="H67" s="135">
        <v>5000</v>
      </c>
      <c r="I67" s="135">
        <v>7500</v>
      </c>
      <c r="J67" s="131"/>
    </row>
    <row r="68" spans="1:10" x14ac:dyDescent="0.3">
      <c r="A68" s="131"/>
      <c r="B68" s="134">
        <v>42481</v>
      </c>
      <c r="C68" s="135" t="s">
        <v>23</v>
      </c>
      <c r="D68" s="135" t="s">
        <v>56</v>
      </c>
      <c r="E68" s="135">
        <v>107.4</v>
      </c>
      <c r="F68" s="135">
        <v>108.4</v>
      </c>
      <c r="G68" s="135">
        <v>-1</v>
      </c>
      <c r="H68" s="135">
        <v>5000</v>
      </c>
      <c r="I68" s="135">
        <v>-5000</v>
      </c>
      <c r="J68" s="131"/>
    </row>
    <row r="69" spans="1:10" x14ac:dyDescent="0.3">
      <c r="A69" s="131"/>
      <c r="B69" s="134">
        <v>42482</v>
      </c>
      <c r="C69" s="135" t="s">
        <v>16</v>
      </c>
      <c r="D69" s="135" t="s">
        <v>27</v>
      </c>
      <c r="E69" s="135">
        <v>118.6</v>
      </c>
      <c r="F69" s="135">
        <v>120.1</v>
      </c>
      <c r="G69" s="135">
        <v>1.5</v>
      </c>
      <c r="H69" s="135">
        <v>5000</v>
      </c>
      <c r="I69" s="135">
        <v>7500</v>
      </c>
      <c r="J69" s="131"/>
    </row>
    <row r="70" spans="1:10" x14ac:dyDescent="0.3">
      <c r="A70" s="131"/>
      <c r="B70" s="134">
        <v>42485</v>
      </c>
      <c r="C70" s="135" t="s">
        <v>23</v>
      </c>
      <c r="D70" s="135" t="s">
        <v>56</v>
      </c>
      <c r="E70" s="135">
        <v>109</v>
      </c>
      <c r="F70" s="135">
        <v>108.5</v>
      </c>
      <c r="G70" s="135">
        <v>0.5</v>
      </c>
      <c r="H70" s="135">
        <v>5000</v>
      </c>
      <c r="I70" s="135">
        <v>2500</v>
      </c>
      <c r="J70" s="131"/>
    </row>
    <row r="71" spans="1:10" x14ac:dyDescent="0.3">
      <c r="A71" s="131"/>
      <c r="B71" s="134">
        <v>42486</v>
      </c>
      <c r="C71" s="135" t="s">
        <v>23</v>
      </c>
      <c r="D71" s="135" t="s">
        <v>56</v>
      </c>
      <c r="E71" s="135">
        <v>109.3</v>
      </c>
      <c r="F71" s="135">
        <v>108.8</v>
      </c>
      <c r="G71" s="135">
        <v>0.5</v>
      </c>
      <c r="H71" s="135">
        <v>5000</v>
      </c>
      <c r="I71" s="135">
        <v>2500</v>
      </c>
      <c r="J71" s="131"/>
    </row>
    <row r="72" spans="1:10" x14ac:dyDescent="0.3">
      <c r="A72" s="131"/>
      <c r="B72" s="134">
        <v>42487</v>
      </c>
      <c r="C72" s="135" t="s">
        <v>23</v>
      </c>
      <c r="D72" s="135" t="s">
        <v>56</v>
      </c>
      <c r="E72" s="135">
        <v>108.7</v>
      </c>
      <c r="F72" s="135">
        <v>109.7</v>
      </c>
      <c r="G72" s="135">
        <v>-1</v>
      </c>
      <c r="H72" s="135">
        <v>5000</v>
      </c>
      <c r="I72" s="135">
        <v>-5000</v>
      </c>
      <c r="J72" s="131"/>
    </row>
    <row r="73" spans="1:10" x14ac:dyDescent="0.3">
      <c r="A73" s="131"/>
      <c r="B73" s="134">
        <v>42488</v>
      </c>
      <c r="C73" s="135" t="s">
        <v>23</v>
      </c>
      <c r="D73" s="135" t="s">
        <v>56</v>
      </c>
      <c r="E73" s="135">
        <v>108.7</v>
      </c>
      <c r="F73" s="135">
        <v>109.7</v>
      </c>
      <c r="G73" s="135">
        <v>-1</v>
      </c>
      <c r="H73" s="135">
        <v>5000</v>
      </c>
      <c r="I73" s="135">
        <v>-5000</v>
      </c>
      <c r="J73" s="131"/>
    </row>
    <row r="74" spans="1:10" x14ac:dyDescent="0.3">
      <c r="A74" s="131"/>
      <c r="B74" s="134">
        <v>42489</v>
      </c>
      <c r="C74" s="135" t="s">
        <v>16</v>
      </c>
      <c r="D74" s="135" t="s">
        <v>56</v>
      </c>
      <c r="E74" s="135">
        <v>111.1</v>
      </c>
      <c r="F74" s="135">
        <v>111.6</v>
      </c>
      <c r="G74" s="135">
        <v>0.5</v>
      </c>
      <c r="H74" s="135">
        <v>5000</v>
      </c>
      <c r="I74" s="135">
        <v>2500</v>
      </c>
      <c r="J74" s="131"/>
    </row>
    <row r="75" spans="1:10" x14ac:dyDescent="0.3">
      <c r="A75" s="131"/>
      <c r="B75" s="134"/>
      <c r="C75" s="135"/>
      <c r="D75" s="135"/>
      <c r="E75" s="135"/>
      <c r="F75" s="135"/>
      <c r="G75" s="135"/>
      <c r="H75" s="135"/>
      <c r="I75" s="135"/>
      <c r="J75" s="131"/>
    </row>
    <row r="76" spans="1:10" x14ac:dyDescent="0.3">
      <c r="A76" s="131"/>
      <c r="B76" s="134"/>
      <c r="C76" s="135"/>
      <c r="D76" s="135"/>
      <c r="E76" s="135"/>
      <c r="F76" s="135"/>
      <c r="G76" s="135"/>
      <c r="H76" s="135"/>
      <c r="I76" s="135"/>
      <c r="J76" s="131"/>
    </row>
    <row r="77" spans="1:10" ht="18" x14ac:dyDescent="0.35">
      <c r="A77" s="146"/>
      <c r="B77" s="136"/>
      <c r="C77" s="137"/>
      <c r="D77" s="137"/>
      <c r="E77" s="137"/>
      <c r="F77" s="137"/>
      <c r="G77" s="137"/>
      <c r="H77" s="137"/>
      <c r="I77" s="138">
        <v>28950</v>
      </c>
      <c r="J77" s="131"/>
    </row>
    <row r="78" spans="1:10" x14ac:dyDescent="0.3">
      <c r="A78" s="131"/>
      <c r="J78" s="131"/>
    </row>
    <row r="79" spans="1:10" x14ac:dyDescent="0.3">
      <c r="A79" s="131"/>
      <c r="J79" s="131"/>
    </row>
    <row r="80" spans="1:10" x14ac:dyDescent="0.3">
      <c r="A80" s="147"/>
      <c r="B80" s="145"/>
      <c r="C80" s="54"/>
      <c r="D80" s="54"/>
      <c r="E80" s="54"/>
      <c r="F80" s="54"/>
      <c r="G80" s="54"/>
      <c r="H80" s="29"/>
      <c r="I80" s="140"/>
      <c r="J80" s="131"/>
    </row>
    <row r="81" spans="1:10" x14ac:dyDescent="0.3">
      <c r="A81" s="131"/>
      <c r="H81" s="29"/>
      <c r="I81" s="69"/>
      <c r="J81" s="131"/>
    </row>
    <row r="82" spans="1:10" ht="15.6" x14ac:dyDescent="0.3">
      <c r="A82" s="148"/>
      <c r="B82" s="149"/>
      <c r="C82" s="149"/>
      <c r="D82" s="149"/>
      <c r="E82" s="149"/>
      <c r="F82" s="149"/>
      <c r="G82" s="149"/>
      <c r="H82" s="149"/>
      <c r="I82" s="46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800-000000000000}"/>
  </hyperlinks>
  <pageMargins left="0.7" right="0.7" top="0.75" bottom="0.75" header="0.3" footer="0.3"/>
  <ignoredErrors>
    <ignoredError sqref="L8:O11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89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0" t="s">
        <v>837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42492</v>
      </c>
      <c r="C6" s="135" t="s">
        <v>16</v>
      </c>
      <c r="D6" s="135" t="s">
        <v>24</v>
      </c>
      <c r="E6" s="135">
        <v>30320</v>
      </c>
      <c r="F6" s="135">
        <v>30500</v>
      </c>
      <c r="G6" s="135">
        <v>180</v>
      </c>
      <c r="H6" s="135">
        <v>100</v>
      </c>
      <c r="I6" s="135">
        <v>18000</v>
      </c>
      <c r="J6" s="17"/>
      <c r="K6" s="71"/>
    </row>
    <row r="7" spans="1:15" x14ac:dyDescent="0.3">
      <c r="A7" s="17"/>
      <c r="B7" s="134">
        <v>42493</v>
      </c>
      <c r="C7" s="135" t="s">
        <v>23</v>
      </c>
      <c r="D7" s="135" t="s">
        <v>24</v>
      </c>
      <c r="E7" s="135">
        <v>30370</v>
      </c>
      <c r="F7" s="135">
        <v>30180</v>
      </c>
      <c r="G7" s="135">
        <v>190</v>
      </c>
      <c r="H7" s="135">
        <v>100</v>
      </c>
      <c r="I7" s="135">
        <v>19000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50">
        <v>42494</v>
      </c>
      <c r="C8" s="151" t="s">
        <v>23</v>
      </c>
      <c r="D8" s="151" t="s">
        <v>24</v>
      </c>
      <c r="E8" s="151">
        <v>30070</v>
      </c>
      <c r="F8" s="151">
        <v>30170</v>
      </c>
      <c r="G8" s="151">
        <v>-100</v>
      </c>
      <c r="H8" s="151">
        <v>100</v>
      </c>
      <c r="I8" s="151">
        <v>-10000</v>
      </c>
      <c r="J8" s="17"/>
      <c r="K8" s="71" t="s">
        <v>257</v>
      </c>
      <c r="L8" s="165" t="s">
        <v>260</v>
      </c>
      <c r="M8" s="101" t="s">
        <v>265</v>
      </c>
      <c r="N8" s="101" t="s">
        <v>264</v>
      </c>
      <c r="O8" s="101" t="s">
        <v>262</v>
      </c>
    </row>
    <row r="9" spans="1:15" x14ac:dyDescent="0.3">
      <c r="A9" s="17"/>
      <c r="B9" s="150">
        <v>42495</v>
      </c>
      <c r="C9" s="151" t="s">
        <v>23</v>
      </c>
      <c r="D9" s="151" t="s">
        <v>24</v>
      </c>
      <c r="E9" s="151">
        <v>30040</v>
      </c>
      <c r="F9" s="151">
        <v>30140</v>
      </c>
      <c r="G9" s="151">
        <v>-100</v>
      </c>
      <c r="H9" s="151">
        <v>100</v>
      </c>
      <c r="I9" s="151">
        <v>-10000</v>
      </c>
      <c r="J9" s="17"/>
      <c r="K9" s="71" t="s">
        <v>258</v>
      </c>
      <c r="L9" s="101" t="s">
        <v>260</v>
      </c>
      <c r="M9" s="101" t="s">
        <v>265</v>
      </c>
      <c r="N9" s="101" t="s">
        <v>264</v>
      </c>
      <c r="O9" s="101" t="s">
        <v>262</v>
      </c>
    </row>
    <row r="10" spans="1:15" x14ac:dyDescent="0.3">
      <c r="A10" s="17"/>
      <c r="B10" s="134">
        <v>42496</v>
      </c>
      <c r="C10" s="135" t="s">
        <v>23</v>
      </c>
      <c r="D10" s="135" t="s">
        <v>24</v>
      </c>
      <c r="E10" s="135">
        <v>30110</v>
      </c>
      <c r="F10" s="135">
        <v>30210</v>
      </c>
      <c r="G10" s="135">
        <v>-100</v>
      </c>
      <c r="H10" s="135">
        <v>100</v>
      </c>
      <c r="I10" s="135">
        <v>-10000</v>
      </c>
      <c r="J10" s="17"/>
      <c r="K10" s="71" t="s">
        <v>259</v>
      </c>
      <c r="L10" s="101" t="s">
        <v>260</v>
      </c>
      <c r="M10" s="101" t="s">
        <v>392</v>
      </c>
      <c r="N10" s="101" t="s">
        <v>302</v>
      </c>
      <c r="O10" s="101" t="s">
        <v>262</v>
      </c>
    </row>
    <row r="11" spans="1:15" x14ac:dyDescent="0.3">
      <c r="A11" s="17"/>
      <c r="B11" s="134">
        <v>42499</v>
      </c>
      <c r="C11" s="135" t="s">
        <v>23</v>
      </c>
      <c r="D11" s="135" t="s">
        <v>24</v>
      </c>
      <c r="E11" s="135">
        <v>30060</v>
      </c>
      <c r="F11" s="135">
        <v>29870</v>
      </c>
      <c r="G11" s="135">
        <v>190</v>
      </c>
      <c r="H11" s="135">
        <v>100</v>
      </c>
      <c r="I11" s="135">
        <v>19000</v>
      </c>
      <c r="J11" s="17"/>
      <c r="K11" s="71" t="s">
        <v>300</v>
      </c>
      <c r="L11" s="104" t="s">
        <v>333</v>
      </c>
      <c r="M11" s="104" t="s">
        <v>831</v>
      </c>
      <c r="N11" s="104" t="s">
        <v>291</v>
      </c>
      <c r="O11" s="104" t="s">
        <v>262</v>
      </c>
    </row>
    <row r="12" spans="1:15" x14ac:dyDescent="0.3">
      <c r="A12" s="17"/>
      <c r="B12" s="134">
        <v>42500</v>
      </c>
      <c r="C12" s="135" t="s">
        <v>23</v>
      </c>
      <c r="D12" s="135" t="s">
        <v>24</v>
      </c>
      <c r="E12" s="135">
        <v>29800</v>
      </c>
      <c r="F12" s="135">
        <v>29620</v>
      </c>
      <c r="G12" s="135">
        <v>180</v>
      </c>
      <c r="H12" s="135">
        <v>100</v>
      </c>
      <c r="I12" s="135">
        <v>18000</v>
      </c>
      <c r="J12" s="17"/>
      <c r="K12" s="71"/>
    </row>
    <row r="13" spans="1:15" x14ac:dyDescent="0.3">
      <c r="A13" s="17"/>
      <c r="B13" s="134">
        <v>42501</v>
      </c>
      <c r="C13" s="135" t="s">
        <v>23</v>
      </c>
      <c r="D13" s="135" t="s">
        <v>24</v>
      </c>
      <c r="E13" s="135">
        <v>29990</v>
      </c>
      <c r="F13" s="135">
        <v>29910</v>
      </c>
      <c r="G13" s="135">
        <v>80</v>
      </c>
      <c r="H13" s="135">
        <v>100</v>
      </c>
      <c r="I13" s="135">
        <v>8000</v>
      </c>
      <c r="J13" s="17"/>
      <c r="K13" s="132"/>
      <c r="L13" s="127" t="s">
        <v>832</v>
      </c>
      <c r="M13" s="128"/>
      <c r="N13" s="133" t="s">
        <v>838</v>
      </c>
    </row>
    <row r="14" spans="1:15" x14ac:dyDescent="0.3">
      <c r="A14" s="17"/>
      <c r="B14" s="134">
        <v>42502</v>
      </c>
      <c r="C14" s="135" t="s">
        <v>23</v>
      </c>
      <c r="D14" s="135" t="s">
        <v>24</v>
      </c>
      <c r="E14" s="135">
        <v>29870</v>
      </c>
      <c r="F14" s="135">
        <v>29780</v>
      </c>
      <c r="G14" s="135">
        <v>90</v>
      </c>
      <c r="H14" s="135">
        <v>100</v>
      </c>
      <c r="I14" s="135">
        <v>9000</v>
      </c>
      <c r="J14" s="17"/>
      <c r="K14" s="71"/>
    </row>
    <row r="15" spans="1:15" x14ac:dyDescent="0.3">
      <c r="A15" s="17"/>
      <c r="B15" s="134">
        <v>42503</v>
      </c>
      <c r="C15" s="135" t="s">
        <v>23</v>
      </c>
      <c r="D15" s="135" t="s">
        <v>24</v>
      </c>
      <c r="E15" s="135">
        <v>30010</v>
      </c>
      <c r="F15" s="135">
        <v>29820</v>
      </c>
      <c r="G15" s="135">
        <v>190</v>
      </c>
      <c r="H15" s="135">
        <v>100</v>
      </c>
      <c r="I15" s="135">
        <v>19000</v>
      </c>
      <c r="J15" s="17"/>
      <c r="K15" s="71"/>
    </row>
    <row r="16" spans="1:15" x14ac:dyDescent="0.3">
      <c r="A16" s="17"/>
      <c r="B16" s="134">
        <v>42506</v>
      </c>
      <c r="C16" s="135" t="s">
        <v>23</v>
      </c>
      <c r="D16" s="135" t="s">
        <v>24</v>
      </c>
      <c r="E16" s="135">
        <v>30150</v>
      </c>
      <c r="F16" s="135">
        <v>30250</v>
      </c>
      <c r="G16" s="135">
        <v>-100</v>
      </c>
      <c r="H16" s="135">
        <v>100</v>
      </c>
      <c r="I16" s="135">
        <v>-10000</v>
      </c>
      <c r="J16" s="17"/>
      <c r="K16" s="71"/>
    </row>
    <row r="17" spans="1:11" x14ac:dyDescent="0.3">
      <c r="A17" s="17"/>
      <c r="B17" s="134">
        <v>42507</v>
      </c>
      <c r="C17" s="135" t="s">
        <v>23</v>
      </c>
      <c r="D17" s="135" t="s">
        <v>24</v>
      </c>
      <c r="E17" s="135">
        <v>29960</v>
      </c>
      <c r="F17" s="135">
        <v>29870</v>
      </c>
      <c r="G17" s="135">
        <v>90</v>
      </c>
      <c r="H17" s="135">
        <v>100</v>
      </c>
      <c r="I17" s="135">
        <v>9000</v>
      </c>
      <c r="J17" s="17"/>
      <c r="K17" s="71"/>
    </row>
    <row r="18" spans="1:11" x14ac:dyDescent="0.3">
      <c r="A18" s="17"/>
      <c r="B18" s="134">
        <v>42508</v>
      </c>
      <c r="C18" s="135" t="s">
        <v>23</v>
      </c>
      <c r="D18" s="135" t="s">
        <v>24</v>
      </c>
      <c r="E18" s="135">
        <v>29990</v>
      </c>
      <c r="F18" s="135">
        <v>29920</v>
      </c>
      <c r="G18" s="135">
        <v>70</v>
      </c>
      <c r="H18" s="135">
        <v>100</v>
      </c>
      <c r="I18" s="135">
        <v>7000</v>
      </c>
      <c r="J18" s="17"/>
      <c r="K18" s="71"/>
    </row>
    <row r="19" spans="1:11" x14ac:dyDescent="0.3">
      <c r="A19" s="17"/>
      <c r="B19" s="134">
        <v>42509</v>
      </c>
      <c r="C19" s="135" t="s">
        <v>23</v>
      </c>
      <c r="D19" s="135" t="s">
        <v>24</v>
      </c>
      <c r="E19" s="135">
        <v>29710</v>
      </c>
      <c r="F19" s="135">
        <v>29630</v>
      </c>
      <c r="G19" s="135">
        <v>80</v>
      </c>
      <c r="H19" s="135">
        <v>100</v>
      </c>
      <c r="I19" s="135">
        <v>8000</v>
      </c>
      <c r="J19" s="17"/>
      <c r="K19" s="71"/>
    </row>
    <row r="20" spans="1:11" x14ac:dyDescent="0.3">
      <c r="A20" s="17"/>
      <c r="B20" s="134">
        <v>42510</v>
      </c>
      <c r="C20" s="135" t="s">
        <v>23</v>
      </c>
      <c r="D20" s="135" t="s">
        <v>24</v>
      </c>
      <c r="E20" s="135">
        <v>29820</v>
      </c>
      <c r="F20" s="135">
        <v>29670</v>
      </c>
      <c r="G20" s="135">
        <v>150</v>
      </c>
      <c r="H20" s="135">
        <v>100</v>
      </c>
      <c r="I20" s="135">
        <v>15000</v>
      </c>
      <c r="J20" s="17"/>
      <c r="K20" s="71"/>
    </row>
    <row r="21" spans="1:11" x14ac:dyDescent="0.3">
      <c r="A21" s="17"/>
      <c r="B21" s="134">
        <v>42513</v>
      </c>
      <c r="C21" s="135" t="s">
        <v>23</v>
      </c>
      <c r="D21" s="135" t="s">
        <v>24</v>
      </c>
      <c r="E21" s="135">
        <v>29700</v>
      </c>
      <c r="F21" s="135">
        <v>29580</v>
      </c>
      <c r="G21" s="135">
        <v>120</v>
      </c>
      <c r="H21" s="135">
        <v>100</v>
      </c>
      <c r="I21" s="135">
        <v>12000</v>
      </c>
      <c r="J21" s="17"/>
      <c r="K21" s="71"/>
    </row>
    <row r="22" spans="1:11" x14ac:dyDescent="0.3">
      <c r="A22" s="17"/>
      <c r="B22" s="134">
        <v>42514</v>
      </c>
      <c r="C22" s="135" t="s">
        <v>23</v>
      </c>
      <c r="D22" s="135" t="s">
        <v>24</v>
      </c>
      <c r="E22" s="135">
        <v>29630</v>
      </c>
      <c r="F22" s="135">
        <v>29450</v>
      </c>
      <c r="G22" s="135">
        <v>180</v>
      </c>
      <c r="H22" s="135">
        <v>100</v>
      </c>
      <c r="I22" s="135">
        <v>18000</v>
      </c>
      <c r="J22" s="17"/>
      <c r="K22" s="71"/>
    </row>
    <row r="23" spans="1:11" x14ac:dyDescent="0.3">
      <c r="A23" s="17"/>
      <c r="B23" s="134">
        <v>42515</v>
      </c>
      <c r="C23" s="135" t="s">
        <v>23</v>
      </c>
      <c r="D23" s="135" t="s">
        <v>24</v>
      </c>
      <c r="E23" s="135">
        <v>29050</v>
      </c>
      <c r="F23" s="135">
        <v>28900</v>
      </c>
      <c r="G23" s="135">
        <v>150</v>
      </c>
      <c r="H23" s="135">
        <v>100</v>
      </c>
      <c r="I23" s="135">
        <v>15000</v>
      </c>
      <c r="J23" s="17"/>
      <c r="K23" s="71"/>
    </row>
    <row r="24" spans="1:11" x14ac:dyDescent="0.3">
      <c r="A24" s="17"/>
      <c r="B24" s="134">
        <v>42516</v>
      </c>
      <c r="C24" s="135" t="s">
        <v>23</v>
      </c>
      <c r="D24" s="135" t="s">
        <v>24</v>
      </c>
      <c r="E24" s="135">
        <v>29010</v>
      </c>
      <c r="F24" s="135">
        <v>28830</v>
      </c>
      <c r="G24" s="135">
        <v>180</v>
      </c>
      <c r="H24" s="135">
        <v>100</v>
      </c>
      <c r="I24" s="135">
        <v>18000</v>
      </c>
      <c r="J24" s="17"/>
    </row>
    <row r="25" spans="1:11" x14ac:dyDescent="0.3">
      <c r="A25" s="17"/>
      <c r="B25" s="134">
        <v>42517</v>
      </c>
      <c r="C25" s="135" t="s">
        <v>23</v>
      </c>
      <c r="D25" s="135" t="s">
        <v>24</v>
      </c>
      <c r="E25" s="135">
        <v>28750</v>
      </c>
      <c r="F25" s="135">
        <v>28560</v>
      </c>
      <c r="G25" s="135">
        <v>190</v>
      </c>
      <c r="H25" s="135">
        <v>100</v>
      </c>
      <c r="I25" s="135">
        <v>19000</v>
      </c>
      <c r="J25" s="17"/>
    </row>
    <row r="26" spans="1:11" x14ac:dyDescent="0.3">
      <c r="A26" s="17"/>
      <c r="B26" s="134">
        <v>42520</v>
      </c>
      <c r="C26" s="135" t="s">
        <v>23</v>
      </c>
      <c r="D26" s="135" t="s">
        <v>24</v>
      </c>
      <c r="E26" s="135">
        <v>28520</v>
      </c>
      <c r="F26" s="135">
        <v>28460</v>
      </c>
      <c r="G26" s="135">
        <v>60</v>
      </c>
      <c r="H26" s="135">
        <v>100</v>
      </c>
      <c r="I26" s="135">
        <v>6000</v>
      </c>
      <c r="J26" s="17"/>
    </row>
    <row r="27" spans="1:11" x14ac:dyDescent="0.3">
      <c r="A27" s="17"/>
      <c r="B27" s="134">
        <v>42521</v>
      </c>
      <c r="C27" s="135" t="s">
        <v>23</v>
      </c>
      <c r="D27" s="135" t="s">
        <v>24</v>
      </c>
      <c r="E27" s="135">
        <v>28650</v>
      </c>
      <c r="F27" s="135">
        <v>28570</v>
      </c>
      <c r="G27" s="135">
        <v>80</v>
      </c>
      <c r="H27" s="135">
        <v>100</v>
      </c>
      <c r="I27" s="135">
        <v>8000</v>
      </c>
      <c r="J27" s="17"/>
    </row>
    <row r="28" spans="1:11" x14ac:dyDescent="0.3">
      <c r="A28" s="17"/>
      <c r="B28" s="134"/>
      <c r="C28" s="151"/>
      <c r="D28" s="156"/>
      <c r="E28" s="156"/>
      <c r="F28" s="156"/>
      <c r="G28" s="156"/>
      <c r="H28" s="157"/>
      <c r="I28" s="135"/>
      <c r="J28" s="17"/>
    </row>
    <row r="29" spans="1:11" ht="17.399999999999999" x14ac:dyDescent="0.3">
      <c r="A29" s="17"/>
      <c r="C29" s="157"/>
      <c r="D29" s="156"/>
      <c r="E29" s="158"/>
      <c r="F29" s="157"/>
      <c r="G29" s="157"/>
      <c r="H29" s="157"/>
      <c r="I29" s="106">
        <v>205000</v>
      </c>
      <c r="J29" s="17"/>
    </row>
    <row r="30" spans="1:11" x14ac:dyDescent="0.3">
      <c r="A30" s="17"/>
      <c r="C30" s="157"/>
      <c r="D30" s="158"/>
      <c r="E30" s="158"/>
      <c r="F30" s="157"/>
      <c r="G30" s="157"/>
      <c r="H30" s="157"/>
      <c r="I30" s="157"/>
      <c r="J30" s="17"/>
    </row>
    <row r="31" spans="1:11" x14ac:dyDescent="0.3">
      <c r="A31" s="17"/>
      <c r="B31" s="164" t="s">
        <v>789</v>
      </c>
      <c r="C31" s="159"/>
      <c r="D31" s="160"/>
      <c r="E31" s="159"/>
      <c r="F31" s="159"/>
      <c r="G31" s="159"/>
      <c r="H31" s="159"/>
      <c r="I31" s="159"/>
      <c r="J31" s="17"/>
    </row>
    <row r="32" spans="1:11" x14ac:dyDescent="0.3">
      <c r="A32" s="17"/>
      <c r="B32" s="134">
        <v>42492</v>
      </c>
      <c r="C32" s="135" t="s">
        <v>16</v>
      </c>
      <c r="D32" s="135" t="s">
        <v>25</v>
      </c>
      <c r="E32" s="135">
        <v>3040</v>
      </c>
      <c r="F32" s="135">
        <v>3070</v>
      </c>
      <c r="G32" s="135">
        <v>30</v>
      </c>
      <c r="H32" s="135">
        <v>100</v>
      </c>
      <c r="I32" s="135">
        <v>3000</v>
      </c>
      <c r="J32" s="17"/>
    </row>
    <row r="33" spans="1:10" x14ac:dyDescent="0.3">
      <c r="A33" s="17"/>
      <c r="B33" s="134">
        <v>42493</v>
      </c>
      <c r="C33" s="135" t="s">
        <v>23</v>
      </c>
      <c r="D33" s="135" t="s">
        <v>25</v>
      </c>
      <c r="E33" s="135">
        <v>2970</v>
      </c>
      <c r="F33" s="135">
        <v>2900</v>
      </c>
      <c r="G33" s="135">
        <v>70</v>
      </c>
      <c r="H33" s="135">
        <v>100</v>
      </c>
      <c r="I33" s="135">
        <v>7000</v>
      </c>
      <c r="J33" s="17"/>
    </row>
    <row r="34" spans="1:10" x14ac:dyDescent="0.3">
      <c r="A34" s="17"/>
      <c r="B34" s="134">
        <v>42494</v>
      </c>
      <c r="C34" s="135" t="s">
        <v>16</v>
      </c>
      <c r="D34" s="135" t="s">
        <v>25</v>
      </c>
      <c r="E34" s="135">
        <v>2915</v>
      </c>
      <c r="F34" s="135">
        <v>2990</v>
      </c>
      <c r="G34" s="135">
        <v>75</v>
      </c>
      <c r="H34" s="135">
        <v>100</v>
      </c>
      <c r="I34" s="135">
        <v>7500</v>
      </c>
      <c r="J34" s="17"/>
    </row>
    <row r="35" spans="1:10" x14ac:dyDescent="0.3">
      <c r="A35" s="17"/>
      <c r="B35" s="134">
        <v>42495</v>
      </c>
      <c r="C35" s="135" t="s">
        <v>16</v>
      </c>
      <c r="D35" s="135" t="s">
        <v>25</v>
      </c>
      <c r="E35" s="135">
        <v>3000</v>
      </c>
      <c r="F35" s="135">
        <v>3050</v>
      </c>
      <c r="G35" s="135">
        <v>50</v>
      </c>
      <c r="H35" s="135">
        <v>100</v>
      </c>
      <c r="I35" s="135">
        <v>5000</v>
      </c>
      <c r="J35" s="17"/>
    </row>
    <row r="36" spans="1:10" x14ac:dyDescent="0.3">
      <c r="A36" s="17"/>
      <c r="B36" s="134">
        <v>42496</v>
      </c>
      <c r="C36" s="135" t="s">
        <v>16</v>
      </c>
      <c r="D36" s="135" t="s">
        <v>25</v>
      </c>
      <c r="E36" s="135">
        <v>2935</v>
      </c>
      <c r="F36" s="135">
        <v>3015</v>
      </c>
      <c r="G36" s="135">
        <v>80</v>
      </c>
      <c r="H36" s="135">
        <v>100</v>
      </c>
      <c r="I36" s="135">
        <v>8000</v>
      </c>
      <c r="J36" s="17"/>
    </row>
    <row r="37" spans="1:10" x14ac:dyDescent="0.3">
      <c r="A37" s="17"/>
      <c r="B37" s="134">
        <v>42499</v>
      </c>
      <c r="C37" s="135" t="s">
        <v>16</v>
      </c>
      <c r="D37" s="135" t="s">
        <v>25</v>
      </c>
      <c r="E37" s="135">
        <v>3030</v>
      </c>
      <c r="F37" s="135">
        <v>3000</v>
      </c>
      <c r="G37" s="135">
        <v>-30</v>
      </c>
      <c r="H37" s="135">
        <v>100</v>
      </c>
      <c r="I37" s="135">
        <v>-3000</v>
      </c>
      <c r="J37" s="17"/>
    </row>
    <row r="38" spans="1:10" x14ac:dyDescent="0.3">
      <c r="A38" s="17"/>
      <c r="B38" s="134">
        <v>42500</v>
      </c>
      <c r="C38" s="135" t="s">
        <v>23</v>
      </c>
      <c r="D38" s="135" t="s">
        <v>25</v>
      </c>
      <c r="E38" s="135">
        <v>2915</v>
      </c>
      <c r="F38" s="135">
        <v>2885</v>
      </c>
      <c r="G38" s="135">
        <v>30</v>
      </c>
      <c r="H38" s="135">
        <v>100</v>
      </c>
      <c r="I38" s="135">
        <v>3000</v>
      </c>
      <c r="J38" s="17"/>
    </row>
    <row r="39" spans="1:10" x14ac:dyDescent="0.3">
      <c r="A39" s="17"/>
      <c r="B39" s="134">
        <v>42501</v>
      </c>
      <c r="C39" s="135" t="s">
        <v>23</v>
      </c>
      <c r="D39" s="135" t="s">
        <v>25</v>
      </c>
      <c r="E39" s="135">
        <v>2995</v>
      </c>
      <c r="F39" s="135">
        <v>2945</v>
      </c>
      <c r="G39" s="135">
        <v>50</v>
      </c>
      <c r="H39" s="135">
        <v>100</v>
      </c>
      <c r="I39" s="135">
        <v>5000</v>
      </c>
      <c r="J39" s="17"/>
    </row>
    <row r="40" spans="1:10" x14ac:dyDescent="0.3">
      <c r="A40" s="17"/>
      <c r="B40" s="134">
        <v>42502</v>
      </c>
      <c r="C40" s="135" t="s">
        <v>16</v>
      </c>
      <c r="D40" s="135" t="s">
        <v>25</v>
      </c>
      <c r="E40" s="135">
        <v>3100</v>
      </c>
      <c r="F40" s="135">
        <v>3130</v>
      </c>
      <c r="G40" s="135">
        <v>30</v>
      </c>
      <c r="H40" s="135">
        <v>100</v>
      </c>
      <c r="I40" s="135">
        <v>3000</v>
      </c>
      <c r="J40" s="17"/>
    </row>
    <row r="41" spans="1:10" x14ac:dyDescent="0.3">
      <c r="A41" s="17"/>
      <c r="B41" s="134">
        <v>42503</v>
      </c>
      <c r="C41" s="135" t="s">
        <v>23</v>
      </c>
      <c r="D41" s="135" t="s">
        <v>25</v>
      </c>
      <c r="E41" s="135">
        <v>3085</v>
      </c>
      <c r="F41" s="135">
        <v>3065</v>
      </c>
      <c r="G41" s="135">
        <v>20</v>
      </c>
      <c r="H41" s="135">
        <v>100</v>
      </c>
      <c r="I41" s="135">
        <v>2000</v>
      </c>
      <c r="J41" s="17"/>
    </row>
    <row r="42" spans="1:10" x14ac:dyDescent="0.3">
      <c r="A42" s="17"/>
      <c r="B42" s="134">
        <v>42506</v>
      </c>
      <c r="C42" s="135" t="s">
        <v>16</v>
      </c>
      <c r="D42" s="135" t="s">
        <v>25</v>
      </c>
      <c r="E42" s="135">
        <v>3040</v>
      </c>
      <c r="F42" s="135">
        <v>3080</v>
      </c>
      <c r="G42" s="135">
        <v>40</v>
      </c>
      <c r="H42" s="135">
        <v>100</v>
      </c>
      <c r="I42" s="135">
        <v>4000</v>
      </c>
      <c r="J42" s="17"/>
    </row>
    <row r="43" spans="1:10" x14ac:dyDescent="0.3">
      <c r="A43" s="17"/>
      <c r="B43" s="134">
        <v>42507</v>
      </c>
      <c r="C43" s="135" t="s">
        <v>23</v>
      </c>
      <c r="D43" s="135" t="s">
        <v>25</v>
      </c>
      <c r="E43" s="135">
        <v>3205</v>
      </c>
      <c r="F43" s="135">
        <v>3200</v>
      </c>
      <c r="G43" s="135">
        <v>5</v>
      </c>
      <c r="H43" s="135">
        <v>100</v>
      </c>
      <c r="I43" s="135">
        <v>500</v>
      </c>
      <c r="J43" s="17"/>
    </row>
    <row r="44" spans="1:10" x14ac:dyDescent="0.3">
      <c r="A44" s="17"/>
      <c r="B44" s="134">
        <v>42508</v>
      </c>
      <c r="C44" s="135" t="s">
        <v>23</v>
      </c>
      <c r="D44" s="135" t="s">
        <v>25</v>
      </c>
      <c r="E44" s="135">
        <v>3230</v>
      </c>
      <c r="F44" s="135">
        <v>3260</v>
      </c>
      <c r="G44" s="135">
        <v>-30</v>
      </c>
      <c r="H44" s="135">
        <v>100</v>
      </c>
      <c r="I44" s="135">
        <v>-3000</v>
      </c>
      <c r="J44" s="17"/>
    </row>
    <row r="45" spans="1:10" x14ac:dyDescent="0.3">
      <c r="A45" s="17"/>
      <c r="B45" s="134">
        <v>42509</v>
      </c>
      <c r="C45" s="135" t="s">
        <v>23</v>
      </c>
      <c r="D45" s="135" t="s">
        <v>25</v>
      </c>
      <c r="E45" s="135">
        <v>3240</v>
      </c>
      <c r="F45" s="135">
        <v>3210</v>
      </c>
      <c r="G45" s="135">
        <v>30</v>
      </c>
      <c r="H45" s="135">
        <v>100</v>
      </c>
      <c r="I45" s="135">
        <v>3000</v>
      </c>
      <c r="J45" s="17"/>
    </row>
    <row r="46" spans="1:10" x14ac:dyDescent="0.3">
      <c r="A46" s="17"/>
      <c r="B46" s="134">
        <v>42510</v>
      </c>
      <c r="C46" s="135" t="s">
        <v>23</v>
      </c>
      <c r="D46" s="135" t="s">
        <v>25</v>
      </c>
      <c r="E46" s="135">
        <v>3300</v>
      </c>
      <c r="F46" s="135">
        <v>3255</v>
      </c>
      <c r="G46" s="135">
        <v>45</v>
      </c>
      <c r="H46" s="135">
        <v>100</v>
      </c>
      <c r="I46" s="135">
        <v>4500</v>
      </c>
      <c r="J46" s="17"/>
    </row>
    <row r="47" spans="1:10" x14ac:dyDescent="0.3">
      <c r="A47" s="17"/>
      <c r="B47" s="134">
        <v>42513</v>
      </c>
      <c r="C47" s="135" t="s">
        <v>23</v>
      </c>
      <c r="D47" s="135" t="s">
        <v>25</v>
      </c>
      <c r="E47" s="135">
        <v>3250</v>
      </c>
      <c r="F47" s="135">
        <v>3220</v>
      </c>
      <c r="G47" s="135">
        <v>30</v>
      </c>
      <c r="H47" s="135">
        <v>100</v>
      </c>
      <c r="I47" s="135">
        <v>3000</v>
      </c>
      <c r="J47" s="17"/>
    </row>
    <row r="48" spans="1:10" x14ac:dyDescent="0.3">
      <c r="A48" s="17"/>
      <c r="B48" s="134">
        <v>42514</v>
      </c>
      <c r="C48" s="135" t="s">
        <v>23</v>
      </c>
      <c r="D48" s="135" t="s">
        <v>25</v>
      </c>
      <c r="E48" s="135">
        <v>3255</v>
      </c>
      <c r="F48" s="135">
        <v>3285</v>
      </c>
      <c r="G48" s="135">
        <v>-30</v>
      </c>
      <c r="H48" s="135">
        <v>100</v>
      </c>
      <c r="I48" s="135">
        <v>-3000</v>
      </c>
      <c r="J48" s="17"/>
    </row>
    <row r="49" spans="1:10" x14ac:dyDescent="0.3">
      <c r="A49" s="17"/>
      <c r="B49" s="134">
        <v>42515</v>
      </c>
      <c r="C49" s="135" t="s">
        <v>23</v>
      </c>
      <c r="D49" s="135" t="s">
        <v>25</v>
      </c>
      <c r="E49" s="135">
        <v>3325</v>
      </c>
      <c r="F49" s="135">
        <v>3290</v>
      </c>
      <c r="G49" s="135">
        <v>35</v>
      </c>
      <c r="H49" s="135">
        <v>100</v>
      </c>
      <c r="I49" s="135">
        <v>3500</v>
      </c>
      <c r="J49" s="17"/>
    </row>
    <row r="50" spans="1:10" x14ac:dyDescent="0.3">
      <c r="A50" s="17"/>
      <c r="B50" s="134">
        <v>42516</v>
      </c>
      <c r="C50" s="135" t="s">
        <v>23</v>
      </c>
      <c r="D50" s="135" t="s">
        <v>25</v>
      </c>
      <c r="E50" s="135">
        <v>3370</v>
      </c>
      <c r="F50" s="135">
        <v>3310</v>
      </c>
      <c r="G50" s="135">
        <v>60</v>
      </c>
      <c r="H50" s="135">
        <v>100</v>
      </c>
      <c r="I50" s="135">
        <v>6000</v>
      </c>
      <c r="J50" s="17"/>
    </row>
    <row r="51" spans="1:10" x14ac:dyDescent="0.3">
      <c r="A51" s="17"/>
      <c r="B51" s="134">
        <v>42517</v>
      </c>
      <c r="C51" s="135" t="s">
        <v>23</v>
      </c>
      <c r="D51" s="135" t="s">
        <v>25</v>
      </c>
      <c r="E51" s="135">
        <v>3300</v>
      </c>
      <c r="F51" s="135">
        <v>3275</v>
      </c>
      <c r="G51" s="135">
        <v>25</v>
      </c>
      <c r="H51" s="135">
        <v>100</v>
      </c>
      <c r="I51" s="135">
        <v>2500</v>
      </c>
      <c r="J51" s="17"/>
    </row>
    <row r="52" spans="1:10" x14ac:dyDescent="0.3">
      <c r="A52" s="17"/>
      <c r="B52" s="134">
        <v>42520</v>
      </c>
      <c r="C52" s="135" t="s">
        <v>16</v>
      </c>
      <c r="D52" s="135" t="s">
        <v>25</v>
      </c>
      <c r="E52" s="135">
        <v>3310</v>
      </c>
      <c r="F52" s="135">
        <v>3385</v>
      </c>
      <c r="G52" s="135">
        <v>75</v>
      </c>
      <c r="H52" s="135">
        <v>100</v>
      </c>
      <c r="I52" s="135">
        <v>7500</v>
      </c>
      <c r="J52" s="17"/>
    </row>
    <row r="53" spans="1:10" x14ac:dyDescent="0.3">
      <c r="A53" s="17"/>
      <c r="B53" s="134">
        <v>42521</v>
      </c>
      <c r="C53" s="151" t="s">
        <v>23</v>
      </c>
      <c r="D53" s="151" t="s">
        <v>25</v>
      </c>
      <c r="E53" s="155" t="s">
        <v>839</v>
      </c>
      <c r="F53" s="155" t="s">
        <v>664</v>
      </c>
      <c r="G53" s="155" t="s">
        <v>840</v>
      </c>
      <c r="H53" s="161">
        <v>100</v>
      </c>
      <c r="I53" s="135">
        <v>-3000</v>
      </c>
      <c r="J53" s="17"/>
    </row>
    <row r="54" spans="1:10" x14ac:dyDescent="0.3">
      <c r="A54" s="17"/>
      <c r="B54" s="71"/>
      <c r="C54" s="135"/>
      <c r="D54" s="151"/>
      <c r="E54" s="135"/>
      <c r="F54" s="135"/>
      <c r="G54" s="135"/>
      <c r="H54" s="161"/>
      <c r="I54" s="162"/>
      <c r="J54" s="17"/>
    </row>
    <row r="55" spans="1:10" ht="17.399999999999999" x14ac:dyDescent="0.3">
      <c r="A55" s="17"/>
      <c r="B55" s="71"/>
      <c r="C55" s="135"/>
      <c r="D55" s="151"/>
      <c r="E55" s="135"/>
      <c r="F55" s="135"/>
      <c r="G55" s="135"/>
      <c r="H55" s="161"/>
      <c r="I55" s="106">
        <v>66000</v>
      </c>
      <c r="J55" s="17"/>
    </row>
    <row r="56" spans="1:10" x14ac:dyDescent="0.3">
      <c r="A56" s="17"/>
      <c r="B56" s="71"/>
      <c r="C56" s="157"/>
      <c r="D56" s="158"/>
      <c r="E56" s="157"/>
      <c r="F56" s="157"/>
      <c r="G56" s="157"/>
      <c r="H56" s="157"/>
      <c r="I56" s="157"/>
      <c r="J56" s="17"/>
    </row>
    <row r="57" spans="1:10" x14ac:dyDescent="0.3">
      <c r="A57" s="17"/>
      <c r="B57" s="164" t="s">
        <v>788</v>
      </c>
      <c r="C57" s="159"/>
      <c r="D57" s="160"/>
      <c r="E57" s="159"/>
      <c r="F57" s="159"/>
      <c r="G57" s="159"/>
      <c r="H57" s="159"/>
      <c r="I57" s="64"/>
      <c r="J57" s="17"/>
    </row>
    <row r="58" spans="1:10" x14ac:dyDescent="0.3">
      <c r="A58" s="17"/>
      <c r="B58" s="134">
        <v>42492</v>
      </c>
      <c r="C58" s="135" t="s">
        <v>23</v>
      </c>
      <c r="D58" s="135" t="s">
        <v>56</v>
      </c>
      <c r="E58" s="135">
        <v>111.15</v>
      </c>
      <c r="F58" s="135">
        <v>111</v>
      </c>
      <c r="G58" s="135">
        <v>0.15</v>
      </c>
      <c r="H58" s="135">
        <v>5000</v>
      </c>
      <c r="I58" s="135">
        <v>750</v>
      </c>
      <c r="J58" s="17"/>
    </row>
    <row r="59" spans="1:10" x14ac:dyDescent="0.3">
      <c r="A59" s="17"/>
      <c r="B59" s="134">
        <v>42493</v>
      </c>
      <c r="C59" s="135" t="s">
        <v>23</v>
      </c>
      <c r="D59" s="135" t="s">
        <v>56</v>
      </c>
      <c r="E59" s="135">
        <v>110</v>
      </c>
      <c r="F59" s="135">
        <v>108.5</v>
      </c>
      <c r="G59" s="135">
        <v>1.5</v>
      </c>
      <c r="H59" s="135">
        <v>5000</v>
      </c>
      <c r="I59" s="135">
        <v>7500</v>
      </c>
      <c r="J59" s="17"/>
    </row>
    <row r="60" spans="1:10" x14ac:dyDescent="0.3">
      <c r="A60" s="17"/>
      <c r="B60" s="134">
        <v>42494</v>
      </c>
      <c r="C60" s="135" t="s">
        <v>23</v>
      </c>
      <c r="D60" s="135" t="s">
        <v>56</v>
      </c>
      <c r="E60" s="135">
        <v>108.3</v>
      </c>
      <c r="F60" s="135">
        <v>109.3</v>
      </c>
      <c r="G60" s="135">
        <v>-1</v>
      </c>
      <c r="H60" s="135">
        <v>5000</v>
      </c>
      <c r="I60" s="135">
        <v>-5000</v>
      </c>
      <c r="J60" s="131"/>
    </row>
    <row r="61" spans="1:10" x14ac:dyDescent="0.3">
      <c r="A61" s="131"/>
      <c r="B61" s="134">
        <v>42495</v>
      </c>
      <c r="C61" s="135" t="s">
        <v>23</v>
      </c>
      <c r="D61" s="135" t="s">
        <v>29</v>
      </c>
      <c r="E61" s="135">
        <v>321</v>
      </c>
      <c r="F61" s="135">
        <v>319</v>
      </c>
      <c r="G61" s="135">
        <v>2</v>
      </c>
      <c r="H61" s="135">
        <v>1000</v>
      </c>
      <c r="I61" s="135">
        <v>2000</v>
      </c>
      <c r="J61" s="131"/>
    </row>
    <row r="62" spans="1:10" x14ac:dyDescent="0.3">
      <c r="A62" s="131"/>
      <c r="B62" s="134">
        <v>42496</v>
      </c>
      <c r="C62" s="135" t="s">
        <v>23</v>
      </c>
      <c r="D62" s="135" t="s">
        <v>56</v>
      </c>
      <c r="E62" s="135">
        <v>107.5</v>
      </c>
      <c r="F62" s="135">
        <v>106</v>
      </c>
      <c r="G62" s="135">
        <v>1.5</v>
      </c>
      <c r="H62" s="135">
        <v>5000</v>
      </c>
      <c r="I62" s="135">
        <v>7500</v>
      </c>
      <c r="J62" s="131"/>
    </row>
    <row r="63" spans="1:10" x14ac:dyDescent="0.3">
      <c r="A63" s="131"/>
      <c r="B63" s="134">
        <v>42499</v>
      </c>
      <c r="C63" s="135" t="s">
        <v>23</v>
      </c>
      <c r="D63" s="135" t="s">
        <v>56</v>
      </c>
      <c r="E63" s="135">
        <v>105.2</v>
      </c>
      <c r="F63" s="135">
        <v>104</v>
      </c>
      <c r="G63" s="135">
        <v>1.2</v>
      </c>
      <c r="H63" s="135">
        <v>5000</v>
      </c>
      <c r="I63" s="135">
        <v>6000</v>
      </c>
      <c r="J63" s="131"/>
    </row>
    <row r="64" spans="1:10" x14ac:dyDescent="0.3">
      <c r="A64" s="131"/>
      <c r="B64" s="134">
        <v>42500</v>
      </c>
      <c r="C64" s="135" t="s">
        <v>23</v>
      </c>
      <c r="D64" s="135" t="s">
        <v>56</v>
      </c>
      <c r="E64" s="135">
        <v>104</v>
      </c>
      <c r="F64" s="135">
        <v>103.5</v>
      </c>
      <c r="G64" s="135">
        <v>0.5</v>
      </c>
      <c r="H64" s="135">
        <v>5000</v>
      </c>
      <c r="I64" s="135">
        <v>2500</v>
      </c>
      <c r="J64" s="131"/>
    </row>
    <row r="65" spans="1:10" x14ac:dyDescent="0.3">
      <c r="A65" s="131"/>
      <c r="B65" s="134">
        <v>42501</v>
      </c>
      <c r="C65" s="135" t="s">
        <v>23</v>
      </c>
      <c r="D65" s="135" t="s">
        <v>56</v>
      </c>
      <c r="E65" s="135">
        <v>105</v>
      </c>
      <c r="F65" s="135">
        <v>104</v>
      </c>
      <c r="G65" s="135">
        <v>1</v>
      </c>
      <c r="H65" s="135">
        <v>5000</v>
      </c>
      <c r="I65" s="135">
        <v>5000</v>
      </c>
      <c r="J65" s="131"/>
    </row>
    <row r="66" spans="1:10" x14ac:dyDescent="0.3">
      <c r="A66" s="131"/>
      <c r="B66" s="134">
        <v>42502</v>
      </c>
      <c r="C66" s="135" t="s">
        <v>23</v>
      </c>
      <c r="D66" s="135" t="s">
        <v>56</v>
      </c>
      <c r="E66" s="135">
        <v>104.2</v>
      </c>
      <c r="F66" s="135">
        <v>103</v>
      </c>
      <c r="G66" s="135">
        <v>1.2</v>
      </c>
      <c r="H66" s="135">
        <v>5000</v>
      </c>
      <c r="I66" s="135">
        <v>6000</v>
      </c>
      <c r="J66" s="131"/>
    </row>
    <row r="67" spans="1:10" x14ac:dyDescent="0.3">
      <c r="A67" s="131"/>
      <c r="B67" s="134">
        <v>42503</v>
      </c>
      <c r="C67" s="135" t="s">
        <v>23</v>
      </c>
      <c r="D67" s="135" t="s">
        <v>56</v>
      </c>
      <c r="E67" s="135">
        <v>102.6</v>
      </c>
      <c r="F67" s="135">
        <v>102.8</v>
      </c>
      <c r="G67" s="135">
        <v>-0.2</v>
      </c>
      <c r="H67" s="135">
        <v>5000</v>
      </c>
      <c r="I67" s="135">
        <v>-1000</v>
      </c>
      <c r="J67" s="131"/>
    </row>
    <row r="68" spans="1:10" x14ac:dyDescent="0.3">
      <c r="A68" s="131"/>
      <c r="B68" s="134">
        <v>42506</v>
      </c>
      <c r="C68" s="135" t="s">
        <v>23</v>
      </c>
      <c r="D68" s="135" t="s">
        <v>56</v>
      </c>
      <c r="E68" s="135">
        <v>102.8</v>
      </c>
      <c r="F68" s="135">
        <v>103.3</v>
      </c>
      <c r="G68" s="135">
        <v>-0.5</v>
      </c>
      <c r="H68" s="135">
        <v>5000</v>
      </c>
      <c r="I68" s="135">
        <v>-2500</v>
      </c>
      <c r="J68" s="131"/>
    </row>
    <row r="69" spans="1:10" x14ac:dyDescent="0.3">
      <c r="A69" s="131"/>
      <c r="B69" s="134">
        <v>42507</v>
      </c>
      <c r="C69" s="135" t="s">
        <v>23</v>
      </c>
      <c r="D69" s="135" t="s">
        <v>56</v>
      </c>
      <c r="E69" s="135">
        <v>103.8</v>
      </c>
      <c r="F69" s="135">
        <v>103.1</v>
      </c>
      <c r="G69" s="135">
        <v>0.7</v>
      </c>
      <c r="H69" s="135">
        <v>5000</v>
      </c>
      <c r="I69" s="135">
        <v>3500</v>
      </c>
      <c r="J69" s="131"/>
    </row>
    <row r="70" spans="1:10" x14ac:dyDescent="0.3">
      <c r="A70" s="131"/>
      <c r="B70" s="134">
        <v>42508</v>
      </c>
      <c r="C70" s="135" t="s">
        <v>23</v>
      </c>
      <c r="D70" s="135" t="s">
        <v>56</v>
      </c>
      <c r="E70" s="135">
        <v>102.7</v>
      </c>
      <c r="F70" s="135">
        <v>103.7</v>
      </c>
      <c r="G70" s="135">
        <v>-1</v>
      </c>
      <c r="H70" s="135">
        <v>5000</v>
      </c>
      <c r="I70" s="135">
        <v>-5000</v>
      </c>
      <c r="J70" s="131"/>
    </row>
    <row r="71" spans="1:10" x14ac:dyDescent="0.3">
      <c r="A71" s="131"/>
      <c r="B71" s="134">
        <v>42509</v>
      </c>
      <c r="C71" s="135" t="s">
        <v>23</v>
      </c>
      <c r="D71" s="135" t="s">
        <v>29</v>
      </c>
      <c r="E71" s="135">
        <v>308.5</v>
      </c>
      <c r="F71" s="135">
        <v>310</v>
      </c>
      <c r="G71" s="135">
        <v>-1.5</v>
      </c>
      <c r="H71" s="135">
        <v>1000</v>
      </c>
      <c r="I71" s="135">
        <v>-1500</v>
      </c>
      <c r="J71" s="131"/>
    </row>
    <row r="72" spans="1:10" x14ac:dyDescent="0.3">
      <c r="A72" s="131"/>
      <c r="B72" s="134">
        <v>42510</v>
      </c>
      <c r="C72" s="135" t="s">
        <v>23</v>
      </c>
      <c r="D72" s="135" t="s">
        <v>56</v>
      </c>
      <c r="E72" s="135">
        <v>105.7</v>
      </c>
      <c r="F72" s="135">
        <v>104.2</v>
      </c>
      <c r="G72" s="135">
        <v>1.5</v>
      </c>
      <c r="H72" s="135">
        <v>5000</v>
      </c>
      <c r="I72" s="135">
        <v>7500</v>
      </c>
      <c r="J72" s="131"/>
    </row>
    <row r="73" spans="1:10" x14ac:dyDescent="0.3">
      <c r="A73" s="131"/>
      <c r="B73" s="134">
        <v>42513</v>
      </c>
      <c r="C73" s="135" t="s">
        <v>23</v>
      </c>
      <c r="D73" s="135" t="s">
        <v>56</v>
      </c>
      <c r="E73" s="135">
        <v>103.5</v>
      </c>
      <c r="F73" s="135">
        <v>104.5</v>
      </c>
      <c r="G73" s="135">
        <v>-1</v>
      </c>
      <c r="H73" s="135">
        <v>5000</v>
      </c>
      <c r="I73" s="135">
        <v>-5000</v>
      </c>
      <c r="J73" s="131"/>
    </row>
    <row r="74" spans="1:10" x14ac:dyDescent="0.3">
      <c r="A74" s="131"/>
      <c r="B74" s="134">
        <v>42514</v>
      </c>
      <c r="C74" s="135" t="s">
        <v>23</v>
      </c>
      <c r="D74" s="135" t="s">
        <v>29</v>
      </c>
      <c r="E74" s="135">
        <v>312.5</v>
      </c>
      <c r="F74" s="135">
        <v>311.5</v>
      </c>
      <c r="G74" s="135">
        <v>1.5</v>
      </c>
      <c r="H74" s="135">
        <v>1000</v>
      </c>
      <c r="I74" s="135">
        <v>1500</v>
      </c>
      <c r="J74" s="131"/>
    </row>
    <row r="75" spans="1:10" x14ac:dyDescent="0.3">
      <c r="A75" s="131"/>
      <c r="B75" s="134">
        <v>42515</v>
      </c>
      <c r="C75" s="135" t="s">
        <v>23</v>
      </c>
      <c r="D75" s="135" t="s">
        <v>56</v>
      </c>
      <c r="E75" s="135">
        <v>104.5</v>
      </c>
      <c r="F75" s="135">
        <v>103.7</v>
      </c>
      <c r="G75" s="135">
        <v>0.8</v>
      </c>
      <c r="H75" s="135">
        <v>5000</v>
      </c>
      <c r="I75" s="135">
        <v>4000</v>
      </c>
      <c r="J75" s="131"/>
    </row>
    <row r="76" spans="1:10" x14ac:dyDescent="0.3">
      <c r="A76" s="131"/>
      <c r="B76" s="134">
        <v>42516</v>
      </c>
      <c r="C76" s="135" t="s">
        <v>16</v>
      </c>
      <c r="D76" s="135" t="s">
        <v>56</v>
      </c>
      <c r="E76" s="135">
        <v>104.6</v>
      </c>
      <c r="F76" s="135">
        <v>103.8</v>
      </c>
      <c r="G76" s="135">
        <v>-0.8</v>
      </c>
      <c r="H76" s="135">
        <v>5000</v>
      </c>
      <c r="I76" s="135">
        <v>-4000</v>
      </c>
      <c r="J76" s="131"/>
    </row>
    <row r="77" spans="1:10" x14ac:dyDescent="0.3">
      <c r="A77" s="131"/>
      <c r="B77" s="134">
        <v>42517</v>
      </c>
      <c r="C77" s="135" t="s">
        <v>23</v>
      </c>
      <c r="D77" s="135" t="s">
        <v>56</v>
      </c>
      <c r="E77" s="135">
        <v>104.2</v>
      </c>
      <c r="F77" s="135">
        <v>103.7</v>
      </c>
      <c r="G77" s="135">
        <v>0.5</v>
      </c>
      <c r="H77" s="135">
        <v>5000</v>
      </c>
      <c r="I77" s="135">
        <v>2500</v>
      </c>
      <c r="J77" s="131"/>
    </row>
    <row r="78" spans="1:10" x14ac:dyDescent="0.3">
      <c r="A78" s="131"/>
      <c r="B78" s="134">
        <v>42520</v>
      </c>
      <c r="C78" s="135" t="s">
        <v>23</v>
      </c>
      <c r="D78" s="135" t="s">
        <v>56</v>
      </c>
      <c r="E78" s="135">
        <v>103.8</v>
      </c>
      <c r="F78" s="135">
        <v>103.65</v>
      </c>
      <c r="G78" s="135">
        <v>0.15</v>
      </c>
      <c r="H78" s="135">
        <v>5000</v>
      </c>
      <c r="I78" s="135">
        <v>750</v>
      </c>
      <c r="J78" s="131"/>
    </row>
    <row r="79" spans="1:10" x14ac:dyDescent="0.3">
      <c r="A79" s="131"/>
      <c r="B79" s="134">
        <v>42521</v>
      </c>
      <c r="C79" s="135" t="s">
        <v>16</v>
      </c>
      <c r="D79" s="135" t="s">
        <v>56</v>
      </c>
      <c r="E79" s="135">
        <v>104.5</v>
      </c>
      <c r="F79" s="135">
        <v>105</v>
      </c>
      <c r="G79" s="135">
        <v>0.5</v>
      </c>
      <c r="H79" s="135">
        <v>5000</v>
      </c>
      <c r="I79" s="135">
        <v>2500</v>
      </c>
      <c r="J79" s="131"/>
    </row>
    <row r="80" spans="1:10" x14ac:dyDescent="0.3">
      <c r="A80" s="131"/>
      <c r="J80" s="131"/>
    </row>
    <row r="81" spans="1:10" ht="17.399999999999999" x14ac:dyDescent="0.3">
      <c r="A81" s="131"/>
      <c r="B81" s="71"/>
      <c r="H81" s="157"/>
      <c r="I81" s="106">
        <v>35500</v>
      </c>
      <c r="J81" s="131"/>
    </row>
    <row r="82" spans="1:10" x14ac:dyDescent="0.3">
      <c r="A82" s="131"/>
      <c r="H82" s="157"/>
      <c r="I82" s="163"/>
      <c r="J82" s="131"/>
    </row>
    <row r="83" spans="1:10" x14ac:dyDescent="0.3">
      <c r="A83" s="131"/>
      <c r="I83" s="73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  <row r="89" spans="1:10" x14ac:dyDescent="0.3">
      <c r="A89" s="131"/>
      <c r="J89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9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89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302" t="s">
        <v>128</v>
      </c>
      <c r="C2" s="302"/>
      <c r="D2" s="302"/>
      <c r="E2" s="302"/>
      <c r="F2" s="302"/>
      <c r="G2" s="302"/>
      <c r="H2" s="302"/>
      <c r="I2" s="302"/>
      <c r="J2" s="17"/>
      <c r="K2" s="257" t="s">
        <v>872</v>
      </c>
    </row>
    <row r="3" spans="1:15" x14ac:dyDescent="0.3">
      <c r="A3" s="17"/>
      <c r="B3" s="300" t="s">
        <v>841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42522</v>
      </c>
      <c r="C6" s="135" t="s">
        <v>16</v>
      </c>
      <c r="D6" s="135" t="s">
        <v>24</v>
      </c>
      <c r="E6" s="135">
        <v>29040</v>
      </c>
      <c r="F6" s="135">
        <v>29140</v>
      </c>
      <c r="G6" s="135">
        <v>100</v>
      </c>
      <c r="H6" s="135">
        <v>100</v>
      </c>
      <c r="I6" s="135">
        <v>10000</v>
      </c>
      <c r="J6" s="17"/>
      <c r="K6" s="71"/>
    </row>
    <row r="7" spans="1:15" x14ac:dyDescent="0.3">
      <c r="A7" s="17"/>
      <c r="B7" s="134">
        <v>42523</v>
      </c>
      <c r="C7" s="135" t="s">
        <v>16</v>
      </c>
      <c r="D7" s="135" t="s">
        <v>24</v>
      </c>
      <c r="E7" s="135">
        <v>28950</v>
      </c>
      <c r="F7" s="135">
        <v>29020</v>
      </c>
      <c r="G7" s="135">
        <v>70</v>
      </c>
      <c r="H7" s="135">
        <v>100</v>
      </c>
      <c r="I7" s="135">
        <v>7000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42524</v>
      </c>
      <c r="C8" s="151" t="s">
        <v>23</v>
      </c>
      <c r="D8" s="151" t="s">
        <v>24</v>
      </c>
      <c r="E8" s="151">
        <v>28870</v>
      </c>
      <c r="F8" s="151">
        <v>28970</v>
      </c>
      <c r="G8" s="151">
        <v>-100</v>
      </c>
      <c r="H8" s="151">
        <v>100</v>
      </c>
      <c r="I8" s="135">
        <v>-10000</v>
      </c>
      <c r="J8" s="17"/>
      <c r="K8" s="71" t="s">
        <v>257</v>
      </c>
      <c r="L8" s="165" t="s">
        <v>260</v>
      </c>
      <c r="M8" s="101" t="s">
        <v>291</v>
      </c>
      <c r="N8" s="101" t="s">
        <v>302</v>
      </c>
      <c r="O8" s="101" t="s">
        <v>290</v>
      </c>
    </row>
    <row r="9" spans="1:15" x14ac:dyDescent="0.3">
      <c r="A9" s="17"/>
      <c r="B9" s="134">
        <v>42527</v>
      </c>
      <c r="C9" s="151" t="s">
        <v>23</v>
      </c>
      <c r="D9" s="151" t="s">
        <v>24</v>
      </c>
      <c r="E9" s="151">
        <v>29410</v>
      </c>
      <c r="F9" s="151">
        <v>29450</v>
      </c>
      <c r="G9" s="151">
        <v>-40</v>
      </c>
      <c r="H9" s="151">
        <v>100</v>
      </c>
      <c r="I9" s="135">
        <v>-4000</v>
      </c>
      <c r="J9" s="17"/>
      <c r="K9" s="71" t="s">
        <v>258</v>
      </c>
      <c r="L9" s="101" t="s">
        <v>260</v>
      </c>
      <c r="M9" s="101" t="s">
        <v>491</v>
      </c>
      <c r="N9" s="101" t="s">
        <v>290</v>
      </c>
      <c r="O9" s="101" t="s">
        <v>290</v>
      </c>
    </row>
    <row r="10" spans="1:15" x14ac:dyDescent="0.3">
      <c r="A10" s="17"/>
      <c r="B10" s="134">
        <v>42528</v>
      </c>
      <c r="C10" s="135" t="s">
        <v>23</v>
      </c>
      <c r="D10" s="135" t="s">
        <v>24</v>
      </c>
      <c r="E10" s="135">
        <v>29410</v>
      </c>
      <c r="F10" s="135">
        <v>29210</v>
      </c>
      <c r="G10" s="135">
        <v>200</v>
      </c>
      <c r="H10" s="135">
        <v>100</v>
      </c>
      <c r="I10" s="135">
        <v>20000</v>
      </c>
      <c r="J10" s="17"/>
      <c r="K10" s="71" t="s">
        <v>259</v>
      </c>
      <c r="L10" s="101" t="s">
        <v>260</v>
      </c>
      <c r="M10" s="101" t="s">
        <v>265</v>
      </c>
      <c r="N10" s="101" t="s">
        <v>264</v>
      </c>
      <c r="O10" s="101" t="s">
        <v>262</v>
      </c>
    </row>
    <row r="11" spans="1:15" x14ac:dyDescent="0.3">
      <c r="A11" s="17"/>
      <c r="B11" s="134">
        <v>42529</v>
      </c>
      <c r="C11" s="135" t="s">
        <v>16</v>
      </c>
      <c r="D11" s="135" t="s">
        <v>24</v>
      </c>
      <c r="E11" s="135">
        <v>29530</v>
      </c>
      <c r="F11" s="135">
        <v>29720</v>
      </c>
      <c r="G11" s="135">
        <v>190</v>
      </c>
      <c r="H11" s="135">
        <v>100</v>
      </c>
      <c r="I11" s="135">
        <v>19000</v>
      </c>
      <c r="J11" s="17"/>
      <c r="K11" s="71" t="s">
        <v>300</v>
      </c>
      <c r="L11" s="104" t="s">
        <v>333</v>
      </c>
      <c r="M11" s="104" t="s">
        <v>334</v>
      </c>
      <c r="N11" s="104" t="s">
        <v>625</v>
      </c>
      <c r="O11" s="104" t="s">
        <v>261</v>
      </c>
    </row>
    <row r="12" spans="1:15" x14ac:dyDescent="0.3">
      <c r="A12" s="17"/>
      <c r="B12" s="134">
        <v>42530</v>
      </c>
      <c r="C12" s="135" t="s">
        <v>23</v>
      </c>
      <c r="D12" s="135" t="s">
        <v>24</v>
      </c>
      <c r="E12" s="135">
        <v>29690</v>
      </c>
      <c r="F12" s="135">
        <v>29620</v>
      </c>
      <c r="G12" s="135">
        <v>70</v>
      </c>
      <c r="H12" s="135">
        <v>100</v>
      </c>
      <c r="I12" s="135">
        <v>7000</v>
      </c>
      <c r="J12" s="17"/>
      <c r="K12" s="71"/>
    </row>
    <row r="13" spans="1:15" x14ac:dyDescent="0.3">
      <c r="A13" s="17"/>
      <c r="B13" s="134">
        <v>42531</v>
      </c>
      <c r="C13" s="135" t="s">
        <v>23</v>
      </c>
      <c r="D13" s="135" t="s">
        <v>24</v>
      </c>
      <c r="E13" s="135">
        <v>29920</v>
      </c>
      <c r="F13" s="135">
        <v>29850</v>
      </c>
      <c r="G13" s="135">
        <v>70</v>
      </c>
      <c r="H13" s="135">
        <v>100</v>
      </c>
      <c r="I13" s="135">
        <v>7000</v>
      </c>
      <c r="J13" s="17"/>
      <c r="K13" s="132"/>
      <c r="L13" s="127" t="s">
        <v>832</v>
      </c>
      <c r="M13" s="128"/>
      <c r="N13" s="133" t="s">
        <v>842</v>
      </c>
    </row>
    <row r="14" spans="1:15" x14ac:dyDescent="0.3">
      <c r="A14" s="17"/>
      <c r="B14" s="134">
        <v>42534</v>
      </c>
      <c r="C14" s="135" t="s">
        <v>16</v>
      </c>
      <c r="D14" s="135" t="s">
        <v>24</v>
      </c>
      <c r="E14" s="135">
        <v>30300</v>
      </c>
      <c r="F14" s="135">
        <v>30400</v>
      </c>
      <c r="G14" s="135">
        <v>100</v>
      </c>
      <c r="H14" s="135">
        <v>100</v>
      </c>
      <c r="I14" s="135">
        <v>10000</v>
      </c>
      <c r="J14" s="17"/>
      <c r="K14" s="71"/>
    </row>
    <row r="15" spans="1:15" x14ac:dyDescent="0.3">
      <c r="A15" s="17"/>
      <c r="B15" s="134">
        <v>42535</v>
      </c>
      <c r="C15" s="135" t="s">
        <v>55</v>
      </c>
      <c r="D15" s="135" t="s">
        <v>24</v>
      </c>
      <c r="E15" s="135">
        <v>30330</v>
      </c>
      <c r="F15" s="135">
        <v>30530</v>
      </c>
      <c r="G15" s="135">
        <v>200</v>
      </c>
      <c r="H15" s="135">
        <v>100</v>
      </c>
      <c r="I15" s="135">
        <v>20000</v>
      </c>
      <c r="J15" s="17"/>
      <c r="K15" s="71"/>
    </row>
    <row r="16" spans="1:15" x14ac:dyDescent="0.3">
      <c r="A16" s="17"/>
      <c r="B16" s="134">
        <v>42536</v>
      </c>
      <c r="C16" s="135" t="s">
        <v>23</v>
      </c>
      <c r="D16" s="135" t="s">
        <v>24</v>
      </c>
      <c r="E16" s="135">
        <v>30480</v>
      </c>
      <c r="F16" s="135">
        <v>30380</v>
      </c>
      <c r="G16" s="135">
        <v>-100</v>
      </c>
      <c r="H16" s="135">
        <v>100</v>
      </c>
      <c r="I16" s="135">
        <v>-10000</v>
      </c>
      <c r="J16" s="17"/>
      <c r="K16" s="71"/>
    </row>
    <row r="17" spans="1:11" x14ac:dyDescent="0.3">
      <c r="A17" s="17"/>
      <c r="B17" s="134">
        <v>42537</v>
      </c>
      <c r="C17" s="135" t="s">
        <v>23</v>
      </c>
      <c r="D17" s="135" t="s">
        <v>24</v>
      </c>
      <c r="E17" s="135">
        <v>30910</v>
      </c>
      <c r="F17" s="135">
        <v>31010</v>
      </c>
      <c r="G17" s="135">
        <v>-100</v>
      </c>
      <c r="H17" s="135">
        <v>100</v>
      </c>
      <c r="I17" s="135">
        <v>-10000</v>
      </c>
      <c r="J17" s="17"/>
      <c r="K17" s="71"/>
    </row>
    <row r="18" spans="1:11" x14ac:dyDescent="0.3">
      <c r="A18" s="17"/>
      <c r="B18" s="134">
        <v>42538</v>
      </c>
      <c r="C18" s="135" t="s">
        <v>16</v>
      </c>
      <c r="D18" s="135" t="s">
        <v>24</v>
      </c>
      <c r="E18" s="135">
        <v>30530</v>
      </c>
      <c r="F18" s="135">
        <v>30630</v>
      </c>
      <c r="G18" s="135">
        <v>100</v>
      </c>
      <c r="H18" s="135">
        <v>100</v>
      </c>
      <c r="I18" s="135">
        <v>10000</v>
      </c>
      <c r="J18" s="17"/>
      <c r="K18" s="71"/>
    </row>
    <row r="19" spans="1:11" x14ac:dyDescent="0.3">
      <c r="A19" s="17"/>
      <c r="B19" s="134">
        <v>42541</v>
      </c>
      <c r="C19" s="135" t="s">
        <v>16</v>
      </c>
      <c r="D19" s="135" t="s">
        <v>24</v>
      </c>
      <c r="E19" s="135">
        <v>30600</v>
      </c>
      <c r="F19" s="135">
        <v>30500</v>
      </c>
      <c r="G19" s="135">
        <v>-100</v>
      </c>
      <c r="H19" s="135">
        <v>100</v>
      </c>
      <c r="I19" s="135">
        <v>-10000</v>
      </c>
      <c r="J19" s="17"/>
      <c r="K19" s="71"/>
    </row>
    <row r="20" spans="1:11" x14ac:dyDescent="0.3">
      <c r="A20" s="17"/>
      <c r="B20" s="134">
        <v>42542</v>
      </c>
      <c r="C20" s="135" t="s">
        <v>23</v>
      </c>
      <c r="D20" s="135" t="s">
        <v>24</v>
      </c>
      <c r="E20" s="135">
        <v>30520</v>
      </c>
      <c r="F20" s="135">
        <v>30320</v>
      </c>
      <c r="G20" s="135">
        <v>200</v>
      </c>
      <c r="H20" s="135">
        <v>100</v>
      </c>
      <c r="I20" s="135">
        <v>20000</v>
      </c>
      <c r="J20" s="17"/>
      <c r="K20" s="71"/>
    </row>
    <row r="21" spans="1:11" x14ac:dyDescent="0.3">
      <c r="A21" s="17"/>
      <c r="B21" s="134">
        <v>42543</v>
      </c>
      <c r="C21" s="135" t="s">
        <v>23</v>
      </c>
      <c r="D21" s="135" t="s">
        <v>24</v>
      </c>
      <c r="E21" s="135">
        <v>30200</v>
      </c>
      <c r="F21" s="135">
        <v>30060</v>
      </c>
      <c r="G21" s="135">
        <v>140</v>
      </c>
      <c r="H21" s="135">
        <v>100</v>
      </c>
      <c r="I21" s="135">
        <v>14000</v>
      </c>
      <c r="J21" s="17"/>
      <c r="K21" s="71"/>
    </row>
    <row r="22" spans="1:11" x14ac:dyDescent="0.3">
      <c r="A22" s="17"/>
      <c r="B22" s="134">
        <v>42544</v>
      </c>
      <c r="C22" s="135" t="s">
        <v>23</v>
      </c>
      <c r="D22" s="135" t="s">
        <v>24</v>
      </c>
      <c r="E22" s="135">
        <v>29900</v>
      </c>
      <c r="F22" s="135">
        <v>30000</v>
      </c>
      <c r="G22" s="135">
        <v>-100</v>
      </c>
      <c r="H22" s="135">
        <v>100</v>
      </c>
      <c r="I22" s="135">
        <v>-10000</v>
      </c>
      <c r="J22" s="17"/>
      <c r="K22" s="71"/>
    </row>
    <row r="23" spans="1:11" x14ac:dyDescent="0.3">
      <c r="A23" s="17"/>
      <c r="B23" s="134">
        <v>42545</v>
      </c>
      <c r="C23" s="135" t="s">
        <v>16</v>
      </c>
      <c r="D23" s="135" t="s">
        <v>24</v>
      </c>
      <c r="E23" s="135">
        <v>31580</v>
      </c>
      <c r="F23" s="135">
        <v>31480</v>
      </c>
      <c r="G23" s="135">
        <v>-100</v>
      </c>
      <c r="H23" s="135">
        <v>100</v>
      </c>
      <c r="I23" s="135">
        <v>-10000</v>
      </c>
      <c r="J23" s="17"/>
      <c r="K23" s="71"/>
    </row>
    <row r="24" spans="1:11" x14ac:dyDescent="0.3">
      <c r="A24" s="17"/>
      <c r="B24" s="134">
        <v>42548</v>
      </c>
      <c r="C24" s="135" t="s">
        <v>16</v>
      </c>
      <c r="D24" s="135" t="s">
        <v>24</v>
      </c>
      <c r="E24" s="135">
        <v>31580</v>
      </c>
      <c r="F24" s="135">
        <v>31730</v>
      </c>
      <c r="G24" s="135">
        <v>150</v>
      </c>
      <c r="H24" s="135">
        <v>100</v>
      </c>
      <c r="I24" s="135">
        <v>15000</v>
      </c>
      <c r="J24" s="17"/>
    </row>
    <row r="25" spans="1:11" x14ac:dyDescent="0.3">
      <c r="A25" s="17"/>
      <c r="B25" s="134">
        <v>42549</v>
      </c>
      <c r="C25" s="135" t="s">
        <v>16</v>
      </c>
      <c r="D25" s="135" t="s">
        <v>24</v>
      </c>
      <c r="E25" s="135">
        <v>31340</v>
      </c>
      <c r="F25" s="135">
        <v>31200</v>
      </c>
      <c r="G25" s="135">
        <v>140</v>
      </c>
      <c r="H25" s="135">
        <v>100</v>
      </c>
      <c r="I25" s="135">
        <v>14000</v>
      </c>
      <c r="J25" s="17"/>
    </row>
    <row r="26" spans="1:11" x14ac:dyDescent="0.3">
      <c r="A26" s="17"/>
      <c r="B26" s="134">
        <v>42550</v>
      </c>
      <c r="C26" s="135" t="s">
        <v>23</v>
      </c>
      <c r="D26" s="135" t="s">
        <v>24</v>
      </c>
      <c r="E26" s="135">
        <v>31400</v>
      </c>
      <c r="F26" s="135">
        <v>31260</v>
      </c>
      <c r="G26" s="135">
        <v>140</v>
      </c>
      <c r="H26" s="135">
        <v>100</v>
      </c>
      <c r="I26" s="135">
        <v>14000</v>
      </c>
      <c r="J26" s="17"/>
    </row>
    <row r="27" spans="1:11" x14ac:dyDescent="0.3">
      <c r="A27" s="17"/>
      <c r="B27" s="134">
        <v>42551</v>
      </c>
      <c r="C27" s="135" t="s">
        <v>23</v>
      </c>
      <c r="D27" s="135" t="s">
        <v>24</v>
      </c>
      <c r="E27" s="135">
        <v>31180</v>
      </c>
      <c r="F27" s="135">
        <v>31280</v>
      </c>
      <c r="G27" s="135">
        <v>-100</v>
      </c>
      <c r="H27" s="135">
        <v>100</v>
      </c>
      <c r="I27" s="135">
        <v>-10000</v>
      </c>
      <c r="J27" s="17"/>
    </row>
    <row r="28" spans="1:11" x14ac:dyDescent="0.3">
      <c r="A28" s="17"/>
      <c r="C28" s="151"/>
      <c r="D28" s="156"/>
      <c r="E28" s="156"/>
      <c r="F28" s="156"/>
      <c r="G28" s="156"/>
      <c r="H28" s="157"/>
      <c r="I28" s="135"/>
      <c r="J28" s="17"/>
    </row>
    <row r="29" spans="1:11" ht="17.399999999999999" x14ac:dyDescent="0.3">
      <c r="A29" s="17"/>
      <c r="C29" s="157"/>
      <c r="D29" s="156"/>
      <c r="E29" s="158"/>
      <c r="F29" s="157"/>
      <c r="G29" s="157"/>
      <c r="H29" s="157"/>
      <c r="I29" s="106">
        <v>113000</v>
      </c>
      <c r="J29" s="17"/>
    </row>
    <row r="30" spans="1:11" x14ac:dyDescent="0.3">
      <c r="A30" s="17"/>
      <c r="C30" s="157"/>
      <c r="D30" s="158"/>
      <c r="E30" s="158"/>
      <c r="F30" s="157"/>
      <c r="G30" s="157"/>
      <c r="H30" s="157"/>
      <c r="I30" s="157"/>
      <c r="J30" s="17"/>
    </row>
    <row r="31" spans="1:11" x14ac:dyDescent="0.3">
      <c r="A31" s="17"/>
      <c r="B31" s="164" t="s">
        <v>789</v>
      </c>
      <c r="C31" s="159"/>
      <c r="D31" s="160"/>
      <c r="E31" s="159"/>
      <c r="F31" s="159"/>
      <c r="G31" s="159"/>
      <c r="H31" s="159"/>
      <c r="I31" s="159"/>
      <c r="J31" s="17"/>
    </row>
    <row r="32" spans="1:11" x14ac:dyDescent="0.3">
      <c r="A32" s="17"/>
      <c r="B32" s="134">
        <v>42522</v>
      </c>
      <c r="C32" s="135" t="s">
        <v>23</v>
      </c>
      <c r="D32" s="135" t="s">
        <v>25</v>
      </c>
      <c r="E32" s="135">
        <v>3290</v>
      </c>
      <c r="F32" s="135">
        <v>3245</v>
      </c>
      <c r="G32" s="135">
        <v>45</v>
      </c>
      <c r="H32" s="135">
        <v>100</v>
      </c>
      <c r="I32" s="135">
        <v>4500</v>
      </c>
      <c r="J32" s="17"/>
    </row>
    <row r="33" spans="1:10" x14ac:dyDescent="0.3">
      <c r="A33" s="17"/>
      <c r="B33" s="134">
        <v>42523</v>
      </c>
      <c r="C33" s="135" t="s">
        <v>23</v>
      </c>
      <c r="D33" s="135" t="s">
        <v>25</v>
      </c>
      <c r="E33" s="135">
        <v>3310</v>
      </c>
      <c r="F33" s="135">
        <v>3250</v>
      </c>
      <c r="G33" s="135">
        <v>60</v>
      </c>
      <c r="H33" s="135">
        <v>100</v>
      </c>
      <c r="I33" s="135">
        <v>6000</v>
      </c>
      <c r="J33" s="17"/>
    </row>
    <row r="34" spans="1:10" x14ac:dyDescent="0.3">
      <c r="A34" s="17"/>
      <c r="B34" s="134">
        <v>42524</v>
      </c>
      <c r="C34" s="135" t="s">
        <v>23</v>
      </c>
      <c r="D34" s="135" t="s">
        <v>25</v>
      </c>
      <c r="E34" s="135">
        <v>3325</v>
      </c>
      <c r="F34" s="135">
        <v>3250</v>
      </c>
      <c r="G34" s="135">
        <v>75</v>
      </c>
      <c r="H34" s="135">
        <v>100</v>
      </c>
      <c r="I34" s="135">
        <v>7500</v>
      </c>
      <c r="J34" s="17"/>
    </row>
    <row r="35" spans="1:10" x14ac:dyDescent="0.3">
      <c r="A35" s="17"/>
      <c r="B35" s="134">
        <v>42527</v>
      </c>
      <c r="C35" s="135" t="s">
        <v>23</v>
      </c>
      <c r="D35" s="135" t="s">
        <v>25</v>
      </c>
      <c r="E35" s="135">
        <v>3305</v>
      </c>
      <c r="F35" s="135">
        <v>3335</v>
      </c>
      <c r="G35" s="135">
        <v>-30</v>
      </c>
      <c r="H35" s="135">
        <v>100</v>
      </c>
      <c r="I35" s="135">
        <v>-3000</v>
      </c>
      <c r="J35" s="17"/>
    </row>
    <row r="36" spans="1:10" x14ac:dyDescent="0.3">
      <c r="A36" s="17"/>
      <c r="B36" s="134">
        <v>42528</v>
      </c>
      <c r="C36" s="135" t="s">
        <v>23</v>
      </c>
      <c r="D36" s="135" t="s">
        <v>25</v>
      </c>
      <c r="E36" s="135">
        <v>3340</v>
      </c>
      <c r="F36" s="135">
        <v>3340</v>
      </c>
      <c r="G36" s="135">
        <v>0</v>
      </c>
      <c r="H36" s="135">
        <v>100</v>
      </c>
      <c r="I36" s="135">
        <v>0</v>
      </c>
      <c r="J36" s="17"/>
    </row>
    <row r="37" spans="1:10" x14ac:dyDescent="0.3">
      <c r="A37" s="17"/>
      <c r="B37" s="134">
        <v>42529</v>
      </c>
      <c r="C37" s="135" t="s">
        <v>23</v>
      </c>
      <c r="D37" s="135" t="s">
        <v>25</v>
      </c>
      <c r="E37" s="135">
        <v>3410</v>
      </c>
      <c r="F37" s="135">
        <v>3375</v>
      </c>
      <c r="G37" s="135">
        <v>35</v>
      </c>
      <c r="H37" s="135">
        <v>100</v>
      </c>
      <c r="I37" s="135">
        <v>3500</v>
      </c>
      <c r="J37" s="17"/>
    </row>
    <row r="38" spans="1:10" x14ac:dyDescent="0.3">
      <c r="A38" s="17"/>
      <c r="B38" s="134">
        <v>42530</v>
      </c>
      <c r="C38" s="135" t="s">
        <v>23</v>
      </c>
      <c r="D38" s="135" t="s">
        <v>25</v>
      </c>
      <c r="E38" s="135">
        <v>3430</v>
      </c>
      <c r="F38" s="135">
        <v>3355</v>
      </c>
      <c r="G38" s="135">
        <v>85</v>
      </c>
      <c r="H38" s="135">
        <v>100</v>
      </c>
      <c r="I38" s="135">
        <v>8500</v>
      </c>
      <c r="J38" s="17"/>
    </row>
    <row r="39" spans="1:10" x14ac:dyDescent="0.3">
      <c r="A39" s="17"/>
      <c r="B39" s="134">
        <v>42531</v>
      </c>
      <c r="C39" s="135" t="s">
        <v>23</v>
      </c>
      <c r="D39" s="135" t="s">
        <v>25</v>
      </c>
      <c r="E39" s="135">
        <v>3350</v>
      </c>
      <c r="F39" s="135">
        <v>3295</v>
      </c>
      <c r="G39" s="135">
        <v>55</v>
      </c>
      <c r="H39" s="135">
        <v>100</v>
      </c>
      <c r="I39" s="135">
        <v>5500</v>
      </c>
      <c r="J39" s="17"/>
    </row>
    <row r="40" spans="1:10" x14ac:dyDescent="0.3">
      <c r="A40" s="17"/>
      <c r="B40" s="134">
        <v>42534</v>
      </c>
      <c r="C40" s="135" t="s">
        <v>23</v>
      </c>
      <c r="D40" s="135" t="s">
        <v>25</v>
      </c>
      <c r="E40" s="135">
        <v>3270</v>
      </c>
      <c r="F40" s="135">
        <v>3235</v>
      </c>
      <c r="G40" s="135">
        <v>35</v>
      </c>
      <c r="H40" s="135">
        <v>100</v>
      </c>
      <c r="I40" s="135">
        <v>3500</v>
      </c>
      <c r="J40" s="17"/>
    </row>
    <row r="41" spans="1:10" x14ac:dyDescent="0.3">
      <c r="A41" s="17"/>
      <c r="B41" s="134">
        <v>42535</v>
      </c>
      <c r="C41" s="135" t="s">
        <v>23</v>
      </c>
      <c r="D41" s="135" t="s">
        <v>25</v>
      </c>
      <c r="E41" s="135">
        <v>3250</v>
      </c>
      <c r="F41" s="135">
        <v>3215</v>
      </c>
      <c r="G41" s="135">
        <v>35</v>
      </c>
      <c r="H41" s="135">
        <v>100</v>
      </c>
      <c r="I41" s="135">
        <v>3500</v>
      </c>
      <c r="J41" s="17"/>
    </row>
    <row r="42" spans="1:10" x14ac:dyDescent="0.3">
      <c r="A42" s="17"/>
      <c r="B42" s="134">
        <v>42536</v>
      </c>
      <c r="C42" s="135" t="s">
        <v>23</v>
      </c>
      <c r="D42" s="135" t="s">
        <v>25</v>
      </c>
      <c r="E42" s="135">
        <v>3225</v>
      </c>
      <c r="F42" s="135">
        <v>3200</v>
      </c>
      <c r="G42" s="135">
        <v>25</v>
      </c>
      <c r="H42" s="135">
        <v>100</v>
      </c>
      <c r="I42" s="135">
        <v>2500</v>
      </c>
      <c r="J42" s="17"/>
    </row>
    <row r="43" spans="1:10" x14ac:dyDescent="0.3">
      <c r="A43" s="17"/>
      <c r="B43" s="134">
        <v>42537</v>
      </c>
      <c r="C43" s="135" t="s">
        <v>23</v>
      </c>
      <c r="D43" s="135" t="s">
        <v>25</v>
      </c>
      <c r="E43" s="135">
        <v>3195</v>
      </c>
      <c r="F43" s="135">
        <v>3120</v>
      </c>
      <c r="G43" s="135">
        <v>75</v>
      </c>
      <c r="H43" s="135">
        <v>100</v>
      </c>
      <c r="I43" s="135">
        <v>7500</v>
      </c>
      <c r="J43" s="17"/>
    </row>
    <row r="44" spans="1:10" x14ac:dyDescent="0.3">
      <c r="A44" s="17"/>
      <c r="B44" s="134">
        <v>42538</v>
      </c>
      <c r="C44" s="135" t="s">
        <v>16</v>
      </c>
      <c r="D44" s="135" t="s">
        <v>25</v>
      </c>
      <c r="E44" s="135">
        <v>3130</v>
      </c>
      <c r="F44" s="135">
        <v>3200</v>
      </c>
      <c r="G44" s="135">
        <v>70</v>
      </c>
      <c r="H44" s="135">
        <v>100</v>
      </c>
      <c r="I44" s="135">
        <v>7000</v>
      </c>
      <c r="J44" s="17"/>
    </row>
    <row r="45" spans="1:10" x14ac:dyDescent="0.3">
      <c r="A45" s="17"/>
      <c r="B45" s="134">
        <v>42541</v>
      </c>
      <c r="C45" s="135" t="s">
        <v>23</v>
      </c>
      <c r="D45" s="135" t="s">
        <v>25</v>
      </c>
      <c r="E45" s="135">
        <v>3345</v>
      </c>
      <c r="F45" s="135">
        <v>3330</v>
      </c>
      <c r="G45" s="135">
        <v>15</v>
      </c>
      <c r="H45" s="135">
        <v>100</v>
      </c>
      <c r="I45" s="135">
        <v>1500</v>
      </c>
      <c r="J45" s="17"/>
    </row>
    <row r="46" spans="1:10" x14ac:dyDescent="0.3">
      <c r="A46" s="17"/>
      <c r="B46" s="134">
        <v>42542</v>
      </c>
      <c r="C46" s="135" t="s">
        <v>23</v>
      </c>
      <c r="D46" s="135" t="s">
        <v>25</v>
      </c>
      <c r="E46" s="135">
        <v>3365</v>
      </c>
      <c r="F46" s="135">
        <v>3330</v>
      </c>
      <c r="G46" s="135">
        <v>35</v>
      </c>
      <c r="H46" s="135">
        <v>100</v>
      </c>
      <c r="I46" s="135">
        <v>3500</v>
      </c>
      <c r="J46" s="17"/>
    </row>
    <row r="47" spans="1:10" x14ac:dyDescent="0.3">
      <c r="A47" s="17"/>
      <c r="B47" s="134">
        <v>42543</v>
      </c>
      <c r="C47" s="135" t="s">
        <v>23</v>
      </c>
      <c r="D47" s="135" t="s">
        <v>25</v>
      </c>
      <c r="E47" s="135">
        <v>3395</v>
      </c>
      <c r="F47" s="135">
        <v>3330</v>
      </c>
      <c r="G47" s="135">
        <v>65</v>
      </c>
      <c r="H47" s="135">
        <v>100</v>
      </c>
      <c r="I47" s="135">
        <v>6500</v>
      </c>
      <c r="J47" s="17"/>
    </row>
    <row r="48" spans="1:10" x14ac:dyDescent="0.3">
      <c r="A48" s="17"/>
      <c r="B48" s="134">
        <v>42544</v>
      </c>
      <c r="C48" s="135" t="s">
        <v>23</v>
      </c>
      <c r="D48" s="135" t="s">
        <v>25</v>
      </c>
      <c r="E48" s="135">
        <v>3365</v>
      </c>
      <c r="F48" s="135">
        <v>3335</v>
      </c>
      <c r="G48" s="135">
        <v>30</v>
      </c>
      <c r="H48" s="135">
        <v>100</v>
      </c>
      <c r="I48" s="135">
        <v>3000</v>
      </c>
      <c r="J48" s="17"/>
    </row>
    <row r="49" spans="1:10" x14ac:dyDescent="0.3">
      <c r="A49" s="17"/>
      <c r="B49" s="134">
        <v>42545</v>
      </c>
      <c r="C49" s="135" t="s">
        <v>23</v>
      </c>
      <c r="D49" s="135" t="s">
        <v>25</v>
      </c>
      <c r="E49" s="135">
        <v>3255</v>
      </c>
      <c r="F49" s="135">
        <v>3235</v>
      </c>
      <c r="G49" s="135">
        <v>20</v>
      </c>
      <c r="H49" s="135">
        <v>100</v>
      </c>
      <c r="I49" s="135">
        <v>2000</v>
      </c>
      <c r="J49" s="17"/>
    </row>
    <row r="50" spans="1:10" x14ac:dyDescent="0.3">
      <c r="A50" s="17"/>
      <c r="B50" s="134">
        <v>42548</v>
      </c>
      <c r="C50" s="135" t="s">
        <v>23</v>
      </c>
      <c r="D50" s="135" t="s">
        <v>25</v>
      </c>
      <c r="E50" s="135">
        <v>3255</v>
      </c>
      <c r="F50" s="135">
        <v>3185</v>
      </c>
      <c r="G50" s="135">
        <v>70</v>
      </c>
      <c r="H50" s="135">
        <v>100</v>
      </c>
      <c r="I50" s="135">
        <v>7000</v>
      </c>
      <c r="J50" s="17"/>
    </row>
    <row r="51" spans="1:10" x14ac:dyDescent="0.3">
      <c r="A51" s="17"/>
      <c r="B51" s="134">
        <v>42549</v>
      </c>
      <c r="C51" s="135" t="s">
        <v>23</v>
      </c>
      <c r="D51" s="135" t="s">
        <v>25</v>
      </c>
      <c r="E51" s="135">
        <v>3215</v>
      </c>
      <c r="F51" s="135">
        <v>3245</v>
      </c>
      <c r="G51" s="135">
        <v>30</v>
      </c>
      <c r="H51" s="135">
        <v>100</v>
      </c>
      <c r="I51" s="135">
        <v>3000</v>
      </c>
      <c r="J51" s="17"/>
    </row>
    <row r="52" spans="1:10" x14ac:dyDescent="0.3">
      <c r="A52" s="17"/>
      <c r="B52" s="134">
        <v>42550</v>
      </c>
      <c r="C52" s="135" t="s">
        <v>23</v>
      </c>
      <c r="D52" s="135" t="s">
        <v>25</v>
      </c>
      <c r="E52" s="135">
        <v>3395</v>
      </c>
      <c r="F52" s="135">
        <v>3365</v>
      </c>
      <c r="G52" s="135">
        <v>30</v>
      </c>
      <c r="H52" s="135">
        <v>100</v>
      </c>
      <c r="I52" s="135">
        <v>3000</v>
      </c>
      <c r="J52" s="17"/>
    </row>
    <row r="53" spans="1:10" x14ac:dyDescent="0.3">
      <c r="A53" s="17"/>
      <c r="B53" s="134">
        <v>42551</v>
      </c>
      <c r="C53" s="151" t="s">
        <v>23</v>
      </c>
      <c r="D53" s="151" t="s">
        <v>25</v>
      </c>
      <c r="E53" s="155" t="s">
        <v>843</v>
      </c>
      <c r="F53" s="155" t="s">
        <v>466</v>
      </c>
      <c r="G53" s="155" t="s">
        <v>303</v>
      </c>
      <c r="H53" s="161">
        <v>100</v>
      </c>
      <c r="I53" s="135">
        <v>5000</v>
      </c>
      <c r="J53" s="17"/>
    </row>
    <row r="54" spans="1:10" x14ac:dyDescent="0.3">
      <c r="A54" s="17"/>
      <c r="B54" s="71"/>
      <c r="C54" s="135"/>
      <c r="D54" s="151"/>
      <c r="E54" s="135"/>
      <c r="F54" s="135"/>
      <c r="G54" s="135"/>
      <c r="H54" s="161"/>
      <c r="I54" s="162"/>
      <c r="J54" s="17"/>
    </row>
    <row r="55" spans="1:10" ht="17.399999999999999" x14ac:dyDescent="0.3">
      <c r="A55" s="17"/>
      <c r="B55" s="71"/>
      <c r="C55" s="135"/>
      <c r="D55" s="151"/>
      <c r="E55" s="135"/>
      <c r="F55" s="135"/>
      <c r="G55" s="135"/>
      <c r="H55" s="161"/>
      <c r="I55" s="106">
        <v>91000</v>
      </c>
      <c r="J55" s="17"/>
    </row>
    <row r="56" spans="1:10" x14ac:dyDescent="0.3">
      <c r="A56" s="17"/>
      <c r="B56" s="71"/>
      <c r="C56" s="157"/>
      <c r="D56" s="158"/>
      <c r="E56" s="157"/>
      <c r="F56" s="157"/>
      <c r="G56" s="157"/>
      <c r="H56" s="157"/>
      <c r="I56" s="157"/>
      <c r="J56" s="17"/>
    </row>
    <row r="57" spans="1:10" x14ac:dyDescent="0.3">
      <c r="A57" s="17"/>
      <c r="B57" s="164" t="s">
        <v>788</v>
      </c>
      <c r="C57" s="159"/>
      <c r="D57" s="160"/>
      <c r="E57" s="159"/>
      <c r="F57" s="159"/>
      <c r="G57" s="159"/>
      <c r="H57" s="159"/>
      <c r="I57" s="64"/>
      <c r="J57" s="17"/>
    </row>
    <row r="58" spans="1:10" x14ac:dyDescent="0.3">
      <c r="A58" s="17"/>
      <c r="B58" s="134">
        <v>42522</v>
      </c>
      <c r="C58" s="135" t="s">
        <v>16</v>
      </c>
      <c r="D58" s="135" t="s">
        <v>56</v>
      </c>
      <c r="E58" s="135">
        <v>104.6</v>
      </c>
      <c r="F58" s="135">
        <v>106.1</v>
      </c>
      <c r="G58" s="135">
        <v>1.5</v>
      </c>
      <c r="H58" s="135">
        <v>5000</v>
      </c>
      <c r="I58" s="135">
        <v>7500</v>
      </c>
      <c r="J58" s="17"/>
    </row>
    <row r="59" spans="1:10" x14ac:dyDescent="0.3">
      <c r="A59" s="17"/>
      <c r="B59" s="134">
        <v>42523</v>
      </c>
      <c r="C59" s="135" t="s">
        <v>23</v>
      </c>
      <c r="D59" s="135" t="s">
        <v>56</v>
      </c>
      <c r="E59" s="135">
        <v>105.7</v>
      </c>
      <c r="F59" s="135">
        <v>104.2</v>
      </c>
      <c r="G59" s="135">
        <v>1.5</v>
      </c>
      <c r="H59" s="135">
        <v>5000</v>
      </c>
      <c r="I59" s="135">
        <v>7500</v>
      </c>
      <c r="J59" s="17"/>
    </row>
    <row r="60" spans="1:10" x14ac:dyDescent="0.3">
      <c r="A60" s="17"/>
      <c r="B60" s="134">
        <v>42524</v>
      </c>
      <c r="C60" s="135" t="s">
        <v>16</v>
      </c>
      <c r="D60" s="135" t="s">
        <v>56</v>
      </c>
      <c r="E60" s="135">
        <v>104.3</v>
      </c>
      <c r="F60" s="135">
        <v>104.9</v>
      </c>
      <c r="G60" s="135">
        <v>0.5</v>
      </c>
      <c r="H60" s="135">
        <v>5000</v>
      </c>
      <c r="I60" s="135">
        <v>2500</v>
      </c>
      <c r="J60" s="131"/>
    </row>
    <row r="61" spans="1:10" x14ac:dyDescent="0.3">
      <c r="A61" s="131"/>
      <c r="B61" s="134">
        <v>42527</v>
      </c>
      <c r="C61" s="135" t="s">
        <v>16</v>
      </c>
      <c r="D61" s="135" t="s">
        <v>56</v>
      </c>
      <c r="E61" s="135">
        <v>103.8</v>
      </c>
      <c r="F61" s="135">
        <v>104.3</v>
      </c>
      <c r="G61" s="135">
        <v>0.5</v>
      </c>
      <c r="H61" s="135">
        <v>5000</v>
      </c>
      <c r="I61" s="135">
        <v>2500</v>
      </c>
      <c r="J61" s="131"/>
    </row>
    <row r="62" spans="1:10" x14ac:dyDescent="0.3">
      <c r="A62" s="131"/>
      <c r="B62" s="134">
        <v>42528</v>
      </c>
      <c r="C62" s="135" t="s">
        <v>23</v>
      </c>
      <c r="D62" s="135" t="s">
        <v>29</v>
      </c>
      <c r="E62" s="135">
        <v>311</v>
      </c>
      <c r="F62" s="135">
        <v>304</v>
      </c>
      <c r="G62" s="135">
        <v>7</v>
      </c>
      <c r="H62" s="135">
        <v>1000</v>
      </c>
      <c r="I62" s="135">
        <v>7000</v>
      </c>
      <c r="J62" s="131"/>
    </row>
    <row r="63" spans="1:10" x14ac:dyDescent="0.3">
      <c r="A63" s="131"/>
      <c r="B63" s="134">
        <v>42529</v>
      </c>
      <c r="C63" s="135" t="s">
        <v>16</v>
      </c>
      <c r="D63" s="135" t="s">
        <v>56</v>
      </c>
      <c r="E63" s="135">
        <v>106</v>
      </c>
      <c r="F63" s="135">
        <v>107</v>
      </c>
      <c r="G63" s="135">
        <v>1</v>
      </c>
      <c r="H63" s="135">
        <v>5000</v>
      </c>
      <c r="I63" s="135">
        <v>5000</v>
      </c>
      <c r="J63" s="131"/>
    </row>
    <row r="64" spans="1:10" x14ac:dyDescent="0.3">
      <c r="A64" s="131"/>
      <c r="B64" s="134">
        <v>42530</v>
      </c>
      <c r="C64" s="135" t="s">
        <v>23</v>
      </c>
      <c r="D64" s="135" t="s">
        <v>56</v>
      </c>
      <c r="E64" s="135">
        <v>106.8</v>
      </c>
      <c r="F64" s="135">
        <v>105.3</v>
      </c>
      <c r="G64" s="135">
        <v>1.5</v>
      </c>
      <c r="H64" s="135">
        <v>5000</v>
      </c>
      <c r="I64" s="135">
        <v>7500</v>
      </c>
      <c r="J64" s="131"/>
    </row>
    <row r="65" spans="1:10" x14ac:dyDescent="0.3">
      <c r="A65" s="131"/>
      <c r="B65" s="134">
        <v>42531</v>
      </c>
      <c r="C65" s="135" t="s">
        <v>23</v>
      </c>
      <c r="D65" s="135" t="s">
        <v>56</v>
      </c>
      <c r="E65" s="135">
        <v>105.7</v>
      </c>
      <c r="F65" s="135">
        <v>105.2</v>
      </c>
      <c r="G65" s="135">
        <v>0.5</v>
      </c>
      <c r="H65" s="135">
        <v>5000</v>
      </c>
      <c r="I65" s="135">
        <v>2500</v>
      </c>
      <c r="J65" s="131"/>
    </row>
    <row r="66" spans="1:10" x14ac:dyDescent="0.3">
      <c r="A66" s="131"/>
      <c r="B66" s="134">
        <v>42534</v>
      </c>
      <c r="C66" s="135" t="s">
        <v>23</v>
      </c>
      <c r="D66" s="135" t="s">
        <v>56</v>
      </c>
      <c r="E66" s="135">
        <v>105.1</v>
      </c>
      <c r="F66" s="135">
        <v>106.1</v>
      </c>
      <c r="G66" s="135">
        <v>-1</v>
      </c>
      <c r="H66" s="135">
        <v>5000</v>
      </c>
      <c r="I66" s="135">
        <v>-5000</v>
      </c>
      <c r="J66" s="131"/>
    </row>
    <row r="67" spans="1:10" x14ac:dyDescent="0.3">
      <c r="A67" s="131"/>
      <c r="B67" s="134">
        <v>42535</v>
      </c>
      <c r="C67" s="135" t="s">
        <v>23</v>
      </c>
      <c r="D67" s="135" t="s">
        <v>27</v>
      </c>
      <c r="E67" s="135">
        <v>114.4</v>
      </c>
      <c r="F67" s="135">
        <v>113.9</v>
      </c>
      <c r="G67" s="135">
        <v>0.5</v>
      </c>
      <c r="H67" s="135">
        <v>5000</v>
      </c>
      <c r="I67" s="135">
        <v>2500</v>
      </c>
      <c r="J67" s="131"/>
    </row>
    <row r="68" spans="1:10" x14ac:dyDescent="0.3">
      <c r="A68" s="131"/>
      <c r="B68" s="134">
        <v>42536</v>
      </c>
      <c r="C68" s="135" t="s">
        <v>16</v>
      </c>
      <c r="D68" s="135" t="s">
        <v>56</v>
      </c>
      <c r="E68" s="135">
        <v>108</v>
      </c>
      <c r="F68" s="135">
        <v>108.8</v>
      </c>
      <c r="G68" s="135">
        <v>0.8</v>
      </c>
      <c r="H68" s="135">
        <v>5000</v>
      </c>
      <c r="I68" s="135">
        <v>4000</v>
      </c>
      <c r="J68" s="131"/>
    </row>
    <row r="69" spans="1:10" x14ac:dyDescent="0.3">
      <c r="A69" s="131"/>
      <c r="B69" s="134">
        <v>42537</v>
      </c>
      <c r="C69" s="135" t="s">
        <v>23</v>
      </c>
      <c r="D69" s="135" t="s">
        <v>56</v>
      </c>
      <c r="E69" s="135">
        <v>108</v>
      </c>
      <c r="F69" s="135">
        <v>107.2</v>
      </c>
      <c r="G69" s="135">
        <v>0.8</v>
      </c>
      <c r="H69" s="135">
        <v>5000</v>
      </c>
      <c r="I69" s="135">
        <v>4000</v>
      </c>
      <c r="J69" s="131"/>
    </row>
    <row r="70" spans="1:10" x14ac:dyDescent="0.3">
      <c r="A70" s="131"/>
      <c r="B70" s="134">
        <v>42538</v>
      </c>
      <c r="C70" s="135" t="s">
        <v>23</v>
      </c>
      <c r="D70" s="135" t="s">
        <v>56</v>
      </c>
      <c r="E70" s="135">
        <v>108.1</v>
      </c>
      <c r="F70" s="135">
        <v>107.2</v>
      </c>
      <c r="G70" s="135">
        <v>0.9</v>
      </c>
      <c r="H70" s="135">
        <v>5000</v>
      </c>
      <c r="I70" s="135">
        <v>4500</v>
      </c>
      <c r="J70" s="131"/>
    </row>
    <row r="71" spans="1:10" x14ac:dyDescent="0.3">
      <c r="A71" s="131"/>
      <c r="B71" s="134">
        <v>42541</v>
      </c>
      <c r="C71" s="135" t="s">
        <v>23</v>
      </c>
      <c r="D71" s="135" t="s">
        <v>56</v>
      </c>
      <c r="E71" s="135">
        <v>108.9</v>
      </c>
      <c r="F71" s="135">
        <v>108.55</v>
      </c>
      <c r="G71" s="135">
        <v>0.35</v>
      </c>
      <c r="H71" s="135">
        <v>5000</v>
      </c>
      <c r="I71" s="135">
        <v>1750</v>
      </c>
      <c r="J71" s="131"/>
    </row>
    <row r="72" spans="1:10" x14ac:dyDescent="0.3">
      <c r="A72" s="131"/>
      <c r="B72" s="134">
        <v>42542</v>
      </c>
      <c r="C72" s="135" t="s">
        <v>23</v>
      </c>
      <c r="D72" s="135" t="s">
        <v>27</v>
      </c>
      <c r="E72" s="135">
        <v>115.9</v>
      </c>
      <c r="F72" s="135">
        <v>115.1</v>
      </c>
      <c r="G72" s="135">
        <v>0.8</v>
      </c>
      <c r="H72" s="135">
        <v>5000</v>
      </c>
      <c r="I72" s="135">
        <v>4000</v>
      </c>
      <c r="J72" s="131"/>
    </row>
    <row r="73" spans="1:10" x14ac:dyDescent="0.3">
      <c r="A73" s="131"/>
      <c r="B73" s="134">
        <v>42543</v>
      </c>
      <c r="C73" s="135" t="s">
        <v>23</v>
      </c>
      <c r="D73" s="135" t="s">
        <v>27</v>
      </c>
      <c r="E73" s="135">
        <v>115.8</v>
      </c>
      <c r="F73" s="135">
        <v>115.3</v>
      </c>
      <c r="G73" s="135">
        <v>0.5</v>
      </c>
      <c r="H73" s="135">
        <v>5000</v>
      </c>
      <c r="I73" s="135">
        <v>2500</v>
      </c>
      <c r="J73" s="131"/>
    </row>
    <row r="74" spans="1:10" x14ac:dyDescent="0.3">
      <c r="A74" s="131"/>
      <c r="B74" s="134">
        <v>42544</v>
      </c>
      <c r="C74" s="135" t="s">
        <v>23</v>
      </c>
      <c r="D74" s="135" t="s">
        <v>28</v>
      </c>
      <c r="E74" s="135">
        <v>136.9</v>
      </c>
      <c r="F74" s="135">
        <v>136</v>
      </c>
      <c r="G74" s="135">
        <v>0.9</v>
      </c>
      <c r="H74" s="135">
        <v>5000</v>
      </c>
      <c r="I74" s="135">
        <v>4500</v>
      </c>
      <c r="J74" s="131"/>
    </row>
    <row r="75" spans="1:10" x14ac:dyDescent="0.3">
      <c r="A75" s="131"/>
      <c r="B75" s="134">
        <v>42545</v>
      </c>
      <c r="C75" s="135" t="s">
        <v>23</v>
      </c>
      <c r="D75" s="135" t="s">
        <v>56</v>
      </c>
      <c r="E75" s="135">
        <v>108.4</v>
      </c>
      <c r="F75" s="135">
        <v>109.4</v>
      </c>
      <c r="G75" s="135">
        <v>-1</v>
      </c>
      <c r="H75" s="135">
        <v>5000</v>
      </c>
      <c r="I75" s="135">
        <v>-5000</v>
      </c>
      <c r="J75" s="131"/>
    </row>
    <row r="76" spans="1:10" x14ac:dyDescent="0.3">
      <c r="A76" s="131"/>
      <c r="B76" s="134">
        <v>42548</v>
      </c>
      <c r="C76" s="135" t="s">
        <v>23</v>
      </c>
      <c r="D76" s="135" t="s">
        <v>56</v>
      </c>
      <c r="E76" s="135">
        <v>108.8</v>
      </c>
      <c r="F76" s="135">
        <v>108</v>
      </c>
      <c r="G76" s="135">
        <v>0.8</v>
      </c>
      <c r="H76" s="135">
        <v>5000</v>
      </c>
      <c r="I76" s="135">
        <v>4000</v>
      </c>
      <c r="J76" s="131"/>
    </row>
    <row r="77" spans="1:10" x14ac:dyDescent="0.3">
      <c r="A77" s="131"/>
      <c r="B77" s="134">
        <v>42549</v>
      </c>
      <c r="C77" s="135" t="s">
        <v>23</v>
      </c>
      <c r="D77" s="135" t="s">
        <v>56</v>
      </c>
      <c r="E77" s="135">
        <v>108.7</v>
      </c>
      <c r="F77" s="135">
        <v>109.7</v>
      </c>
      <c r="G77" s="135">
        <v>-1</v>
      </c>
      <c r="H77" s="135">
        <v>5000</v>
      </c>
      <c r="I77" s="135">
        <v>-5000</v>
      </c>
      <c r="J77" s="131"/>
    </row>
    <row r="78" spans="1:10" x14ac:dyDescent="0.3">
      <c r="A78" s="131"/>
      <c r="B78" s="134">
        <v>42550</v>
      </c>
      <c r="C78" s="135" t="s">
        <v>23</v>
      </c>
      <c r="D78" s="135" t="s">
        <v>56</v>
      </c>
      <c r="E78" s="135">
        <v>109.6</v>
      </c>
      <c r="F78" s="135">
        <v>109.1</v>
      </c>
      <c r="G78" s="135">
        <v>0.5</v>
      </c>
      <c r="H78" s="135">
        <v>5000</v>
      </c>
      <c r="I78" s="135">
        <v>2500</v>
      </c>
      <c r="J78" s="131"/>
    </row>
    <row r="79" spans="1:10" x14ac:dyDescent="0.3">
      <c r="A79" s="131"/>
      <c r="B79" s="134">
        <v>42551</v>
      </c>
      <c r="C79" s="135" t="s">
        <v>23</v>
      </c>
      <c r="D79" s="135" t="s">
        <v>28</v>
      </c>
      <c r="E79" s="135">
        <v>140.69999999999999</v>
      </c>
      <c r="F79" s="135">
        <v>141.69999999999999</v>
      </c>
      <c r="G79" s="135">
        <v>-1</v>
      </c>
      <c r="H79" s="135">
        <v>5000</v>
      </c>
      <c r="I79" s="135">
        <v>-5000</v>
      </c>
      <c r="J79" s="131"/>
    </row>
    <row r="80" spans="1:10" x14ac:dyDescent="0.3">
      <c r="A80" s="131"/>
      <c r="J80" s="131"/>
    </row>
    <row r="81" spans="1:10" ht="17.399999999999999" x14ac:dyDescent="0.3">
      <c r="A81" s="131"/>
      <c r="B81" s="71"/>
      <c r="H81" s="157"/>
      <c r="I81" s="106">
        <v>56250</v>
      </c>
      <c r="J81" s="131"/>
    </row>
    <row r="82" spans="1:10" x14ac:dyDescent="0.3">
      <c r="A82" s="131"/>
      <c r="H82" s="157"/>
      <c r="I82" s="163"/>
      <c r="J82" s="131"/>
    </row>
    <row r="83" spans="1:10" x14ac:dyDescent="0.3">
      <c r="A83" s="131"/>
      <c r="I83" s="73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  <row r="89" spans="1:10" x14ac:dyDescent="0.3">
      <c r="A89" s="131"/>
      <c r="J89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A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89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0" t="s">
        <v>844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42552</v>
      </c>
      <c r="C6" s="135" t="s">
        <v>23</v>
      </c>
      <c r="D6" s="135" t="s">
        <v>24</v>
      </c>
      <c r="E6" s="135">
        <v>31480</v>
      </c>
      <c r="F6" s="135">
        <v>31480</v>
      </c>
      <c r="G6" s="135">
        <v>0</v>
      </c>
      <c r="H6" s="135">
        <v>100</v>
      </c>
      <c r="I6" s="135">
        <v>0</v>
      </c>
      <c r="J6" s="17"/>
      <c r="K6" s="71"/>
    </row>
    <row r="7" spans="1:15" x14ac:dyDescent="0.3">
      <c r="A7" s="17"/>
      <c r="B7" s="134">
        <v>42555</v>
      </c>
      <c r="C7" s="135" t="s">
        <v>23</v>
      </c>
      <c r="D7" s="135" t="s">
        <v>24</v>
      </c>
      <c r="E7" s="135">
        <v>31770</v>
      </c>
      <c r="F7" s="135">
        <v>31670</v>
      </c>
      <c r="G7" s="135">
        <v>100</v>
      </c>
      <c r="H7" s="135">
        <v>100</v>
      </c>
      <c r="I7" s="135">
        <v>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42556</v>
      </c>
      <c r="C8" s="151" t="s">
        <v>16</v>
      </c>
      <c r="D8" s="151" t="s">
        <v>24</v>
      </c>
      <c r="E8" s="151">
        <v>31680</v>
      </c>
      <c r="F8" s="151">
        <v>31880</v>
      </c>
      <c r="G8" s="151">
        <v>200</v>
      </c>
      <c r="H8" s="151">
        <v>100</v>
      </c>
      <c r="I8" s="135">
        <v>20000</v>
      </c>
      <c r="J8" s="17"/>
      <c r="K8" s="71" t="s">
        <v>257</v>
      </c>
      <c r="L8" s="165" t="s">
        <v>491</v>
      </c>
      <c r="M8" s="101" t="s">
        <v>335</v>
      </c>
      <c r="N8" s="101" t="s">
        <v>522</v>
      </c>
      <c r="O8" s="101" t="s">
        <v>290</v>
      </c>
    </row>
    <row r="9" spans="1:15" x14ac:dyDescent="0.3">
      <c r="A9" s="17"/>
      <c r="B9" s="134">
        <v>42558</v>
      </c>
      <c r="C9" s="151" t="s">
        <v>23</v>
      </c>
      <c r="D9" s="151" t="s">
        <v>24</v>
      </c>
      <c r="E9" s="151">
        <v>32100</v>
      </c>
      <c r="F9" s="151">
        <v>31900</v>
      </c>
      <c r="G9" s="151">
        <v>200</v>
      </c>
      <c r="H9" s="151">
        <v>100</v>
      </c>
      <c r="I9" s="135">
        <v>20000</v>
      </c>
      <c r="J9" s="17"/>
      <c r="K9" s="71" t="s">
        <v>258</v>
      </c>
      <c r="L9" s="101" t="s">
        <v>491</v>
      </c>
      <c r="M9" s="101" t="s">
        <v>265</v>
      </c>
      <c r="N9" s="101" t="s">
        <v>261</v>
      </c>
      <c r="O9" s="101" t="s">
        <v>262</v>
      </c>
    </row>
    <row r="10" spans="1:15" x14ac:dyDescent="0.3">
      <c r="A10" s="17"/>
      <c r="B10" s="134">
        <v>42559</v>
      </c>
      <c r="C10" s="135" t="s">
        <v>23</v>
      </c>
      <c r="D10" s="135" t="s">
        <v>24</v>
      </c>
      <c r="E10" s="135">
        <v>31740</v>
      </c>
      <c r="F10" s="135">
        <v>31670</v>
      </c>
      <c r="G10" s="135">
        <v>70</v>
      </c>
      <c r="H10" s="135">
        <v>100</v>
      </c>
      <c r="I10" s="135">
        <v>7000</v>
      </c>
      <c r="J10" s="17"/>
      <c r="K10" s="71" t="s">
        <v>259</v>
      </c>
      <c r="L10" s="101" t="s">
        <v>553</v>
      </c>
      <c r="M10" s="101" t="s">
        <v>335</v>
      </c>
      <c r="N10" s="101" t="s">
        <v>302</v>
      </c>
      <c r="O10" s="101" t="s">
        <v>290</v>
      </c>
    </row>
    <row r="11" spans="1:15" x14ac:dyDescent="0.3">
      <c r="A11" s="17"/>
      <c r="B11" s="134">
        <v>42562</v>
      </c>
      <c r="C11" s="135" t="s">
        <v>23</v>
      </c>
      <c r="D11" s="135" t="s">
        <v>24</v>
      </c>
      <c r="E11" s="135">
        <v>31750</v>
      </c>
      <c r="F11" s="135">
        <v>31550</v>
      </c>
      <c r="G11" s="135">
        <v>200</v>
      </c>
      <c r="H11" s="135">
        <v>100</v>
      </c>
      <c r="I11" s="135">
        <v>20000</v>
      </c>
      <c r="J11" s="17"/>
      <c r="K11" s="71" t="s">
        <v>300</v>
      </c>
      <c r="L11" s="104" t="s">
        <v>583</v>
      </c>
      <c r="M11" s="104" t="s">
        <v>845</v>
      </c>
      <c r="N11" s="104" t="s">
        <v>392</v>
      </c>
      <c r="O11" s="104" t="s">
        <v>261</v>
      </c>
    </row>
    <row r="12" spans="1:15" x14ac:dyDescent="0.3">
      <c r="A12" s="17"/>
      <c r="B12" s="134">
        <v>42563</v>
      </c>
      <c r="C12" s="135" t="s">
        <v>16</v>
      </c>
      <c r="D12" s="135" t="s">
        <v>24</v>
      </c>
      <c r="E12" s="135">
        <v>31550</v>
      </c>
      <c r="F12" s="135">
        <v>31450</v>
      </c>
      <c r="G12" s="135">
        <v>-100</v>
      </c>
      <c r="H12" s="135">
        <v>100</v>
      </c>
      <c r="I12" s="135">
        <v>-10000</v>
      </c>
      <c r="J12" s="17"/>
      <c r="K12" s="71"/>
    </row>
    <row r="13" spans="1:15" x14ac:dyDescent="0.3">
      <c r="A13" s="17"/>
      <c r="B13" s="134">
        <v>42564</v>
      </c>
      <c r="C13" s="135" t="s">
        <v>23</v>
      </c>
      <c r="D13" s="135" t="s">
        <v>24</v>
      </c>
      <c r="E13" s="135">
        <v>31180</v>
      </c>
      <c r="F13" s="135">
        <v>31120</v>
      </c>
      <c r="G13" s="135">
        <v>60</v>
      </c>
      <c r="H13" s="135">
        <v>100</v>
      </c>
      <c r="I13" s="135">
        <v>6000</v>
      </c>
      <c r="J13" s="17"/>
      <c r="K13" s="132"/>
      <c r="L13" s="127" t="s">
        <v>832</v>
      </c>
      <c r="M13" s="128"/>
      <c r="N13" s="133" t="s">
        <v>846</v>
      </c>
    </row>
    <row r="14" spans="1:15" x14ac:dyDescent="0.3">
      <c r="A14" s="17"/>
      <c r="B14" s="134">
        <v>42565</v>
      </c>
      <c r="C14" s="135" t="s">
        <v>23</v>
      </c>
      <c r="D14" s="135" t="s">
        <v>24</v>
      </c>
      <c r="E14" s="135">
        <v>30800</v>
      </c>
      <c r="F14" s="135">
        <v>30900</v>
      </c>
      <c r="G14" s="135">
        <v>-100</v>
      </c>
      <c r="H14" s="135">
        <v>100</v>
      </c>
      <c r="I14" s="135">
        <v>-10000</v>
      </c>
      <c r="J14" s="17"/>
      <c r="K14" s="71"/>
    </row>
    <row r="15" spans="1:15" x14ac:dyDescent="0.3">
      <c r="A15" s="17"/>
      <c r="B15" s="134">
        <v>42566</v>
      </c>
      <c r="C15" s="135" t="s">
        <v>23</v>
      </c>
      <c r="D15" s="135" t="s">
        <v>24</v>
      </c>
      <c r="E15" s="135">
        <v>30880</v>
      </c>
      <c r="F15" s="135">
        <v>31000</v>
      </c>
      <c r="G15" s="135">
        <v>-120</v>
      </c>
      <c r="H15" s="135">
        <v>100</v>
      </c>
      <c r="I15" s="135">
        <v>-12000</v>
      </c>
      <c r="J15" s="17"/>
      <c r="K15" s="71"/>
    </row>
    <row r="16" spans="1:15" x14ac:dyDescent="0.3">
      <c r="A16" s="17"/>
      <c r="B16" s="134">
        <v>42569</v>
      </c>
      <c r="C16" s="135" t="s">
        <v>23</v>
      </c>
      <c r="D16" s="135" t="s">
        <v>22</v>
      </c>
      <c r="E16" s="135">
        <v>46700</v>
      </c>
      <c r="F16" s="135">
        <v>47050</v>
      </c>
      <c r="G16" s="135">
        <v>-350</v>
      </c>
      <c r="H16" s="135">
        <v>30</v>
      </c>
      <c r="I16" s="135">
        <v>-10500</v>
      </c>
      <c r="J16" s="17"/>
      <c r="K16" s="71"/>
    </row>
    <row r="17" spans="1:11" x14ac:dyDescent="0.3">
      <c r="A17" s="17"/>
      <c r="B17" s="134">
        <v>42570</v>
      </c>
      <c r="C17" s="135" t="s">
        <v>16</v>
      </c>
      <c r="D17" s="135" t="s">
        <v>24</v>
      </c>
      <c r="E17" s="135">
        <v>31030</v>
      </c>
      <c r="F17" s="135">
        <v>31110</v>
      </c>
      <c r="G17" s="135">
        <v>80</v>
      </c>
      <c r="H17" s="135">
        <v>100</v>
      </c>
      <c r="I17" s="135">
        <v>8000</v>
      </c>
      <c r="J17" s="17"/>
      <c r="K17" s="71"/>
    </row>
    <row r="18" spans="1:11" x14ac:dyDescent="0.3">
      <c r="A18" s="17"/>
      <c r="B18" s="134">
        <v>42571</v>
      </c>
      <c r="C18" s="135" t="s">
        <v>23</v>
      </c>
      <c r="D18" s="135" t="s">
        <v>24</v>
      </c>
      <c r="E18" s="135">
        <v>30950</v>
      </c>
      <c r="F18" s="135">
        <v>30750</v>
      </c>
      <c r="G18" s="135">
        <v>200</v>
      </c>
      <c r="H18" s="135">
        <v>100</v>
      </c>
      <c r="I18" s="135">
        <v>20000</v>
      </c>
      <c r="J18" s="17"/>
      <c r="K18" s="71"/>
    </row>
    <row r="19" spans="1:11" x14ac:dyDescent="0.3">
      <c r="A19" s="17"/>
      <c r="B19" s="134">
        <v>42572</v>
      </c>
      <c r="C19" s="135" t="s">
        <v>23</v>
      </c>
      <c r="D19" s="135" t="s">
        <v>24</v>
      </c>
      <c r="E19" s="135">
        <v>30780</v>
      </c>
      <c r="F19" s="135">
        <v>30980</v>
      </c>
      <c r="G19" s="135">
        <v>200</v>
      </c>
      <c r="H19" s="135">
        <v>100</v>
      </c>
      <c r="I19" s="135">
        <v>20000</v>
      </c>
      <c r="J19" s="17"/>
      <c r="K19" s="71"/>
    </row>
    <row r="20" spans="1:11" x14ac:dyDescent="0.3">
      <c r="A20" s="17"/>
      <c r="B20" s="134">
        <v>42573</v>
      </c>
      <c r="C20" s="135" t="s">
        <v>23</v>
      </c>
      <c r="D20" s="135" t="s">
        <v>24</v>
      </c>
      <c r="E20" s="135">
        <v>30880</v>
      </c>
      <c r="F20" s="135">
        <v>30780</v>
      </c>
      <c r="G20" s="135">
        <v>100</v>
      </c>
      <c r="H20" s="135">
        <v>100</v>
      </c>
      <c r="I20" s="135">
        <v>10000</v>
      </c>
      <c r="J20" s="17"/>
      <c r="K20" s="71"/>
    </row>
    <row r="21" spans="1:11" x14ac:dyDescent="0.3">
      <c r="A21" s="17"/>
      <c r="B21" s="134">
        <v>42576</v>
      </c>
      <c r="C21" s="135" t="s">
        <v>23</v>
      </c>
      <c r="D21" s="135" t="s">
        <v>24</v>
      </c>
      <c r="E21" s="135">
        <v>30740</v>
      </c>
      <c r="F21" s="135">
        <v>30840</v>
      </c>
      <c r="G21" s="135">
        <v>-100</v>
      </c>
      <c r="H21" s="135">
        <v>100</v>
      </c>
      <c r="I21" s="135">
        <v>-10000</v>
      </c>
      <c r="J21" s="17"/>
      <c r="K21" s="71"/>
    </row>
    <row r="22" spans="1:11" x14ac:dyDescent="0.3">
      <c r="A22" s="17"/>
      <c r="B22" s="134">
        <v>42577</v>
      </c>
      <c r="C22" s="135" t="s">
        <v>16</v>
      </c>
      <c r="D22" s="135" t="s">
        <v>24</v>
      </c>
      <c r="E22" s="135">
        <v>30860</v>
      </c>
      <c r="F22" s="135">
        <v>30920</v>
      </c>
      <c r="G22" s="135">
        <v>60</v>
      </c>
      <c r="H22" s="135">
        <v>100</v>
      </c>
      <c r="I22" s="135">
        <v>6000</v>
      </c>
      <c r="J22" s="17"/>
      <c r="K22" s="71"/>
    </row>
    <row r="23" spans="1:11" x14ac:dyDescent="0.3">
      <c r="A23" s="17"/>
      <c r="B23" s="134">
        <v>42578</v>
      </c>
      <c r="C23" s="135" t="s">
        <v>16</v>
      </c>
      <c r="D23" s="135" t="s">
        <v>24</v>
      </c>
      <c r="E23" s="135">
        <v>30820</v>
      </c>
      <c r="F23" s="135">
        <v>31010</v>
      </c>
      <c r="G23" s="135">
        <v>190</v>
      </c>
      <c r="H23" s="135">
        <v>100</v>
      </c>
      <c r="I23" s="135">
        <v>19000</v>
      </c>
      <c r="J23" s="17"/>
      <c r="K23" s="71"/>
    </row>
    <row r="24" spans="1:11" x14ac:dyDescent="0.3">
      <c r="A24" s="17"/>
      <c r="B24" s="134">
        <v>42579</v>
      </c>
      <c r="C24" s="135" t="s">
        <v>16</v>
      </c>
      <c r="D24" s="135" t="s">
        <v>24</v>
      </c>
      <c r="E24" s="135">
        <v>31200</v>
      </c>
      <c r="F24" s="135">
        <v>31280</v>
      </c>
      <c r="G24" s="135">
        <v>80</v>
      </c>
      <c r="H24" s="135">
        <v>100</v>
      </c>
      <c r="I24" s="135">
        <v>8000</v>
      </c>
      <c r="J24" s="17"/>
    </row>
    <row r="25" spans="1:11" x14ac:dyDescent="0.3">
      <c r="A25" s="17"/>
      <c r="B25" s="134">
        <v>42580</v>
      </c>
      <c r="C25" s="135" t="s">
        <v>23</v>
      </c>
      <c r="D25" s="135" t="s">
        <v>24</v>
      </c>
      <c r="E25" s="135">
        <v>31060</v>
      </c>
      <c r="F25" s="135">
        <v>31160</v>
      </c>
      <c r="G25" s="135">
        <v>-100</v>
      </c>
      <c r="H25" s="135">
        <v>100</v>
      </c>
      <c r="I25" s="135">
        <v>-10000</v>
      </c>
      <c r="J25" s="17"/>
    </row>
    <row r="26" spans="1:11" x14ac:dyDescent="0.3">
      <c r="A26" s="17"/>
      <c r="C26" s="135"/>
      <c r="D26" s="135"/>
      <c r="E26" s="135"/>
      <c r="F26" s="135"/>
      <c r="G26" s="135"/>
      <c r="H26" s="135"/>
      <c r="I26" s="135"/>
      <c r="J26" s="17"/>
    </row>
    <row r="27" spans="1:11" x14ac:dyDescent="0.3">
      <c r="A27" s="17"/>
      <c r="C27" s="135"/>
      <c r="D27" s="135"/>
      <c r="E27" s="135"/>
      <c r="F27" s="135"/>
      <c r="G27" s="135"/>
      <c r="H27" s="135"/>
      <c r="I27" s="135"/>
      <c r="J27" s="17"/>
    </row>
    <row r="28" spans="1:11" x14ac:dyDescent="0.3">
      <c r="A28" s="17"/>
      <c r="B28" s="134"/>
      <c r="C28" s="151"/>
      <c r="D28" s="156"/>
      <c r="E28" s="156"/>
      <c r="F28" s="156"/>
      <c r="G28" s="156"/>
      <c r="H28" s="157"/>
      <c r="I28" s="135"/>
      <c r="J28" s="17"/>
    </row>
    <row r="29" spans="1:11" ht="17.399999999999999" x14ac:dyDescent="0.3">
      <c r="A29" s="17"/>
      <c r="C29" s="157"/>
      <c r="D29" s="156"/>
      <c r="E29" s="158"/>
      <c r="F29" s="157"/>
      <c r="G29" s="157"/>
      <c r="H29" s="157"/>
      <c r="I29" s="106">
        <v>111500</v>
      </c>
      <c r="J29" s="17"/>
    </row>
    <row r="30" spans="1:11" x14ac:dyDescent="0.3">
      <c r="A30" s="17"/>
      <c r="C30" s="157"/>
      <c r="D30" s="158"/>
      <c r="E30" s="158"/>
      <c r="F30" s="157"/>
      <c r="G30" s="157"/>
      <c r="H30" s="157"/>
      <c r="I30" s="157"/>
      <c r="J30" s="17"/>
    </row>
    <row r="31" spans="1:11" x14ac:dyDescent="0.3">
      <c r="A31" s="17"/>
      <c r="B31" s="164" t="s">
        <v>789</v>
      </c>
      <c r="C31" s="159"/>
      <c r="D31" s="160"/>
      <c r="E31" s="159"/>
      <c r="F31" s="159"/>
      <c r="G31" s="159"/>
      <c r="H31" s="159"/>
      <c r="I31" s="159"/>
      <c r="J31" s="17"/>
    </row>
    <row r="32" spans="1:11" x14ac:dyDescent="0.3">
      <c r="A32" s="17"/>
      <c r="B32" s="134">
        <v>42552</v>
      </c>
      <c r="C32" s="135" t="s">
        <v>23</v>
      </c>
      <c r="D32" s="135" t="s">
        <v>25</v>
      </c>
      <c r="E32" s="135">
        <v>3250</v>
      </c>
      <c r="F32" s="135">
        <v>3280</v>
      </c>
      <c r="G32" s="135">
        <v>-30</v>
      </c>
      <c r="H32" s="135">
        <v>100</v>
      </c>
      <c r="I32" s="135">
        <v>-3000</v>
      </c>
      <c r="J32" s="17"/>
    </row>
    <row r="33" spans="1:10" x14ac:dyDescent="0.3">
      <c r="A33" s="17"/>
      <c r="B33" s="134">
        <v>42555</v>
      </c>
      <c r="C33" s="135" t="s">
        <v>23</v>
      </c>
      <c r="D33" s="135" t="s">
        <v>25</v>
      </c>
      <c r="E33" s="135">
        <v>3315</v>
      </c>
      <c r="F33" s="135">
        <v>3275</v>
      </c>
      <c r="G33" s="135">
        <v>40</v>
      </c>
      <c r="H33" s="135">
        <v>100</v>
      </c>
      <c r="I33" s="135">
        <v>4000</v>
      </c>
      <c r="J33" s="17"/>
    </row>
    <row r="34" spans="1:10" x14ac:dyDescent="0.3">
      <c r="A34" s="17"/>
      <c r="B34" s="134">
        <v>42556</v>
      </c>
      <c r="C34" s="135" t="s">
        <v>23</v>
      </c>
      <c r="D34" s="135" t="s">
        <v>25</v>
      </c>
      <c r="E34" s="135">
        <v>3260</v>
      </c>
      <c r="F34" s="135">
        <v>3200</v>
      </c>
      <c r="G34" s="135">
        <v>60</v>
      </c>
      <c r="H34" s="135">
        <v>100</v>
      </c>
      <c r="I34" s="135">
        <v>6000</v>
      </c>
      <c r="J34" s="17"/>
    </row>
    <row r="35" spans="1:10" x14ac:dyDescent="0.3">
      <c r="A35" s="17"/>
      <c r="B35" s="134">
        <v>42558</v>
      </c>
      <c r="C35" s="135" t="s">
        <v>16</v>
      </c>
      <c r="D35" s="135" t="s">
        <v>25</v>
      </c>
      <c r="E35" s="135">
        <v>3225</v>
      </c>
      <c r="F35" s="135">
        <v>3255</v>
      </c>
      <c r="G35" s="135">
        <v>30</v>
      </c>
      <c r="H35" s="135">
        <v>100</v>
      </c>
      <c r="I35" s="135">
        <v>3000</v>
      </c>
      <c r="J35" s="17"/>
    </row>
    <row r="36" spans="1:10" x14ac:dyDescent="0.3">
      <c r="A36" s="17"/>
      <c r="B36" s="134">
        <v>42559</v>
      </c>
      <c r="C36" s="135" t="s">
        <v>16</v>
      </c>
      <c r="D36" s="135" t="s">
        <v>25</v>
      </c>
      <c r="E36" s="135">
        <v>3070</v>
      </c>
      <c r="F36" s="135">
        <v>3095</v>
      </c>
      <c r="G36" s="135">
        <v>25</v>
      </c>
      <c r="H36" s="135">
        <v>100</v>
      </c>
      <c r="I36" s="135">
        <v>2500</v>
      </c>
      <c r="J36" s="17"/>
    </row>
    <row r="37" spans="1:10" x14ac:dyDescent="0.3">
      <c r="A37" s="17"/>
      <c r="B37" s="134">
        <v>42562</v>
      </c>
      <c r="C37" s="135" t="s">
        <v>23</v>
      </c>
      <c r="D37" s="135" t="s">
        <v>25</v>
      </c>
      <c r="E37" s="135">
        <v>3025</v>
      </c>
      <c r="F37" s="135">
        <v>3000</v>
      </c>
      <c r="G37" s="135">
        <v>25</v>
      </c>
      <c r="H37" s="135">
        <v>100</v>
      </c>
      <c r="I37" s="135">
        <v>2500</v>
      </c>
      <c r="J37" s="17"/>
    </row>
    <row r="38" spans="1:10" x14ac:dyDescent="0.3">
      <c r="A38" s="17"/>
      <c r="B38" s="134">
        <v>42563</v>
      </c>
      <c r="C38" s="135" t="s">
        <v>16</v>
      </c>
      <c r="D38" s="135" t="s">
        <v>25</v>
      </c>
      <c r="E38" s="135">
        <v>3025</v>
      </c>
      <c r="F38" s="135">
        <v>3100</v>
      </c>
      <c r="G38" s="135">
        <v>75</v>
      </c>
      <c r="H38" s="135">
        <v>100</v>
      </c>
      <c r="I38" s="135">
        <v>7500</v>
      </c>
      <c r="J38" s="17"/>
    </row>
    <row r="39" spans="1:10" x14ac:dyDescent="0.3">
      <c r="A39" s="17"/>
      <c r="B39" s="134">
        <v>42564</v>
      </c>
      <c r="C39" s="135" t="s">
        <v>23</v>
      </c>
      <c r="D39" s="135" t="s">
        <v>25</v>
      </c>
      <c r="E39" s="135">
        <v>3110</v>
      </c>
      <c r="F39" s="135">
        <v>3140</v>
      </c>
      <c r="G39" s="135">
        <v>70</v>
      </c>
      <c r="H39" s="135">
        <v>100</v>
      </c>
      <c r="I39" s="135">
        <v>7000</v>
      </c>
      <c r="J39" s="17"/>
    </row>
    <row r="40" spans="1:10" x14ac:dyDescent="0.3">
      <c r="A40" s="17"/>
      <c r="B40" s="134">
        <v>42565</v>
      </c>
      <c r="C40" s="135" t="s">
        <v>16</v>
      </c>
      <c r="D40" s="135" t="s">
        <v>25</v>
      </c>
      <c r="E40" s="135">
        <v>3045</v>
      </c>
      <c r="F40" s="135">
        <v>3060</v>
      </c>
      <c r="G40" s="135">
        <v>15</v>
      </c>
      <c r="H40" s="135">
        <v>100</v>
      </c>
      <c r="I40" s="135">
        <v>1500</v>
      </c>
      <c r="J40" s="17"/>
    </row>
    <row r="41" spans="1:10" x14ac:dyDescent="0.3">
      <c r="A41" s="17"/>
      <c r="B41" s="134">
        <v>42566</v>
      </c>
      <c r="C41" s="135" t="s">
        <v>16</v>
      </c>
      <c r="D41" s="135" t="s">
        <v>25</v>
      </c>
      <c r="E41" s="135">
        <v>3045</v>
      </c>
      <c r="F41" s="135">
        <v>3100</v>
      </c>
      <c r="G41" s="135">
        <v>55</v>
      </c>
      <c r="H41" s="135">
        <v>100</v>
      </c>
      <c r="I41" s="135">
        <v>5500</v>
      </c>
      <c r="J41" s="17"/>
    </row>
    <row r="42" spans="1:10" x14ac:dyDescent="0.3">
      <c r="A42" s="17"/>
      <c r="B42" s="134">
        <v>42569</v>
      </c>
      <c r="C42" s="135" t="s">
        <v>23</v>
      </c>
      <c r="D42" s="135" t="s">
        <v>25</v>
      </c>
      <c r="E42" s="135">
        <v>3075</v>
      </c>
      <c r="F42" s="135">
        <v>3015</v>
      </c>
      <c r="G42" s="135">
        <v>60</v>
      </c>
      <c r="H42" s="135">
        <v>100</v>
      </c>
      <c r="I42" s="135">
        <v>6000</v>
      </c>
      <c r="J42" s="17"/>
    </row>
    <row r="43" spans="1:10" x14ac:dyDescent="0.3">
      <c r="A43" s="17"/>
      <c r="B43" s="134">
        <v>42570</v>
      </c>
      <c r="C43" s="135" t="s">
        <v>16</v>
      </c>
      <c r="D43" s="135" t="s">
        <v>25</v>
      </c>
      <c r="E43" s="135">
        <v>3105</v>
      </c>
      <c r="F43" s="135">
        <v>3075</v>
      </c>
      <c r="G43" s="135">
        <v>-30</v>
      </c>
      <c r="H43" s="135">
        <v>100</v>
      </c>
      <c r="I43" s="135">
        <v>-3000</v>
      </c>
      <c r="J43" s="17"/>
    </row>
    <row r="44" spans="1:10" x14ac:dyDescent="0.3">
      <c r="A44" s="17"/>
      <c r="B44" s="134">
        <v>42571</v>
      </c>
      <c r="C44" s="135" t="s">
        <v>23</v>
      </c>
      <c r="D44" s="135" t="s">
        <v>25</v>
      </c>
      <c r="E44" s="135">
        <v>3075</v>
      </c>
      <c r="F44" s="135">
        <v>3015</v>
      </c>
      <c r="G44" s="135">
        <v>60</v>
      </c>
      <c r="H44" s="135">
        <v>100</v>
      </c>
      <c r="I44" s="135">
        <v>6000</v>
      </c>
      <c r="J44" s="17"/>
    </row>
    <row r="45" spans="1:10" x14ac:dyDescent="0.3">
      <c r="A45" s="17"/>
      <c r="B45" s="134">
        <v>42572</v>
      </c>
      <c r="C45" s="135" t="s">
        <v>23</v>
      </c>
      <c r="D45" s="135" t="s">
        <v>25</v>
      </c>
      <c r="E45" s="135">
        <v>3090</v>
      </c>
      <c r="F45" s="135">
        <v>3030</v>
      </c>
      <c r="G45" s="135">
        <v>60</v>
      </c>
      <c r="H45" s="135">
        <v>100</v>
      </c>
      <c r="I45" s="135">
        <v>6000</v>
      </c>
      <c r="J45" s="17"/>
    </row>
    <row r="46" spans="1:10" x14ac:dyDescent="0.3">
      <c r="A46" s="17"/>
      <c r="B46" s="134">
        <v>42573</v>
      </c>
      <c r="C46" s="135" t="s">
        <v>23</v>
      </c>
      <c r="D46" s="135" t="s">
        <v>25</v>
      </c>
      <c r="E46" s="135">
        <v>3005</v>
      </c>
      <c r="F46" s="135">
        <v>2960</v>
      </c>
      <c r="G46" s="135">
        <v>45</v>
      </c>
      <c r="H46" s="135">
        <v>100</v>
      </c>
      <c r="I46" s="135">
        <v>4500</v>
      </c>
      <c r="J46" s="17"/>
    </row>
    <row r="47" spans="1:10" x14ac:dyDescent="0.3">
      <c r="A47" s="17"/>
      <c r="B47" s="134">
        <v>42576</v>
      </c>
      <c r="C47" s="135" t="s">
        <v>23</v>
      </c>
      <c r="D47" s="135" t="s">
        <v>25</v>
      </c>
      <c r="E47" s="135">
        <v>2980</v>
      </c>
      <c r="F47" s="135">
        <v>2925</v>
      </c>
      <c r="G47" s="135">
        <v>55</v>
      </c>
      <c r="H47" s="135">
        <v>100</v>
      </c>
      <c r="I47" s="135">
        <v>5500</v>
      </c>
      <c r="J47" s="17"/>
    </row>
    <row r="48" spans="1:10" x14ac:dyDescent="0.3">
      <c r="A48" s="17"/>
      <c r="B48" s="134">
        <v>42577</v>
      </c>
      <c r="C48" s="135" t="s">
        <v>23</v>
      </c>
      <c r="D48" s="135" t="s">
        <v>25</v>
      </c>
      <c r="E48" s="135">
        <v>2900</v>
      </c>
      <c r="F48" s="135">
        <v>2980</v>
      </c>
      <c r="G48" s="135">
        <v>20</v>
      </c>
      <c r="H48" s="135">
        <v>100</v>
      </c>
      <c r="I48" s="135">
        <v>2000</v>
      </c>
      <c r="J48" s="17"/>
    </row>
    <row r="49" spans="1:10" x14ac:dyDescent="0.3">
      <c r="A49" s="17"/>
      <c r="B49" s="134">
        <v>42578</v>
      </c>
      <c r="C49" s="135" t="s">
        <v>23</v>
      </c>
      <c r="D49" s="135" t="s">
        <v>25</v>
      </c>
      <c r="E49" s="135">
        <v>2885</v>
      </c>
      <c r="F49" s="135">
        <v>2830</v>
      </c>
      <c r="G49" s="135">
        <v>55</v>
      </c>
      <c r="H49" s="135">
        <v>100</v>
      </c>
      <c r="I49" s="135">
        <v>5500</v>
      </c>
      <c r="J49" s="17"/>
    </row>
    <row r="50" spans="1:10" x14ac:dyDescent="0.3">
      <c r="A50" s="17"/>
      <c r="B50" s="134">
        <v>42579</v>
      </c>
      <c r="C50" s="135" t="s">
        <v>23</v>
      </c>
      <c r="D50" s="135" t="s">
        <v>25</v>
      </c>
      <c r="E50" s="135">
        <v>2820</v>
      </c>
      <c r="F50" s="135">
        <v>2770</v>
      </c>
      <c r="G50" s="135">
        <v>50</v>
      </c>
      <c r="H50" s="135">
        <v>100</v>
      </c>
      <c r="I50" s="135">
        <v>5000</v>
      </c>
      <c r="J50" s="17"/>
    </row>
    <row r="51" spans="1:10" x14ac:dyDescent="0.3">
      <c r="A51" s="17"/>
      <c r="B51" s="134">
        <v>42580</v>
      </c>
      <c r="C51" s="135" t="s">
        <v>23</v>
      </c>
      <c r="D51" s="135" t="s">
        <v>25</v>
      </c>
      <c r="E51" s="135">
        <v>2755</v>
      </c>
      <c r="F51" s="135">
        <v>2735</v>
      </c>
      <c r="G51" s="135">
        <v>20</v>
      </c>
      <c r="H51" s="135">
        <v>100</v>
      </c>
      <c r="I51" s="135">
        <v>2000</v>
      </c>
      <c r="J51" s="17"/>
    </row>
    <row r="52" spans="1:10" x14ac:dyDescent="0.3">
      <c r="A52" s="17"/>
      <c r="B52" s="134"/>
      <c r="C52" s="135"/>
      <c r="D52" s="135"/>
      <c r="E52" s="135"/>
      <c r="F52" s="135"/>
      <c r="G52" s="135"/>
      <c r="H52" s="135"/>
      <c r="I52" s="135"/>
      <c r="J52" s="17"/>
    </row>
    <row r="53" spans="1:10" x14ac:dyDescent="0.3">
      <c r="A53" s="17"/>
      <c r="B53" s="134"/>
      <c r="C53" s="151"/>
      <c r="D53" s="151"/>
      <c r="E53" s="155"/>
      <c r="F53" s="155"/>
      <c r="G53" s="155"/>
      <c r="H53" s="161"/>
      <c r="I53" s="135"/>
      <c r="J53" s="17"/>
    </row>
    <row r="54" spans="1:10" x14ac:dyDescent="0.3">
      <c r="A54" s="17"/>
      <c r="B54" s="71"/>
      <c r="C54" s="135"/>
      <c r="D54" s="151"/>
      <c r="E54" s="135"/>
      <c r="F54" s="135"/>
      <c r="G54" s="135"/>
      <c r="H54" s="161"/>
      <c r="I54" s="162"/>
      <c r="J54" s="17"/>
    </row>
    <row r="55" spans="1:10" ht="18" x14ac:dyDescent="0.35">
      <c r="A55" s="142"/>
      <c r="B55" s="166"/>
      <c r="C55" s="137"/>
      <c r="D55" s="167"/>
      <c r="E55" s="137"/>
      <c r="F55" s="137"/>
      <c r="G55" s="137"/>
      <c r="H55" s="168"/>
      <c r="I55" s="106">
        <v>76000</v>
      </c>
      <c r="J55" s="17"/>
    </row>
    <row r="56" spans="1:10" x14ac:dyDescent="0.3">
      <c r="A56" s="17"/>
      <c r="B56" s="71"/>
      <c r="C56" s="157"/>
      <c r="D56" s="158"/>
      <c r="E56" s="157"/>
      <c r="F56" s="157"/>
      <c r="G56" s="157"/>
      <c r="H56" s="157"/>
      <c r="I56" s="157"/>
      <c r="J56" s="17"/>
    </row>
    <row r="57" spans="1:10" x14ac:dyDescent="0.3">
      <c r="A57" s="17"/>
      <c r="B57" s="164" t="s">
        <v>788</v>
      </c>
      <c r="C57" s="159"/>
      <c r="D57" s="160"/>
      <c r="E57" s="159"/>
      <c r="F57" s="159"/>
      <c r="G57" s="159"/>
      <c r="H57" s="159"/>
      <c r="I57" s="64"/>
      <c r="J57" s="17"/>
    </row>
    <row r="58" spans="1:10" x14ac:dyDescent="0.3">
      <c r="A58" s="17"/>
      <c r="B58" s="134">
        <v>42552</v>
      </c>
      <c r="C58" s="135" t="s">
        <v>23</v>
      </c>
      <c r="D58" s="135" t="s">
        <v>29</v>
      </c>
      <c r="E58" s="135">
        <v>327</v>
      </c>
      <c r="F58" s="135">
        <v>331</v>
      </c>
      <c r="G58" s="135">
        <v>-4</v>
      </c>
      <c r="H58" s="135">
        <v>1000</v>
      </c>
      <c r="I58" s="135">
        <v>-4000</v>
      </c>
      <c r="J58" s="17"/>
    </row>
    <row r="59" spans="1:10" x14ac:dyDescent="0.3">
      <c r="A59" s="17"/>
      <c r="B59" s="134">
        <v>42555</v>
      </c>
      <c r="C59" s="135" t="s">
        <v>23</v>
      </c>
      <c r="D59" s="135" t="s">
        <v>28</v>
      </c>
      <c r="E59" s="135">
        <v>142.9</v>
      </c>
      <c r="F59" s="135">
        <v>141.9</v>
      </c>
      <c r="G59" s="135">
        <v>1</v>
      </c>
      <c r="H59" s="135">
        <v>5000</v>
      </c>
      <c r="I59" s="135">
        <v>5000</v>
      </c>
      <c r="J59" s="17"/>
    </row>
    <row r="60" spans="1:10" x14ac:dyDescent="0.3">
      <c r="A60" s="17"/>
      <c r="B60" s="134">
        <v>42556</v>
      </c>
      <c r="C60" s="135" t="s">
        <v>23</v>
      </c>
      <c r="D60" s="135" t="s">
        <v>56</v>
      </c>
      <c r="E60" s="135">
        <v>110.7</v>
      </c>
      <c r="F60" s="135">
        <v>110.4</v>
      </c>
      <c r="G60" s="135">
        <v>0.3</v>
      </c>
      <c r="H60" s="135">
        <v>5000</v>
      </c>
      <c r="I60" s="135">
        <v>1500</v>
      </c>
      <c r="J60" s="131"/>
    </row>
    <row r="61" spans="1:10" x14ac:dyDescent="0.3">
      <c r="A61" s="131"/>
      <c r="B61" s="134">
        <v>42558</v>
      </c>
      <c r="C61" s="135" t="s">
        <v>23</v>
      </c>
      <c r="D61" s="135" t="s">
        <v>56</v>
      </c>
      <c r="E61" s="135">
        <v>111.25</v>
      </c>
      <c r="F61" s="135">
        <v>110.5</v>
      </c>
      <c r="G61" s="135">
        <v>0.75</v>
      </c>
      <c r="H61" s="135">
        <v>5000</v>
      </c>
      <c r="I61" s="135">
        <v>3750</v>
      </c>
      <c r="J61" s="131"/>
    </row>
    <row r="62" spans="1:10" x14ac:dyDescent="0.3">
      <c r="A62" s="131"/>
      <c r="B62" s="134">
        <v>42559</v>
      </c>
      <c r="C62" s="135" t="s">
        <v>23</v>
      </c>
      <c r="D62" s="135" t="s">
        <v>56</v>
      </c>
      <c r="E62" s="135">
        <v>110.7</v>
      </c>
      <c r="F62" s="135">
        <v>111.7</v>
      </c>
      <c r="G62" s="135">
        <v>-1</v>
      </c>
      <c r="H62" s="135">
        <v>5000</v>
      </c>
      <c r="I62" s="135">
        <v>-5000</v>
      </c>
      <c r="J62" s="131"/>
    </row>
    <row r="63" spans="1:10" x14ac:dyDescent="0.3">
      <c r="A63" s="131"/>
      <c r="B63" s="134">
        <v>42562</v>
      </c>
      <c r="C63" s="135" t="s">
        <v>23</v>
      </c>
      <c r="D63" s="135" t="s">
        <v>56</v>
      </c>
      <c r="E63" s="135">
        <v>111.7</v>
      </c>
      <c r="F63" s="135">
        <v>110.5</v>
      </c>
      <c r="G63" s="135">
        <v>1.2</v>
      </c>
      <c r="H63" s="135">
        <v>5000</v>
      </c>
      <c r="I63" s="135">
        <v>6000</v>
      </c>
      <c r="J63" s="131"/>
    </row>
    <row r="64" spans="1:10" x14ac:dyDescent="0.3">
      <c r="A64" s="131"/>
      <c r="B64" s="134">
        <v>42563</v>
      </c>
      <c r="C64" s="135" t="s">
        <v>23</v>
      </c>
      <c r="D64" s="135" t="s">
        <v>56</v>
      </c>
      <c r="E64" s="135">
        <v>111.2</v>
      </c>
      <c r="F64" s="135">
        <v>111.9</v>
      </c>
      <c r="G64" s="135">
        <v>-0.7</v>
      </c>
      <c r="H64" s="135">
        <v>5000</v>
      </c>
      <c r="I64" s="135">
        <v>-3500</v>
      </c>
      <c r="J64" s="131"/>
    </row>
    <row r="65" spans="1:10" x14ac:dyDescent="0.3">
      <c r="A65" s="131"/>
      <c r="B65" s="134">
        <v>42564</v>
      </c>
      <c r="C65" s="135" t="s">
        <v>23</v>
      </c>
      <c r="D65" s="135" t="s">
        <v>56</v>
      </c>
      <c r="E65" s="135">
        <v>112.3</v>
      </c>
      <c r="F65" s="135">
        <v>111.3</v>
      </c>
      <c r="G65" s="135">
        <v>1</v>
      </c>
      <c r="H65" s="135">
        <v>5000</v>
      </c>
      <c r="I65" s="135">
        <v>5000</v>
      </c>
      <c r="J65" s="131"/>
    </row>
    <row r="66" spans="1:10" x14ac:dyDescent="0.3">
      <c r="A66" s="131"/>
      <c r="B66" s="134">
        <v>42565</v>
      </c>
      <c r="C66" s="135" t="s">
        <v>23</v>
      </c>
      <c r="D66" s="135" t="s">
        <v>56</v>
      </c>
      <c r="E66" s="135">
        <v>111.75</v>
      </c>
      <c r="F66" s="135">
        <v>111.85</v>
      </c>
      <c r="G66" s="135">
        <v>-0.1</v>
      </c>
      <c r="H66" s="135">
        <v>5000</v>
      </c>
      <c r="I66" s="135">
        <v>-500</v>
      </c>
      <c r="J66" s="131"/>
    </row>
    <row r="67" spans="1:10" x14ac:dyDescent="0.3">
      <c r="A67" s="131"/>
      <c r="B67" s="134">
        <v>42566</v>
      </c>
      <c r="C67" s="135" t="s">
        <v>16</v>
      </c>
      <c r="D67" s="135" t="s">
        <v>29</v>
      </c>
      <c r="E67" s="135">
        <v>336.5</v>
      </c>
      <c r="F67" s="135">
        <v>338</v>
      </c>
      <c r="G67" s="135">
        <v>2</v>
      </c>
      <c r="H67" s="135">
        <v>1000</v>
      </c>
      <c r="I67" s="135">
        <v>2000</v>
      </c>
      <c r="J67" s="131"/>
    </row>
    <row r="68" spans="1:10" x14ac:dyDescent="0.3">
      <c r="A68" s="131"/>
      <c r="B68" s="134">
        <v>42566</v>
      </c>
      <c r="C68" s="135" t="s">
        <v>23</v>
      </c>
      <c r="D68" s="135" t="s">
        <v>27</v>
      </c>
      <c r="E68" s="135">
        <v>125.5</v>
      </c>
      <c r="F68" s="135">
        <v>124.7</v>
      </c>
      <c r="G68" s="135">
        <v>0.8</v>
      </c>
      <c r="H68" s="135">
        <v>5000</v>
      </c>
      <c r="I68" s="135">
        <v>4000</v>
      </c>
      <c r="J68" s="131"/>
    </row>
    <row r="69" spans="1:10" x14ac:dyDescent="0.3">
      <c r="A69" s="131"/>
      <c r="B69" s="134">
        <v>42569</v>
      </c>
      <c r="C69" s="135" t="s">
        <v>23</v>
      </c>
      <c r="D69" s="135" t="s">
        <v>56</v>
      </c>
      <c r="E69" s="135">
        <v>110.8</v>
      </c>
      <c r="F69" s="135">
        <v>110.9</v>
      </c>
      <c r="G69" s="135">
        <v>-0.1</v>
      </c>
      <c r="H69" s="135">
        <v>5000</v>
      </c>
      <c r="I69" s="135">
        <v>-500</v>
      </c>
      <c r="J69" s="131"/>
    </row>
    <row r="70" spans="1:10" x14ac:dyDescent="0.3">
      <c r="A70" s="131"/>
      <c r="B70" s="134">
        <v>42570</v>
      </c>
      <c r="C70" s="135" t="s">
        <v>23</v>
      </c>
      <c r="D70" s="135" t="s">
        <v>29</v>
      </c>
      <c r="E70" s="135">
        <v>336</v>
      </c>
      <c r="F70" s="135">
        <v>338</v>
      </c>
      <c r="G70" s="135">
        <v>-2</v>
      </c>
      <c r="H70" s="135">
        <v>1000</v>
      </c>
      <c r="I70" s="135">
        <v>-2000</v>
      </c>
      <c r="J70" s="131"/>
    </row>
    <row r="71" spans="1:10" x14ac:dyDescent="0.3">
      <c r="A71" s="131"/>
      <c r="B71" s="134">
        <v>42571</v>
      </c>
      <c r="C71" s="135" t="s">
        <v>23</v>
      </c>
      <c r="D71" s="135" t="s">
        <v>56</v>
      </c>
      <c r="E71" s="135">
        <v>109.5</v>
      </c>
      <c r="F71" s="135">
        <v>108.1</v>
      </c>
      <c r="G71" s="135">
        <v>1.4</v>
      </c>
      <c r="H71" s="135">
        <v>5000</v>
      </c>
      <c r="I71" s="135">
        <v>7000</v>
      </c>
      <c r="J71" s="131"/>
    </row>
    <row r="72" spans="1:10" x14ac:dyDescent="0.3">
      <c r="A72" s="131"/>
      <c r="B72" s="134">
        <v>42572</v>
      </c>
      <c r="C72" s="135" t="s">
        <v>23</v>
      </c>
      <c r="D72" s="135" t="s">
        <v>28</v>
      </c>
      <c r="E72" s="135">
        <v>151.5</v>
      </c>
      <c r="F72" s="135">
        <v>152.9</v>
      </c>
      <c r="G72" s="135">
        <v>1.4</v>
      </c>
      <c r="H72" s="135">
        <v>5000</v>
      </c>
      <c r="I72" s="135">
        <v>7000</v>
      </c>
      <c r="J72" s="131"/>
    </row>
    <row r="73" spans="1:10" x14ac:dyDescent="0.3">
      <c r="A73" s="131"/>
      <c r="B73" s="134">
        <v>42573</v>
      </c>
      <c r="C73" s="135" t="s">
        <v>16</v>
      </c>
      <c r="D73" s="135" t="s">
        <v>28</v>
      </c>
      <c r="E73" s="135">
        <v>151.1</v>
      </c>
      <c r="F73" s="135">
        <v>152</v>
      </c>
      <c r="G73" s="135">
        <v>0.9</v>
      </c>
      <c r="H73" s="135">
        <v>5000</v>
      </c>
      <c r="I73" s="135">
        <v>4500</v>
      </c>
      <c r="J73" s="131"/>
    </row>
    <row r="74" spans="1:10" x14ac:dyDescent="0.3">
      <c r="A74" s="131"/>
      <c r="B74" s="134">
        <v>42576</v>
      </c>
      <c r="C74" s="135" t="s">
        <v>23</v>
      </c>
      <c r="D74" s="135" t="s">
        <v>56</v>
      </c>
      <c r="E74" s="135">
        <v>107.6</v>
      </c>
      <c r="F74" s="135">
        <v>107</v>
      </c>
      <c r="G74" s="135">
        <v>0.6</v>
      </c>
      <c r="H74" s="135">
        <v>5000</v>
      </c>
      <c r="I74" s="135">
        <v>3000</v>
      </c>
      <c r="J74" s="131"/>
    </row>
    <row r="75" spans="1:10" x14ac:dyDescent="0.3">
      <c r="A75" s="131"/>
      <c r="B75" s="134">
        <v>42577</v>
      </c>
      <c r="C75" s="135" t="s">
        <v>23</v>
      </c>
      <c r="D75" s="135" t="s">
        <v>28</v>
      </c>
      <c r="E75" s="135">
        <v>149.5</v>
      </c>
      <c r="F75" s="135">
        <v>150</v>
      </c>
      <c r="G75" s="135">
        <v>-0.5</v>
      </c>
      <c r="H75" s="135">
        <v>5000</v>
      </c>
      <c r="I75" s="135">
        <v>-2500</v>
      </c>
      <c r="J75" s="131"/>
    </row>
    <row r="76" spans="1:10" x14ac:dyDescent="0.3">
      <c r="A76" s="131"/>
      <c r="B76" s="134">
        <v>42578</v>
      </c>
      <c r="C76" s="135" t="s">
        <v>23</v>
      </c>
      <c r="D76" s="135" t="s">
        <v>29</v>
      </c>
      <c r="E76" s="135">
        <v>330</v>
      </c>
      <c r="F76" s="135">
        <v>326</v>
      </c>
      <c r="G76" s="135">
        <v>4</v>
      </c>
      <c r="H76" s="135">
        <v>1000</v>
      </c>
      <c r="I76" s="135">
        <v>4000</v>
      </c>
      <c r="J76" s="131"/>
    </row>
    <row r="77" spans="1:10" x14ac:dyDescent="0.3">
      <c r="A77" s="131"/>
      <c r="B77" s="134">
        <v>42579</v>
      </c>
      <c r="C77" s="135" t="s">
        <v>23</v>
      </c>
      <c r="D77" s="135" t="s">
        <v>28</v>
      </c>
      <c r="E77" s="135">
        <v>146.19999999999999</v>
      </c>
      <c r="F77" s="135">
        <v>147.19999999999999</v>
      </c>
      <c r="G77" s="135">
        <v>-1</v>
      </c>
      <c r="H77" s="135">
        <v>5000</v>
      </c>
      <c r="I77" s="135">
        <v>-5000</v>
      </c>
      <c r="J77" s="131"/>
    </row>
    <row r="78" spans="1:10" x14ac:dyDescent="0.3">
      <c r="A78" s="131"/>
      <c r="B78" s="134">
        <v>42580</v>
      </c>
      <c r="C78" s="135" t="s">
        <v>23</v>
      </c>
      <c r="D78" s="135" t="s">
        <v>27</v>
      </c>
      <c r="E78" s="135">
        <v>120.6</v>
      </c>
      <c r="F78" s="135">
        <v>120.2</v>
      </c>
      <c r="G78" s="135">
        <v>0.4</v>
      </c>
      <c r="H78" s="135">
        <v>5000</v>
      </c>
      <c r="I78" s="135">
        <v>2000</v>
      </c>
      <c r="J78" s="131"/>
    </row>
    <row r="79" spans="1:10" x14ac:dyDescent="0.3">
      <c r="A79" s="131"/>
      <c r="B79" s="134"/>
      <c r="C79" s="135"/>
      <c r="D79" s="135"/>
      <c r="E79" s="135"/>
      <c r="F79" s="135"/>
      <c r="G79" s="135"/>
      <c r="H79" s="135"/>
      <c r="I79" s="135"/>
      <c r="J79" s="131"/>
    </row>
    <row r="80" spans="1:10" x14ac:dyDescent="0.3">
      <c r="A80" s="131"/>
      <c r="B80" s="134"/>
      <c r="C80" s="135"/>
      <c r="D80" s="135"/>
      <c r="E80" s="135"/>
      <c r="F80" s="135"/>
      <c r="G80" s="135"/>
      <c r="H80" s="135"/>
      <c r="I80" s="135"/>
      <c r="J80" s="131"/>
    </row>
    <row r="81" spans="1:10" x14ac:dyDescent="0.3">
      <c r="A81" s="131"/>
      <c r="J81" s="131"/>
    </row>
    <row r="82" spans="1:10" ht="18" x14ac:dyDescent="0.35">
      <c r="A82" s="169"/>
      <c r="B82" s="170"/>
      <c r="C82" s="170"/>
      <c r="D82" s="170"/>
      <c r="E82" s="170"/>
      <c r="F82" s="170"/>
      <c r="G82" s="170"/>
      <c r="H82" s="107"/>
      <c r="I82" s="106">
        <v>31750</v>
      </c>
      <c r="J82" s="131"/>
    </row>
    <row r="83" spans="1:10" x14ac:dyDescent="0.3">
      <c r="A83" s="131"/>
      <c r="I83" s="73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  <row r="89" spans="1:10" x14ac:dyDescent="0.3">
      <c r="A89" s="131"/>
      <c r="J89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B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86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0" t="s">
        <v>847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42583</v>
      </c>
      <c r="C6" s="135" t="s">
        <v>23</v>
      </c>
      <c r="D6" s="135" t="s">
        <v>24</v>
      </c>
      <c r="E6" s="135">
        <v>31500</v>
      </c>
      <c r="F6" s="135">
        <v>31530</v>
      </c>
      <c r="G6" s="135">
        <v>-30</v>
      </c>
      <c r="H6" s="135">
        <v>100</v>
      </c>
      <c r="I6" s="135">
        <v>-3000</v>
      </c>
      <c r="J6" s="17"/>
      <c r="K6" s="71"/>
    </row>
    <row r="7" spans="1:15" x14ac:dyDescent="0.3">
      <c r="A7" s="17"/>
      <c r="B7" s="134">
        <v>42584</v>
      </c>
      <c r="C7" s="135" t="s">
        <v>16</v>
      </c>
      <c r="D7" s="135" t="s">
        <v>24</v>
      </c>
      <c r="E7" s="135">
        <v>31700</v>
      </c>
      <c r="F7" s="135">
        <v>31840</v>
      </c>
      <c r="G7" s="135">
        <v>140</v>
      </c>
      <c r="H7" s="135">
        <v>100</v>
      </c>
      <c r="I7" s="135">
        <v>14000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42585</v>
      </c>
      <c r="C8" s="151" t="s">
        <v>16</v>
      </c>
      <c r="D8" s="151" t="s">
        <v>24</v>
      </c>
      <c r="E8" s="151">
        <v>31900</v>
      </c>
      <c r="F8" s="151">
        <v>31800</v>
      </c>
      <c r="G8" s="151">
        <v>-100</v>
      </c>
      <c r="H8" s="151">
        <v>100</v>
      </c>
      <c r="I8" s="135">
        <v>-10000</v>
      </c>
      <c r="J8" s="17"/>
      <c r="K8" s="71" t="s">
        <v>257</v>
      </c>
      <c r="L8" s="165" t="s">
        <v>553</v>
      </c>
      <c r="M8" s="101" t="s">
        <v>392</v>
      </c>
      <c r="N8" s="101" t="s">
        <v>264</v>
      </c>
      <c r="O8" s="101" t="s">
        <v>261</v>
      </c>
    </row>
    <row r="9" spans="1:15" x14ac:dyDescent="0.3">
      <c r="A9" s="17"/>
      <c r="B9" s="134">
        <v>42586</v>
      </c>
      <c r="C9" s="151" t="s">
        <v>23</v>
      </c>
      <c r="D9" s="151" t="s">
        <v>24</v>
      </c>
      <c r="E9" s="151">
        <v>31800</v>
      </c>
      <c r="F9" s="151">
        <v>31740</v>
      </c>
      <c r="G9" s="151">
        <v>60</v>
      </c>
      <c r="H9" s="151">
        <v>100</v>
      </c>
      <c r="I9" s="135">
        <v>6000</v>
      </c>
      <c r="J9" s="17"/>
      <c r="K9" s="71" t="s">
        <v>258</v>
      </c>
      <c r="L9" s="101" t="s">
        <v>553</v>
      </c>
      <c r="M9" s="101" t="s">
        <v>267</v>
      </c>
      <c r="N9" s="101" t="s">
        <v>264</v>
      </c>
      <c r="O9" s="101" t="s">
        <v>262</v>
      </c>
    </row>
    <row r="10" spans="1:15" x14ac:dyDescent="0.3">
      <c r="A10" s="17"/>
      <c r="B10" s="134">
        <v>42587</v>
      </c>
      <c r="C10" s="135" t="s">
        <v>23</v>
      </c>
      <c r="D10" s="135" t="s">
        <v>24</v>
      </c>
      <c r="E10" s="135">
        <v>31770</v>
      </c>
      <c r="F10" s="135">
        <v>31570</v>
      </c>
      <c r="G10" s="135">
        <v>200</v>
      </c>
      <c r="H10" s="135">
        <v>100</v>
      </c>
      <c r="I10" s="135">
        <v>20000</v>
      </c>
      <c r="J10" s="17"/>
      <c r="K10" s="71" t="s">
        <v>259</v>
      </c>
      <c r="L10" s="101" t="s">
        <v>553</v>
      </c>
      <c r="M10" s="101" t="s">
        <v>491</v>
      </c>
      <c r="N10" s="101" t="s">
        <v>290</v>
      </c>
      <c r="O10" s="101" t="s">
        <v>262</v>
      </c>
    </row>
    <row r="11" spans="1:15" x14ac:dyDescent="0.3">
      <c r="A11" s="17"/>
      <c r="B11" s="134">
        <v>42590</v>
      </c>
      <c r="C11" s="135" t="s">
        <v>23</v>
      </c>
      <c r="D11" s="135" t="s">
        <v>24</v>
      </c>
      <c r="E11" s="135">
        <v>31070</v>
      </c>
      <c r="F11" s="135">
        <v>31170</v>
      </c>
      <c r="G11" s="135">
        <v>-100</v>
      </c>
      <c r="H11" s="135">
        <v>100</v>
      </c>
      <c r="I11" s="135">
        <v>-10000</v>
      </c>
      <c r="J11" s="17"/>
      <c r="K11" s="71" t="s">
        <v>300</v>
      </c>
      <c r="L11" s="104" t="s">
        <v>738</v>
      </c>
      <c r="M11" s="104" t="s">
        <v>334</v>
      </c>
      <c r="N11" s="104" t="s">
        <v>850</v>
      </c>
      <c r="O11" s="104" t="s">
        <v>261</v>
      </c>
    </row>
    <row r="12" spans="1:15" x14ac:dyDescent="0.3">
      <c r="A12" s="17"/>
      <c r="B12" s="134">
        <v>42591</v>
      </c>
      <c r="C12" s="135" t="s">
        <v>23</v>
      </c>
      <c r="D12" s="135" t="s">
        <v>24</v>
      </c>
      <c r="E12" s="135">
        <v>31140</v>
      </c>
      <c r="F12" s="135">
        <v>31080</v>
      </c>
      <c r="G12" s="135">
        <v>60</v>
      </c>
      <c r="H12" s="135">
        <v>100</v>
      </c>
      <c r="I12" s="135">
        <v>6000</v>
      </c>
      <c r="J12" s="17"/>
      <c r="K12" s="71"/>
    </row>
    <row r="13" spans="1:15" x14ac:dyDescent="0.3">
      <c r="A13" s="17"/>
      <c r="B13" s="134">
        <v>42592</v>
      </c>
      <c r="C13" s="135" t="s">
        <v>23</v>
      </c>
      <c r="D13" s="135" t="s">
        <v>24</v>
      </c>
      <c r="E13" s="135">
        <v>31500</v>
      </c>
      <c r="F13" s="135">
        <v>31300</v>
      </c>
      <c r="G13" s="135">
        <v>200</v>
      </c>
      <c r="H13" s="135">
        <v>100</v>
      </c>
      <c r="I13" s="135">
        <v>20000</v>
      </c>
      <c r="J13" s="17"/>
      <c r="K13" s="132"/>
      <c r="L13" s="127" t="s">
        <v>832</v>
      </c>
      <c r="M13" s="128"/>
      <c r="N13" s="133" t="s">
        <v>851</v>
      </c>
    </row>
    <row r="14" spans="1:15" x14ac:dyDescent="0.3">
      <c r="A14" s="17"/>
      <c r="B14" s="134">
        <v>42593</v>
      </c>
      <c r="C14" s="135" t="s">
        <v>23</v>
      </c>
      <c r="D14" s="135" t="s">
        <v>24</v>
      </c>
      <c r="E14" s="135">
        <v>31370</v>
      </c>
      <c r="F14" s="135">
        <v>31320</v>
      </c>
      <c r="G14" s="135">
        <v>50</v>
      </c>
      <c r="H14" s="135">
        <v>100</v>
      </c>
      <c r="I14" s="135">
        <v>5000</v>
      </c>
      <c r="J14" s="17"/>
      <c r="K14" s="71"/>
    </row>
    <row r="15" spans="1:15" x14ac:dyDescent="0.3">
      <c r="A15" s="17"/>
      <c r="B15" s="134">
        <v>42598</v>
      </c>
      <c r="C15" s="135" t="s">
        <v>16</v>
      </c>
      <c r="D15" s="135" t="s">
        <v>24</v>
      </c>
      <c r="E15" s="135">
        <v>31380</v>
      </c>
      <c r="F15" s="135">
        <v>31550</v>
      </c>
      <c r="G15" s="135">
        <v>170</v>
      </c>
      <c r="H15" s="135">
        <v>100</v>
      </c>
      <c r="I15" s="135">
        <v>17000</v>
      </c>
      <c r="J15" s="17"/>
      <c r="K15" s="71"/>
    </row>
    <row r="16" spans="1:15" x14ac:dyDescent="0.3">
      <c r="A16" s="17"/>
      <c r="B16" s="134">
        <v>42599</v>
      </c>
      <c r="C16" s="135" t="s">
        <v>55</v>
      </c>
      <c r="D16" s="135" t="s">
        <v>22</v>
      </c>
      <c r="E16" s="135">
        <v>46220</v>
      </c>
      <c r="F16" s="135">
        <v>45920</v>
      </c>
      <c r="G16" s="135">
        <v>-300</v>
      </c>
      <c r="H16" s="135">
        <v>30</v>
      </c>
      <c r="I16" s="135">
        <v>-9000</v>
      </c>
      <c r="J16" s="17"/>
      <c r="K16" s="71"/>
    </row>
    <row r="17" spans="1:11" x14ac:dyDescent="0.3">
      <c r="A17" s="17"/>
      <c r="B17" s="134">
        <v>42600</v>
      </c>
      <c r="C17" s="135" t="s">
        <v>23</v>
      </c>
      <c r="D17" s="135" t="s">
        <v>24</v>
      </c>
      <c r="E17" s="135">
        <v>31420</v>
      </c>
      <c r="F17" s="135">
        <v>31355</v>
      </c>
      <c r="G17" s="135">
        <v>65</v>
      </c>
      <c r="H17" s="135">
        <v>100</v>
      </c>
      <c r="I17" s="135">
        <v>6500</v>
      </c>
      <c r="J17" s="17"/>
      <c r="K17" s="71"/>
    </row>
    <row r="18" spans="1:11" x14ac:dyDescent="0.3">
      <c r="A18" s="17"/>
      <c r="B18" s="134">
        <v>42601</v>
      </c>
      <c r="C18" s="135" t="s">
        <v>23</v>
      </c>
      <c r="D18" s="135" t="s">
        <v>24</v>
      </c>
      <c r="E18" s="135">
        <v>31450</v>
      </c>
      <c r="F18" s="135">
        <v>31310</v>
      </c>
      <c r="G18" s="135">
        <v>140</v>
      </c>
      <c r="H18" s="135">
        <v>100</v>
      </c>
      <c r="I18" s="135">
        <v>14000</v>
      </c>
      <c r="J18" s="17"/>
      <c r="K18" s="71"/>
    </row>
    <row r="19" spans="1:11" x14ac:dyDescent="0.3">
      <c r="A19" s="17"/>
      <c r="B19" s="134">
        <v>42604</v>
      </c>
      <c r="C19" s="135" t="s">
        <v>23</v>
      </c>
      <c r="D19" s="135" t="s">
        <v>24</v>
      </c>
      <c r="E19" s="135">
        <v>31320</v>
      </c>
      <c r="F19" s="135">
        <v>31355</v>
      </c>
      <c r="G19" s="135">
        <v>-35</v>
      </c>
      <c r="H19" s="135">
        <v>100</v>
      </c>
      <c r="I19" s="135">
        <v>-3500</v>
      </c>
      <c r="J19" s="17"/>
      <c r="K19" s="71"/>
    </row>
    <row r="20" spans="1:11" x14ac:dyDescent="0.3">
      <c r="A20" s="17"/>
      <c r="B20" s="134">
        <v>42605</v>
      </c>
      <c r="C20" s="135" t="s">
        <v>23</v>
      </c>
      <c r="D20" s="135" t="s">
        <v>24</v>
      </c>
      <c r="E20" s="135">
        <v>31360</v>
      </c>
      <c r="F20" s="135">
        <v>31355</v>
      </c>
      <c r="G20" s="135">
        <v>5</v>
      </c>
      <c r="H20" s="135">
        <v>100</v>
      </c>
      <c r="I20" s="135">
        <v>500</v>
      </c>
      <c r="J20" s="17"/>
      <c r="K20" s="71"/>
    </row>
    <row r="21" spans="1:11" x14ac:dyDescent="0.3">
      <c r="A21" s="17"/>
      <c r="B21" s="134">
        <v>42606</v>
      </c>
      <c r="C21" s="135" t="s">
        <v>16</v>
      </c>
      <c r="D21" s="135" t="s">
        <v>24</v>
      </c>
      <c r="E21" s="135">
        <v>31300</v>
      </c>
      <c r="F21" s="135">
        <v>31200</v>
      </c>
      <c r="G21" s="135">
        <v>-100</v>
      </c>
      <c r="H21" s="135">
        <v>100</v>
      </c>
      <c r="I21" s="135">
        <v>-10000</v>
      </c>
      <c r="J21" s="17"/>
      <c r="K21" s="71"/>
    </row>
    <row r="22" spans="1:11" x14ac:dyDescent="0.3">
      <c r="A22" s="17"/>
      <c r="B22" s="134">
        <v>42607</v>
      </c>
      <c r="C22" s="135" t="s">
        <v>23</v>
      </c>
      <c r="D22" s="135" t="s">
        <v>24</v>
      </c>
      <c r="E22" s="135">
        <v>30950</v>
      </c>
      <c r="F22" s="135">
        <v>30930</v>
      </c>
      <c r="G22" s="135">
        <v>20</v>
      </c>
      <c r="H22" s="135">
        <v>100</v>
      </c>
      <c r="I22" s="135">
        <v>2000</v>
      </c>
      <c r="J22" s="17"/>
      <c r="K22" s="71"/>
    </row>
    <row r="23" spans="1:11" x14ac:dyDescent="0.3">
      <c r="A23" s="17"/>
      <c r="B23" s="134">
        <v>42608</v>
      </c>
      <c r="C23" s="135" t="s">
        <v>23</v>
      </c>
      <c r="D23" s="135" t="s">
        <v>24</v>
      </c>
      <c r="E23" s="135">
        <v>31000</v>
      </c>
      <c r="F23" s="135">
        <v>30940</v>
      </c>
      <c r="G23" s="135">
        <v>60</v>
      </c>
      <c r="H23" s="135">
        <v>100</v>
      </c>
      <c r="I23" s="135">
        <v>6000</v>
      </c>
      <c r="J23" s="17"/>
    </row>
    <row r="24" spans="1:11" x14ac:dyDescent="0.3">
      <c r="A24" s="17"/>
      <c r="B24" s="134">
        <v>42611</v>
      </c>
      <c r="C24" s="135" t="s">
        <v>16</v>
      </c>
      <c r="D24" s="135" t="s">
        <v>24</v>
      </c>
      <c r="E24" s="135">
        <v>30950</v>
      </c>
      <c r="F24" s="135">
        <v>31080</v>
      </c>
      <c r="G24" s="135">
        <v>130</v>
      </c>
      <c r="H24" s="135">
        <v>100</v>
      </c>
      <c r="I24" s="135">
        <v>13000</v>
      </c>
      <c r="J24" s="17"/>
    </row>
    <row r="25" spans="1:11" x14ac:dyDescent="0.3">
      <c r="A25" s="17"/>
      <c r="B25" s="134">
        <v>42612</v>
      </c>
      <c r="C25" s="135" t="s">
        <v>23</v>
      </c>
      <c r="D25" s="135" t="s">
        <v>24</v>
      </c>
      <c r="E25" s="135">
        <v>30960</v>
      </c>
      <c r="F25" s="135">
        <v>30825</v>
      </c>
      <c r="G25" s="135">
        <v>135</v>
      </c>
      <c r="H25" s="135">
        <v>100</v>
      </c>
      <c r="I25" s="135">
        <v>13500</v>
      </c>
      <c r="J25" s="17"/>
    </row>
    <row r="26" spans="1:11" x14ac:dyDescent="0.3">
      <c r="A26" s="17"/>
      <c r="B26" s="134">
        <v>42613</v>
      </c>
      <c r="C26" s="135" t="s">
        <v>23</v>
      </c>
      <c r="D26" s="135" t="s">
        <v>24</v>
      </c>
      <c r="E26" s="135">
        <v>30770</v>
      </c>
      <c r="F26" s="135">
        <v>30670</v>
      </c>
      <c r="G26" s="135">
        <v>100</v>
      </c>
      <c r="H26" s="135">
        <v>100</v>
      </c>
      <c r="I26" s="135">
        <v>10000</v>
      </c>
      <c r="J26" s="17"/>
    </row>
    <row r="27" spans="1:11" x14ac:dyDescent="0.3">
      <c r="A27" s="17"/>
      <c r="C27" s="151"/>
      <c r="D27" s="156"/>
      <c r="E27" s="156"/>
      <c r="F27" s="156"/>
      <c r="G27" s="156"/>
      <c r="H27" s="157"/>
      <c r="I27" s="135"/>
      <c r="J27" s="17"/>
    </row>
    <row r="28" spans="1:11" ht="17.399999999999999" x14ac:dyDescent="0.3">
      <c r="A28" s="17"/>
      <c r="C28" s="157"/>
      <c r="D28" s="156"/>
      <c r="E28" s="158"/>
      <c r="F28" s="157"/>
      <c r="G28" s="157"/>
      <c r="H28" s="157"/>
      <c r="I28" s="106">
        <v>108000</v>
      </c>
      <c r="J28" s="17"/>
    </row>
    <row r="29" spans="1:11" x14ac:dyDescent="0.3">
      <c r="A29" s="17"/>
      <c r="C29" s="157"/>
      <c r="D29" s="158"/>
      <c r="E29" s="158"/>
      <c r="F29" s="157"/>
      <c r="G29" s="157"/>
      <c r="H29" s="157"/>
      <c r="I29" s="157"/>
      <c r="J29" s="17"/>
    </row>
    <row r="30" spans="1:11" x14ac:dyDescent="0.3">
      <c r="A30" s="17"/>
      <c r="B30" s="164" t="s">
        <v>789</v>
      </c>
      <c r="C30" s="159"/>
      <c r="D30" s="160"/>
      <c r="E30" s="159"/>
      <c r="F30" s="159"/>
      <c r="G30" s="159"/>
      <c r="H30" s="159"/>
      <c r="I30" s="159"/>
      <c r="J30" s="17"/>
    </row>
    <row r="31" spans="1:11" x14ac:dyDescent="0.3">
      <c r="A31" s="17"/>
      <c r="B31" s="134">
        <v>42583</v>
      </c>
      <c r="C31" s="135" t="s">
        <v>23</v>
      </c>
      <c r="D31" s="135" t="s">
        <v>25</v>
      </c>
      <c r="E31" s="135">
        <v>2770</v>
      </c>
      <c r="F31" s="135">
        <v>2700</v>
      </c>
      <c r="G31" s="135">
        <v>70</v>
      </c>
      <c r="H31" s="135">
        <v>100</v>
      </c>
      <c r="I31" s="135">
        <v>7000</v>
      </c>
      <c r="J31" s="17"/>
    </row>
    <row r="32" spans="1:11" x14ac:dyDescent="0.3">
      <c r="A32" s="17"/>
      <c r="B32" s="134">
        <v>42584</v>
      </c>
      <c r="C32" s="135" t="s">
        <v>23</v>
      </c>
      <c r="D32" s="135" t="s">
        <v>25</v>
      </c>
      <c r="E32" s="135">
        <v>2695</v>
      </c>
      <c r="F32" s="135">
        <v>2672</v>
      </c>
      <c r="G32" s="135">
        <v>23</v>
      </c>
      <c r="H32" s="135">
        <v>100</v>
      </c>
      <c r="I32" s="135">
        <v>2300</v>
      </c>
      <c r="J32" s="17"/>
    </row>
    <row r="33" spans="1:10" x14ac:dyDescent="0.3">
      <c r="A33" s="17"/>
      <c r="B33" s="134">
        <v>42585</v>
      </c>
      <c r="C33" s="135" t="s">
        <v>23</v>
      </c>
      <c r="D33" s="135" t="s">
        <v>25</v>
      </c>
      <c r="E33" s="135">
        <v>2665</v>
      </c>
      <c r="F33" s="135">
        <v>2700</v>
      </c>
      <c r="G33" s="135">
        <v>-35</v>
      </c>
      <c r="H33" s="135">
        <v>100</v>
      </c>
      <c r="I33" s="135">
        <v>-3500</v>
      </c>
      <c r="J33" s="17"/>
    </row>
    <row r="34" spans="1:10" x14ac:dyDescent="0.3">
      <c r="A34" s="17"/>
      <c r="B34" s="134">
        <v>42586</v>
      </c>
      <c r="C34" s="135" t="s">
        <v>23</v>
      </c>
      <c r="D34" s="135" t="s">
        <v>25</v>
      </c>
      <c r="E34" s="135">
        <v>2750</v>
      </c>
      <c r="F34" s="135">
        <v>2720</v>
      </c>
      <c r="G34" s="135">
        <v>30</v>
      </c>
      <c r="H34" s="135">
        <v>100</v>
      </c>
      <c r="I34" s="135">
        <v>3000</v>
      </c>
      <c r="J34" s="17"/>
    </row>
    <row r="35" spans="1:10" x14ac:dyDescent="0.3">
      <c r="A35" s="17"/>
      <c r="B35" s="134">
        <v>42587</v>
      </c>
      <c r="C35" s="135" t="s">
        <v>23</v>
      </c>
      <c r="D35" s="135" t="s">
        <v>25</v>
      </c>
      <c r="E35" s="135">
        <v>2790</v>
      </c>
      <c r="F35" s="135">
        <v>2755</v>
      </c>
      <c r="G35" s="135">
        <v>35</v>
      </c>
      <c r="H35" s="135">
        <v>100</v>
      </c>
      <c r="I35" s="135">
        <v>3500</v>
      </c>
      <c r="J35" s="17"/>
    </row>
    <row r="36" spans="1:10" x14ac:dyDescent="0.3">
      <c r="A36" s="17"/>
      <c r="B36" s="134">
        <v>42590</v>
      </c>
      <c r="C36" s="135" t="s">
        <v>23</v>
      </c>
      <c r="D36" s="135" t="s">
        <v>25</v>
      </c>
      <c r="E36" s="135">
        <v>2845</v>
      </c>
      <c r="F36" s="135">
        <v>2885</v>
      </c>
      <c r="G36" s="135">
        <v>-40</v>
      </c>
      <c r="H36" s="135">
        <v>100</v>
      </c>
      <c r="I36" s="135">
        <v>-4000</v>
      </c>
      <c r="J36" s="17"/>
    </row>
    <row r="37" spans="1:10" x14ac:dyDescent="0.3">
      <c r="A37" s="17"/>
      <c r="B37" s="134">
        <v>42591</v>
      </c>
      <c r="C37" s="135" t="s">
        <v>23</v>
      </c>
      <c r="D37" s="135" t="s">
        <v>848</v>
      </c>
      <c r="E37" s="135">
        <v>180</v>
      </c>
      <c r="F37" s="135">
        <v>176</v>
      </c>
      <c r="G37" s="135">
        <v>4</v>
      </c>
      <c r="H37" s="135">
        <v>1250</v>
      </c>
      <c r="I37" s="135">
        <v>5000</v>
      </c>
      <c r="J37" s="17"/>
    </row>
    <row r="38" spans="1:10" x14ac:dyDescent="0.3">
      <c r="A38" s="17"/>
      <c r="B38" s="134">
        <v>42592</v>
      </c>
      <c r="C38" s="135" t="s">
        <v>23</v>
      </c>
      <c r="D38" s="135" t="s">
        <v>25</v>
      </c>
      <c r="E38" s="135">
        <v>2830</v>
      </c>
      <c r="F38" s="135">
        <v>2875</v>
      </c>
      <c r="G38" s="135">
        <v>-45</v>
      </c>
      <c r="H38" s="135">
        <v>100</v>
      </c>
      <c r="I38" s="135">
        <v>-4500</v>
      </c>
      <c r="J38" s="17"/>
    </row>
    <row r="39" spans="1:10" x14ac:dyDescent="0.3">
      <c r="A39" s="17"/>
      <c r="B39" s="134">
        <v>42593</v>
      </c>
      <c r="C39" s="135" t="s">
        <v>23</v>
      </c>
      <c r="D39" s="135" t="s">
        <v>25</v>
      </c>
      <c r="E39" s="135">
        <v>2790</v>
      </c>
      <c r="F39" s="135">
        <v>2770</v>
      </c>
      <c r="G39" s="135">
        <v>20</v>
      </c>
      <c r="H39" s="135">
        <v>100</v>
      </c>
      <c r="I39" s="135">
        <v>2000</v>
      </c>
      <c r="J39" s="17"/>
    </row>
    <row r="40" spans="1:10" x14ac:dyDescent="0.3">
      <c r="A40" s="17"/>
      <c r="B40" s="134">
        <v>42598</v>
      </c>
      <c r="C40" s="135" t="s">
        <v>23</v>
      </c>
      <c r="D40" s="135" t="s">
        <v>25</v>
      </c>
      <c r="E40" s="135">
        <v>3040</v>
      </c>
      <c r="F40" s="135">
        <v>3075</v>
      </c>
      <c r="G40" s="135">
        <v>-35</v>
      </c>
      <c r="H40" s="135">
        <v>100</v>
      </c>
      <c r="I40" s="135">
        <v>-3500</v>
      </c>
      <c r="J40" s="17"/>
    </row>
    <row r="41" spans="1:10" x14ac:dyDescent="0.3">
      <c r="A41" s="17"/>
      <c r="B41" s="134">
        <v>42599</v>
      </c>
      <c r="C41" s="135" t="s">
        <v>16</v>
      </c>
      <c r="D41" s="135" t="s">
        <v>25</v>
      </c>
      <c r="E41" s="135">
        <v>3120</v>
      </c>
      <c r="F41" s="135">
        <v>3150</v>
      </c>
      <c r="G41" s="135">
        <v>30</v>
      </c>
      <c r="H41" s="135">
        <v>100</v>
      </c>
      <c r="I41" s="135">
        <v>3000</v>
      </c>
      <c r="J41" s="17"/>
    </row>
    <row r="42" spans="1:10" x14ac:dyDescent="0.3">
      <c r="A42" s="17"/>
      <c r="B42" s="134">
        <v>42600</v>
      </c>
      <c r="C42" s="135" t="s">
        <v>16</v>
      </c>
      <c r="D42" s="135" t="s">
        <v>25</v>
      </c>
      <c r="E42" s="135">
        <v>3145</v>
      </c>
      <c r="F42" s="135">
        <v>3220</v>
      </c>
      <c r="G42" s="135">
        <v>75</v>
      </c>
      <c r="H42" s="135">
        <v>100</v>
      </c>
      <c r="I42" s="135">
        <v>7500</v>
      </c>
      <c r="J42" s="17"/>
    </row>
    <row r="43" spans="1:10" x14ac:dyDescent="0.3">
      <c r="A43" s="17"/>
      <c r="B43" s="134">
        <v>42601</v>
      </c>
      <c r="C43" s="135" t="s">
        <v>23</v>
      </c>
      <c r="D43" s="135" t="s">
        <v>25</v>
      </c>
      <c r="E43" s="135">
        <v>3225</v>
      </c>
      <c r="F43" s="135">
        <v>3210</v>
      </c>
      <c r="G43" s="135">
        <v>15</v>
      </c>
      <c r="H43" s="135">
        <v>100</v>
      </c>
      <c r="I43" s="135">
        <v>1500</v>
      </c>
      <c r="J43" s="17"/>
    </row>
    <row r="44" spans="1:10" x14ac:dyDescent="0.3">
      <c r="A44" s="17"/>
      <c r="B44" s="134">
        <v>42604</v>
      </c>
      <c r="C44" s="135" t="s">
        <v>23</v>
      </c>
      <c r="D44" s="135" t="s">
        <v>25</v>
      </c>
      <c r="E44" s="135">
        <v>3270</v>
      </c>
      <c r="F44" s="135">
        <v>3205</v>
      </c>
      <c r="G44" s="135">
        <v>65</v>
      </c>
      <c r="H44" s="135">
        <v>100</v>
      </c>
      <c r="I44" s="135">
        <v>6500</v>
      </c>
      <c r="J44" s="17"/>
    </row>
    <row r="45" spans="1:10" x14ac:dyDescent="0.3">
      <c r="A45" s="17"/>
      <c r="B45" s="134">
        <v>42605</v>
      </c>
      <c r="C45" s="135" t="s">
        <v>23</v>
      </c>
      <c r="D45" s="135" t="s">
        <v>25</v>
      </c>
      <c r="E45" s="135">
        <v>3160</v>
      </c>
      <c r="F45" s="135">
        <v>3144</v>
      </c>
      <c r="G45" s="135">
        <v>16</v>
      </c>
      <c r="H45" s="135">
        <v>100</v>
      </c>
      <c r="I45" s="135">
        <v>1600</v>
      </c>
      <c r="J45" s="17"/>
    </row>
    <row r="46" spans="1:10" x14ac:dyDescent="0.3">
      <c r="A46" s="17"/>
      <c r="B46" s="134">
        <v>42606</v>
      </c>
      <c r="C46" s="135" t="s">
        <v>23</v>
      </c>
      <c r="D46" s="135" t="s">
        <v>25</v>
      </c>
      <c r="E46" s="135">
        <v>3190</v>
      </c>
      <c r="F46" s="135">
        <v>3135</v>
      </c>
      <c r="G46" s="135">
        <v>55</v>
      </c>
      <c r="H46" s="135">
        <v>100</v>
      </c>
      <c r="I46" s="135">
        <v>5500</v>
      </c>
      <c r="J46" s="17"/>
    </row>
    <row r="47" spans="1:10" x14ac:dyDescent="0.3">
      <c r="A47" s="17"/>
      <c r="B47" s="134">
        <v>42607</v>
      </c>
      <c r="C47" s="135" t="s">
        <v>23</v>
      </c>
      <c r="D47" s="135" t="s">
        <v>25</v>
      </c>
      <c r="E47" s="135">
        <v>3150</v>
      </c>
      <c r="F47" s="135">
        <v>3130</v>
      </c>
      <c r="G47" s="135">
        <v>20</v>
      </c>
      <c r="H47" s="135">
        <v>100</v>
      </c>
      <c r="I47" s="135">
        <v>2000</v>
      </c>
      <c r="J47" s="17"/>
    </row>
    <row r="48" spans="1:10" x14ac:dyDescent="0.3">
      <c r="A48" s="17"/>
      <c r="B48" s="134">
        <v>42608</v>
      </c>
      <c r="C48" s="135" t="s">
        <v>16</v>
      </c>
      <c r="D48" s="135" t="s">
        <v>25</v>
      </c>
      <c r="E48" s="135">
        <v>3180</v>
      </c>
      <c r="F48" s="135">
        <v>3245</v>
      </c>
      <c r="G48" s="135">
        <v>65</v>
      </c>
      <c r="H48" s="135">
        <v>100</v>
      </c>
      <c r="I48" s="135">
        <v>6500</v>
      </c>
      <c r="J48" s="17"/>
    </row>
    <row r="49" spans="1:10" x14ac:dyDescent="0.3">
      <c r="A49" s="17"/>
      <c r="B49" s="134">
        <v>42611</v>
      </c>
      <c r="C49" s="135" t="s">
        <v>23</v>
      </c>
      <c r="D49" s="135" t="s">
        <v>25</v>
      </c>
      <c r="E49" s="135">
        <v>3165</v>
      </c>
      <c r="F49" s="135">
        <v>3150</v>
      </c>
      <c r="G49" s="135">
        <v>15</v>
      </c>
      <c r="H49" s="135">
        <v>100</v>
      </c>
      <c r="I49" s="135">
        <v>1500</v>
      </c>
      <c r="J49" s="17"/>
    </row>
    <row r="50" spans="1:10" x14ac:dyDescent="0.3">
      <c r="A50" s="17"/>
      <c r="B50" s="134">
        <v>42612</v>
      </c>
      <c r="C50" s="135" t="s">
        <v>23</v>
      </c>
      <c r="D50" s="135" t="s">
        <v>25</v>
      </c>
      <c r="E50" s="135">
        <v>3187</v>
      </c>
      <c r="F50" s="135">
        <v>3115</v>
      </c>
      <c r="G50" s="135">
        <v>72</v>
      </c>
      <c r="H50" s="135">
        <v>100</v>
      </c>
      <c r="I50" s="135">
        <v>7200</v>
      </c>
      <c r="J50" s="17"/>
    </row>
    <row r="51" spans="1:10" x14ac:dyDescent="0.3">
      <c r="A51" s="17"/>
      <c r="B51" s="134">
        <v>42613</v>
      </c>
      <c r="C51" s="151" t="s">
        <v>23</v>
      </c>
      <c r="D51" s="151" t="s">
        <v>25</v>
      </c>
      <c r="E51" s="155" t="s">
        <v>729</v>
      </c>
      <c r="F51" s="155" t="s">
        <v>724</v>
      </c>
      <c r="G51" s="155" t="s">
        <v>849</v>
      </c>
      <c r="H51" s="161">
        <v>100</v>
      </c>
      <c r="I51" s="135">
        <v>7500</v>
      </c>
      <c r="J51" s="17"/>
    </row>
    <row r="52" spans="1:10" x14ac:dyDescent="0.3">
      <c r="A52" s="17"/>
      <c r="B52" s="71"/>
      <c r="C52" s="135"/>
      <c r="D52" s="151"/>
      <c r="E52" s="135"/>
      <c r="F52" s="135"/>
      <c r="G52" s="135"/>
      <c r="H52" s="161"/>
      <c r="I52" s="162"/>
      <c r="J52" s="17"/>
    </row>
    <row r="53" spans="1:10" ht="18" x14ac:dyDescent="0.35">
      <c r="A53" s="142"/>
      <c r="B53" s="166"/>
      <c r="C53" s="137"/>
      <c r="D53" s="167"/>
      <c r="E53" s="137"/>
      <c r="F53" s="137"/>
      <c r="G53" s="137"/>
      <c r="H53" s="168"/>
      <c r="I53" s="106">
        <v>57600</v>
      </c>
      <c r="J53" s="17"/>
    </row>
    <row r="54" spans="1:10" x14ac:dyDescent="0.3">
      <c r="A54" s="17"/>
      <c r="B54" s="71"/>
      <c r="C54" s="157"/>
      <c r="D54" s="158"/>
      <c r="E54" s="157"/>
      <c r="F54" s="157"/>
      <c r="G54" s="157"/>
      <c r="H54" s="157"/>
      <c r="I54" s="157"/>
      <c r="J54" s="17"/>
    </row>
    <row r="55" spans="1:10" x14ac:dyDescent="0.3">
      <c r="A55" s="17"/>
      <c r="B55" s="164" t="s">
        <v>788</v>
      </c>
      <c r="C55" s="159"/>
      <c r="D55" s="160"/>
      <c r="E55" s="159"/>
      <c r="F55" s="159"/>
      <c r="G55" s="159"/>
      <c r="H55" s="159"/>
      <c r="I55" s="64"/>
      <c r="J55" s="17"/>
    </row>
    <row r="56" spans="1:10" x14ac:dyDescent="0.3">
      <c r="A56" s="17"/>
      <c r="B56" s="134">
        <v>42583</v>
      </c>
      <c r="C56" s="135" t="s">
        <v>23</v>
      </c>
      <c r="D56" s="135" t="s">
        <v>56</v>
      </c>
      <c r="E56" s="135">
        <v>110.6</v>
      </c>
      <c r="F56" s="135">
        <v>111</v>
      </c>
      <c r="G56" s="135">
        <v>0.4</v>
      </c>
      <c r="H56" s="135">
        <v>5000</v>
      </c>
      <c r="I56" s="135">
        <v>2000</v>
      </c>
      <c r="J56" s="17"/>
    </row>
    <row r="57" spans="1:10" x14ac:dyDescent="0.3">
      <c r="A57" s="17"/>
      <c r="B57" s="134">
        <v>42584</v>
      </c>
      <c r="C57" s="135" t="s">
        <v>16</v>
      </c>
      <c r="D57" s="135" t="s">
        <v>56</v>
      </c>
      <c r="E57" s="135">
        <v>109.6</v>
      </c>
      <c r="F57" s="135">
        <v>110.1</v>
      </c>
      <c r="G57" s="135">
        <v>0.5</v>
      </c>
      <c r="H57" s="135">
        <v>5000</v>
      </c>
      <c r="I57" s="135">
        <v>2500</v>
      </c>
      <c r="J57" s="17"/>
    </row>
    <row r="58" spans="1:10" x14ac:dyDescent="0.3">
      <c r="A58" s="17"/>
      <c r="B58" s="134">
        <v>42585</v>
      </c>
      <c r="C58" s="135" t="s">
        <v>16</v>
      </c>
      <c r="D58" s="135" t="s">
        <v>56</v>
      </c>
      <c r="E58" s="135">
        <v>108.8</v>
      </c>
      <c r="F58" s="135">
        <v>109.6</v>
      </c>
      <c r="G58" s="135">
        <v>0.8</v>
      </c>
      <c r="H58" s="135">
        <v>5000</v>
      </c>
      <c r="I58" s="135">
        <v>4000</v>
      </c>
      <c r="J58" s="131"/>
    </row>
    <row r="59" spans="1:10" x14ac:dyDescent="0.3">
      <c r="A59" s="131"/>
      <c r="B59" s="134">
        <v>42586</v>
      </c>
      <c r="C59" s="135" t="s">
        <v>16</v>
      </c>
      <c r="D59" s="135" t="s">
        <v>28</v>
      </c>
      <c r="E59" s="135">
        <v>151.30000000000001</v>
      </c>
      <c r="F59" s="135">
        <v>150.9</v>
      </c>
      <c r="G59" s="135">
        <v>0.4</v>
      </c>
      <c r="H59" s="135">
        <v>5000</v>
      </c>
      <c r="I59" s="135">
        <v>2000</v>
      </c>
      <c r="J59" s="131"/>
    </row>
    <row r="60" spans="1:10" x14ac:dyDescent="0.3">
      <c r="A60" s="131"/>
      <c r="B60" s="134">
        <v>42587</v>
      </c>
      <c r="C60" s="135" t="s">
        <v>23</v>
      </c>
      <c r="D60" s="135" t="s">
        <v>29</v>
      </c>
      <c r="E60" s="135">
        <v>321</v>
      </c>
      <c r="F60" s="135">
        <v>319</v>
      </c>
      <c r="G60" s="135">
        <v>2</v>
      </c>
      <c r="H60" s="135">
        <v>1000</v>
      </c>
      <c r="I60" s="135">
        <v>2000</v>
      </c>
      <c r="J60" s="131"/>
    </row>
    <row r="61" spans="1:10" x14ac:dyDescent="0.3">
      <c r="A61" s="131"/>
      <c r="B61" s="134">
        <v>42590</v>
      </c>
      <c r="C61" s="135" t="s">
        <v>16</v>
      </c>
      <c r="D61" s="135" t="s">
        <v>28</v>
      </c>
      <c r="E61" s="135">
        <v>152.5</v>
      </c>
      <c r="F61" s="135">
        <v>152.80000000000001</v>
      </c>
      <c r="G61" s="135">
        <v>0.3</v>
      </c>
      <c r="H61" s="135">
        <v>5000</v>
      </c>
      <c r="I61" s="135">
        <v>1500</v>
      </c>
      <c r="J61" s="131"/>
    </row>
    <row r="62" spans="1:10" x14ac:dyDescent="0.3">
      <c r="A62" s="131"/>
      <c r="B62" s="134">
        <v>42591</v>
      </c>
      <c r="C62" s="135" t="s">
        <v>23</v>
      </c>
      <c r="D62" s="135" t="s">
        <v>56</v>
      </c>
      <c r="E62" s="135">
        <v>109.8</v>
      </c>
      <c r="F62" s="135">
        <v>109.4</v>
      </c>
      <c r="G62" s="135">
        <v>0.4</v>
      </c>
      <c r="H62" s="135">
        <v>5000</v>
      </c>
      <c r="I62" s="135">
        <v>2000</v>
      </c>
      <c r="J62" s="131"/>
    </row>
    <row r="63" spans="1:10" x14ac:dyDescent="0.3">
      <c r="A63" s="131"/>
      <c r="B63" s="134">
        <v>42592</v>
      </c>
      <c r="C63" s="135" t="s">
        <v>16</v>
      </c>
      <c r="D63" s="135" t="s">
        <v>56</v>
      </c>
      <c r="E63" s="135">
        <v>110.3</v>
      </c>
      <c r="F63" s="135">
        <v>110.7</v>
      </c>
      <c r="G63" s="135">
        <v>0.4</v>
      </c>
      <c r="H63" s="135">
        <v>5000</v>
      </c>
      <c r="I63" s="135">
        <v>2000</v>
      </c>
      <c r="J63" s="131"/>
    </row>
    <row r="64" spans="1:10" x14ac:dyDescent="0.3">
      <c r="A64" s="131"/>
      <c r="B64" s="134">
        <v>42593</v>
      </c>
      <c r="C64" s="135" t="s">
        <v>23</v>
      </c>
      <c r="D64" s="135" t="s">
        <v>28</v>
      </c>
      <c r="E64" s="135">
        <v>152.4</v>
      </c>
      <c r="F64" s="135">
        <v>151.6</v>
      </c>
      <c r="G64" s="135">
        <v>0.8</v>
      </c>
      <c r="H64" s="135">
        <v>5000</v>
      </c>
      <c r="I64" s="135">
        <v>4000</v>
      </c>
      <c r="J64" s="131"/>
    </row>
    <row r="65" spans="1:10" x14ac:dyDescent="0.3">
      <c r="A65" s="131"/>
      <c r="B65" s="134">
        <v>42598</v>
      </c>
      <c r="C65" s="135" t="s">
        <v>16</v>
      </c>
      <c r="D65" s="135" t="s">
        <v>56</v>
      </c>
      <c r="E65" s="135">
        <v>111.7</v>
      </c>
      <c r="F65" s="135">
        <v>112.7</v>
      </c>
      <c r="G65" s="135">
        <v>1</v>
      </c>
      <c r="H65" s="135">
        <v>5000</v>
      </c>
      <c r="I65" s="135">
        <v>5000</v>
      </c>
      <c r="J65" s="131"/>
    </row>
    <row r="66" spans="1:10" x14ac:dyDescent="0.3">
      <c r="A66" s="131"/>
      <c r="B66" s="134">
        <v>42599</v>
      </c>
      <c r="C66" s="135" t="s">
        <v>16</v>
      </c>
      <c r="D66" s="135" t="s">
        <v>27</v>
      </c>
      <c r="E66" s="135">
        <v>125</v>
      </c>
      <c r="F66" s="135">
        <v>126</v>
      </c>
      <c r="G66" s="135">
        <v>1</v>
      </c>
      <c r="H66" s="135">
        <v>5000</v>
      </c>
      <c r="I66" s="135">
        <v>5000</v>
      </c>
      <c r="J66" s="131"/>
    </row>
    <row r="67" spans="1:10" x14ac:dyDescent="0.3">
      <c r="A67" s="131"/>
      <c r="B67" s="134">
        <v>42600</v>
      </c>
      <c r="C67" s="135" t="s">
        <v>16</v>
      </c>
      <c r="D67" s="135" t="s">
        <v>28</v>
      </c>
      <c r="E67" s="135">
        <v>153.19999999999999</v>
      </c>
      <c r="F67" s="135">
        <v>154.1</v>
      </c>
      <c r="G67" s="135">
        <v>0.9</v>
      </c>
      <c r="H67" s="135">
        <v>5000</v>
      </c>
      <c r="I67" s="135">
        <v>4500</v>
      </c>
      <c r="J67" s="131"/>
    </row>
    <row r="68" spans="1:10" x14ac:dyDescent="0.3">
      <c r="A68" s="131"/>
      <c r="B68" s="134">
        <v>42601</v>
      </c>
      <c r="C68" s="135" t="s">
        <v>23</v>
      </c>
      <c r="D68" s="135" t="s">
        <v>56</v>
      </c>
      <c r="E68" s="135">
        <v>111.6</v>
      </c>
      <c r="F68" s="135">
        <v>111</v>
      </c>
      <c r="G68" s="135">
        <v>0.6</v>
      </c>
      <c r="H68" s="135">
        <v>5000</v>
      </c>
      <c r="I68" s="135">
        <v>3000</v>
      </c>
      <c r="J68" s="131"/>
    </row>
    <row r="69" spans="1:10" x14ac:dyDescent="0.3">
      <c r="A69" s="131"/>
      <c r="B69" s="134">
        <v>42604</v>
      </c>
      <c r="C69" s="135" t="s">
        <v>23</v>
      </c>
      <c r="D69" s="135" t="s">
        <v>29</v>
      </c>
      <c r="E69" s="135">
        <v>318.5</v>
      </c>
      <c r="F69" s="135">
        <v>316.8</v>
      </c>
      <c r="G69" s="135">
        <v>1.7</v>
      </c>
      <c r="H69" s="135">
        <v>1000</v>
      </c>
      <c r="I69" s="135">
        <v>1700</v>
      </c>
      <c r="J69" s="131"/>
    </row>
    <row r="70" spans="1:10" x14ac:dyDescent="0.3">
      <c r="A70" s="131"/>
      <c r="B70" s="134">
        <v>42605</v>
      </c>
      <c r="C70" s="135" t="s">
        <v>23</v>
      </c>
      <c r="D70" s="135" t="s">
        <v>56</v>
      </c>
      <c r="E70" s="135">
        <v>111</v>
      </c>
      <c r="F70" s="135">
        <v>111.5</v>
      </c>
      <c r="G70" s="135">
        <v>-0.5</v>
      </c>
      <c r="H70" s="135">
        <v>5000</v>
      </c>
      <c r="I70" s="135">
        <v>-2500</v>
      </c>
      <c r="J70" s="131"/>
    </row>
    <row r="71" spans="1:10" x14ac:dyDescent="0.3">
      <c r="A71" s="131"/>
      <c r="B71" s="134">
        <v>42606</v>
      </c>
      <c r="C71" s="135" t="s">
        <v>23</v>
      </c>
      <c r="D71" s="135" t="s">
        <v>29</v>
      </c>
      <c r="E71" s="135">
        <v>313</v>
      </c>
      <c r="F71" s="135">
        <v>309</v>
      </c>
      <c r="G71" s="135">
        <v>4</v>
      </c>
      <c r="H71" s="135">
        <v>1000</v>
      </c>
      <c r="I71" s="135">
        <v>4000</v>
      </c>
      <c r="J71" s="131"/>
    </row>
    <row r="72" spans="1:10" x14ac:dyDescent="0.3">
      <c r="A72" s="131"/>
      <c r="B72" s="134">
        <v>42607</v>
      </c>
      <c r="C72" s="135" t="s">
        <v>23</v>
      </c>
      <c r="D72" s="135" t="s">
        <v>29</v>
      </c>
      <c r="E72" s="135">
        <v>309.5</v>
      </c>
      <c r="F72" s="135">
        <v>307.5</v>
      </c>
      <c r="G72" s="135">
        <v>2</v>
      </c>
      <c r="H72" s="135">
        <v>1000</v>
      </c>
      <c r="I72" s="135">
        <v>2000</v>
      </c>
      <c r="J72" s="131"/>
    </row>
    <row r="73" spans="1:10" x14ac:dyDescent="0.3">
      <c r="A73" s="131"/>
      <c r="B73" s="134">
        <v>42608</v>
      </c>
      <c r="C73" s="135" t="s">
        <v>23</v>
      </c>
      <c r="D73" s="135" t="s">
        <v>29</v>
      </c>
      <c r="E73" s="135">
        <v>309.5</v>
      </c>
      <c r="F73" s="135">
        <v>306.7</v>
      </c>
      <c r="G73" s="135">
        <v>2.8</v>
      </c>
      <c r="H73" s="135">
        <v>1000</v>
      </c>
      <c r="I73" s="135">
        <v>2800</v>
      </c>
      <c r="J73" s="131"/>
    </row>
    <row r="74" spans="1:10" x14ac:dyDescent="0.3">
      <c r="A74" s="131"/>
      <c r="B74" s="134">
        <v>42611</v>
      </c>
      <c r="C74" s="135" t="s">
        <v>23</v>
      </c>
      <c r="D74" s="135" t="s">
        <v>29</v>
      </c>
      <c r="E74" s="135">
        <v>309</v>
      </c>
      <c r="F74" s="135">
        <v>307.89999999999998</v>
      </c>
      <c r="G74" s="135">
        <v>1.1000000000000001</v>
      </c>
      <c r="H74" s="135">
        <v>1000</v>
      </c>
      <c r="I74" s="135">
        <v>1100</v>
      </c>
      <c r="J74" s="131"/>
    </row>
    <row r="75" spans="1:10" x14ac:dyDescent="0.3">
      <c r="A75" s="131"/>
      <c r="B75" s="134">
        <v>42612</v>
      </c>
      <c r="C75" s="135" t="s">
        <v>23</v>
      </c>
      <c r="D75" s="135" t="s">
        <v>29</v>
      </c>
      <c r="E75" s="135">
        <v>308.5</v>
      </c>
      <c r="F75" s="135">
        <v>306.5</v>
      </c>
      <c r="G75" s="135">
        <v>2</v>
      </c>
      <c r="H75" s="135">
        <v>1000</v>
      </c>
      <c r="I75" s="135">
        <v>2000</v>
      </c>
      <c r="J75" s="131"/>
    </row>
    <row r="76" spans="1:10" x14ac:dyDescent="0.3">
      <c r="A76" s="131"/>
      <c r="B76" s="134">
        <v>42613</v>
      </c>
      <c r="C76" s="135" t="s">
        <v>23</v>
      </c>
      <c r="D76" s="135" t="s">
        <v>56</v>
      </c>
      <c r="E76" s="135">
        <v>108.7</v>
      </c>
      <c r="F76" s="135">
        <v>108</v>
      </c>
      <c r="G76" s="135">
        <v>0.7</v>
      </c>
      <c r="H76" s="135">
        <v>5000</v>
      </c>
      <c r="I76" s="135">
        <v>3500</v>
      </c>
      <c r="J76" s="131"/>
    </row>
    <row r="77" spans="1:10" x14ac:dyDescent="0.3">
      <c r="A77" s="131"/>
      <c r="B77" s="134"/>
      <c r="C77" s="135"/>
      <c r="D77" s="135"/>
      <c r="E77" s="135"/>
      <c r="F77" s="135"/>
      <c r="G77" s="135"/>
      <c r="H77" s="135"/>
      <c r="I77" s="135"/>
      <c r="J77" s="131"/>
    </row>
    <row r="78" spans="1:10" x14ac:dyDescent="0.3">
      <c r="A78" s="131"/>
      <c r="I78" s="135"/>
      <c r="J78" s="131"/>
    </row>
    <row r="79" spans="1:10" s="172" customFormat="1" ht="18" x14ac:dyDescent="0.35">
      <c r="A79" s="169"/>
      <c r="B79" s="170"/>
      <c r="C79" s="170"/>
      <c r="D79" s="170"/>
      <c r="E79" s="170"/>
      <c r="F79" s="170"/>
      <c r="G79" s="170"/>
      <c r="H79" s="107"/>
      <c r="I79" s="138">
        <v>54100</v>
      </c>
      <c r="J79" s="171"/>
    </row>
    <row r="80" spans="1:10" x14ac:dyDescent="0.3">
      <c r="A80" s="131"/>
      <c r="I80" s="73"/>
      <c r="J80" s="131"/>
    </row>
    <row r="81" spans="1:10" x14ac:dyDescent="0.3">
      <c r="A81" s="131"/>
      <c r="J81" s="131"/>
    </row>
    <row r="82" spans="1:10" x14ac:dyDescent="0.3">
      <c r="A82" s="131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C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85"/>
  <sheetViews>
    <sheetView workbookViewId="0"/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3">
        <v>42614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42614</v>
      </c>
      <c r="C6" s="135"/>
      <c r="D6" s="135"/>
      <c r="E6" s="135"/>
      <c r="F6" s="135"/>
      <c r="G6" s="135">
        <v>0</v>
      </c>
      <c r="H6" s="135">
        <v>0</v>
      </c>
      <c r="I6" s="135">
        <v>0</v>
      </c>
      <c r="J6" s="17"/>
      <c r="K6" s="71"/>
    </row>
    <row r="7" spans="1:15" x14ac:dyDescent="0.3">
      <c r="A7" s="17"/>
      <c r="B7" s="134">
        <v>42615</v>
      </c>
      <c r="C7" s="135" t="s">
        <v>16</v>
      </c>
      <c r="D7" s="135" t="s">
        <v>22</v>
      </c>
      <c r="E7" s="135">
        <v>45800</v>
      </c>
      <c r="F7" s="135">
        <v>46000</v>
      </c>
      <c r="G7" s="135">
        <v>200</v>
      </c>
      <c r="H7" s="135">
        <v>30</v>
      </c>
      <c r="I7" s="135">
        <v>6000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42619</v>
      </c>
      <c r="C8" s="151" t="s">
        <v>23</v>
      </c>
      <c r="D8" s="151" t="s">
        <v>24</v>
      </c>
      <c r="E8" s="151">
        <v>31050</v>
      </c>
      <c r="F8" s="151">
        <v>31150</v>
      </c>
      <c r="G8" s="151">
        <v>-100</v>
      </c>
      <c r="H8" s="151">
        <v>100</v>
      </c>
      <c r="I8" s="135">
        <v>-10000</v>
      </c>
      <c r="J8" s="17"/>
      <c r="K8" s="71" t="s">
        <v>257</v>
      </c>
      <c r="L8" s="165" t="s">
        <v>263</v>
      </c>
      <c r="M8" s="101" t="s">
        <v>392</v>
      </c>
      <c r="N8" s="101" t="s">
        <v>264</v>
      </c>
      <c r="O8" s="101" t="s">
        <v>262</v>
      </c>
    </row>
    <row r="9" spans="1:15" x14ac:dyDescent="0.3">
      <c r="A9" s="17"/>
      <c r="B9" s="134">
        <v>42620</v>
      </c>
      <c r="C9" s="151" t="s">
        <v>23</v>
      </c>
      <c r="D9" s="151" t="s">
        <v>24</v>
      </c>
      <c r="E9" s="151">
        <v>31360</v>
      </c>
      <c r="F9" s="151">
        <v>31260</v>
      </c>
      <c r="G9" s="151">
        <v>100</v>
      </c>
      <c r="H9" s="151">
        <v>100</v>
      </c>
      <c r="I9" s="135">
        <v>10000</v>
      </c>
      <c r="J9" s="17"/>
      <c r="K9" s="71" t="s">
        <v>258</v>
      </c>
      <c r="L9" s="165" t="s">
        <v>491</v>
      </c>
      <c r="M9" s="101" t="s">
        <v>298</v>
      </c>
      <c r="N9" s="101" t="s">
        <v>264</v>
      </c>
      <c r="O9" s="101" t="s">
        <v>262</v>
      </c>
    </row>
    <row r="10" spans="1:15" x14ac:dyDescent="0.3">
      <c r="A10" s="17"/>
      <c r="B10" s="134">
        <v>42621</v>
      </c>
      <c r="C10" s="135" t="s">
        <v>23</v>
      </c>
      <c r="D10" s="135" t="s">
        <v>24</v>
      </c>
      <c r="E10" s="135">
        <v>31320</v>
      </c>
      <c r="F10" s="135">
        <v>31180</v>
      </c>
      <c r="G10" s="135">
        <v>140</v>
      </c>
      <c r="H10" s="135">
        <v>100</v>
      </c>
      <c r="I10" s="135">
        <v>14000</v>
      </c>
      <c r="J10" s="17"/>
      <c r="K10" s="71" t="s">
        <v>259</v>
      </c>
      <c r="L10" s="165" t="s">
        <v>491</v>
      </c>
      <c r="M10" s="101" t="s">
        <v>267</v>
      </c>
      <c r="N10" s="101" t="s">
        <v>299</v>
      </c>
      <c r="O10" s="101" t="s">
        <v>262</v>
      </c>
    </row>
    <row r="11" spans="1:15" x14ac:dyDescent="0.3">
      <c r="A11" s="17"/>
      <c r="B11" s="134">
        <v>42622</v>
      </c>
      <c r="C11" s="135" t="s">
        <v>23</v>
      </c>
      <c r="D11" s="135" t="s">
        <v>24</v>
      </c>
      <c r="E11" s="135">
        <v>31170</v>
      </c>
      <c r="F11" s="135">
        <v>31270</v>
      </c>
      <c r="G11" s="135">
        <v>100</v>
      </c>
      <c r="H11" s="135">
        <v>100</v>
      </c>
      <c r="I11" s="135">
        <v>10000</v>
      </c>
      <c r="J11" s="17"/>
      <c r="K11" s="71" t="s">
        <v>300</v>
      </c>
      <c r="L11" s="104" t="s">
        <v>852</v>
      </c>
      <c r="M11" s="104" t="s">
        <v>438</v>
      </c>
      <c r="N11" s="104" t="s">
        <v>270</v>
      </c>
      <c r="O11" s="104" t="s">
        <v>262</v>
      </c>
    </row>
    <row r="12" spans="1:15" x14ac:dyDescent="0.3">
      <c r="A12" s="17"/>
      <c r="B12" s="134">
        <v>42625</v>
      </c>
      <c r="C12" s="135" t="s">
        <v>23</v>
      </c>
      <c r="D12" s="135" t="s">
        <v>24</v>
      </c>
      <c r="E12" s="135">
        <v>31130</v>
      </c>
      <c r="F12" s="135">
        <v>31200</v>
      </c>
      <c r="G12" s="135">
        <v>70</v>
      </c>
      <c r="H12" s="135">
        <v>100</v>
      </c>
      <c r="I12" s="135">
        <v>7000</v>
      </c>
      <c r="J12" s="17"/>
      <c r="K12" s="71"/>
    </row>
    <row r="13" spans="1:15" x14ac:dyDescent="0.3">
      <c r="A13" s="17"/>
      <c r="B13" s="134">
        <v>42627</v>
      </c>
      <c r="C13" s="135" t="s">
        <v>23</v>
      </c>
      <c r="D13" s="135" t="s">
        <v>24</v>
      </c>
      <c r="E13" s="135">
        <v>31080</v>
      </c>
      <c r="F13" s="135">
        <v>31015</v>
      </c>
      <c r="G13" s="135">
        <v>65</v>
      </c>
      <c r="H13" s="135">
        <v>100</v>
      </c>
      <c r="I13" s="135">
        <v>6500</v>
      </c>
      <c r="J13" s="17"/>
      <c r="K13" s="132"/>
      <c r="L13" s="127" t="s">
        <v>832</v>
      </c>
      <c r="M13" s="128"/>
      <c r="N13" s="133" t="s">
        <v>853</v>
      </c>
    </row>
    <row r="14" spans="1:15" x14ac:dyDescent="0.3">
      <c r="A14" s="17"/>
      <c r="B14" s="134">
        <v>42628</v>
      </c>
      <c r="C14" s="135" t="s">
        <v>23</v>
      </c>
      <c r="D14" s="135" t="s">
        <v>24</v>
      </c>
      <c r="E14" s="135">
        <v>31050</v>
      </c>
      <c r="F14" s="135">
        <v>31150</v>
      </c>
      <c r="G14" s="135">
        <v>-100</v>
      </c>
      <c r="H14" s="135">
        <v>100</v>
      </c>
      <c r="I14" s="135">
        <v>-10000</v>
      </c>
      <c r="J14" s="17"/>
      <c r="K14" s="71"/>
    </row>
    <row r="15" spans="1:15" x14ac:dyDescent="0.3">
      <c r="A15" s="17"/>
      <c r="B15" s="134">
        <v>42629</v>
      </c>
      <c r="C15" s="135" t="s">
        <v>23</v>
      </c>
      <c r="D15" s="135" t="s">
        <v>24</v>
      </c>
      <c r="E15" s="135">
        <v>30870</v>
      </c>
      <c r="F15" s="135">
        <v>30810</v>
      </c>
      <c r="G15" s="135">
        <v>60</v>
      </c>
      <c r="H15" s="135">
        <v>100</v>
      </c>
      <c r="I15" s="135">
        <v>6000</v>
      </c>
      <c r="J15" s="17"/>
      <c r="K15" s="71"/>
    </row>
    <row r="16" spans="1:15" x14ac:dyDescent="0.3">
      <c r="A16" s="17"/>
      <c r="B16" s="134">
        <v>42632</v>
      </c>
      <c r="C16" s="135" t="s">
        <v>23</v>
      </c>
      <c r="D16" s="135" t="s">
        <v>24</v>
      </c>
      <c r="E16" s="135">
        <v>30940</v>
      </c>
      <c r="F16" s="135">
        <v>30885</v>
      </c>
      <c r="G16" s="135">
        <v>55</v>
      </c>
      <c r="H16" s="135">
        <v>100</v>
      </c>
      <c r="I16" s="135">
        <v>5500</v>
      </c>
      <c r="J16" s="17"/>
      <c r="K16" s="71"/>
    </row>
    <row r="17" spans="1:11" x14ac:dyDescent="0.3">
      <c r="A17" s="17"/>
      <c r="B17" s="134">
        <v>42633</v>
      </c>
      <c r="C17" s="135" t="s">
        <v>23</v>
      </c>
      <c r="D17" s="135" t="s">
        <v>24</v>
      </c>
      <c r="E17" s="135">
        <v>30970</v>
      </c>
      <c r="F17" s="135">
        <v>30905</v>
      </c>
      <c r="G17" s="135">
        <v>65</v>
      </c>
      <c r="H17" s="135">
        <v>100</v>
      </c>
      <c r="I17" s="135">
        <v>6500</v>
      </c>
      <c r="J17" s="17"/>
      <c r="K17" s="71"/>
    </row>
    <row r="18" spans="1:11" x14ac:dyDescent="0.3">
      <c r="A18" s="17"/>
      <c r="B18" s="134">
        <v>42634</v>
      </c>
      <c r="C18" s="135" t="s">
        <v>16</v>
      </c>
      <c r="D18" s="135" t="s">
        <v>24</v>
      </c>
      <c r="E18" s="135">
        <v>31050</v>
      </c>
      <c r="F18" s="135">
        <v>31230</v>
      </c>
      <c r="G18" s="135">
        <v>180</v>
      </c>
      <c r="H18" s="135">
        <v>100</v>
      </c>
      <c r="I18" s="135">
        <v>18000</v>
      </c>
      <c r="J18" s="17"/>
      <c r="K18" s="71"/>
    </row>
    <row r="19" spans="1:11" x14ac:dyDescent="0.3">
      <c r="A19" s="17"/>
      <c r="B19" s="134">
        <v>42635</v>
      </c>
      <c r="C19" s="135" t="s">
        <v>23</v>
      </c>
      <c r="D19" s="135" t="s">
        <v>24</v>
      </c>
      <c r="E19" s="135">
        <v>31240</v>
      </c>
      <c r="F19" s="135">
        <v>31170</v>
      </c>
      <c r="G19" s="135">
        <v>70</v>
      </c>
      <c r="H19" s="135">
        <v>100</v>
      </c>
      <c r="I19" s="135">
        <v>7000</v>
      </c>
      <c r="J19" s="17"/>
      <c r="K19" s="71"/>
    </row>
    <row r="20" spans="1:11" x14ac:dyDescent="0.3">
      <c r="A20" s="17"/>
      <c r="B20" s="134">
        <v>42636</v>
      </c>
      <c r="C20" s="135" t="s">
        <v>16</v>
      </c>
      <c r="D20" s="135" t="s">
        <v>24</v>
      </c>
      <c r="E20" s="135">
        <v>31250</v>
      </c>
      <c r="F20" s="135">
        <v>31350</v>
      </c>
      <c r="G20" s="135">
        <v>100</v>
      </c>
      <c r="H20" s="135">
        <v>100</v>
      </c>
      <c r="I20" s="135">
        <v>10000</v>
      </c>
      <c r="J20" s="17"/>
      <c r="K20" s="71"/>
    </row>
    <row r="21" spans="1:11" x14ac:dyDescent="0.3">
      <c r="A21" s="17"/>
      <c r="B21" s="134">
        <v>42639</v>
      </c>
      <c r="C21" s="135" t="s">
        <v>16</v>
      </c>
      <c r="D21" s="135" t="s">
        <v>24</v>
      </c>
      <c r="E21" s="135">
        <v>31260</v>
      </c>
      <c r="F21" s="135">
        <v>31345</v>
      </c>
      <c r="G21" s="135">
        <v>85</v>
      </c>
      <c r="H21" s="135">
        <v>100</v>
      </c>
      <c r="I21" s="135">
        <v>8500</v>
      </c>
      <c r="J21" s="17"/>
      <c r="K21" s="71"/>
    </row>
    <row r="22" spans="1:11" x14ac:dyDescent="0.3">
      <c r="A22" s="17"/>
      <c r="B22" s="134">
        <v>42640</v>
      </c>
      <c r="C22" s="135" t="s">
        <v>16</v>
      </c>
      <c r="D22" s="135" t="s">
        <v>24</v>
      </c>
      <c r="E22" s="135">
        <v>31180</v>
      </c>
      <c r="F22" s="135">
        <v>31080</v>
      </c>
      <c r="G22" s="135">
        <v>-100</v>
      </c>
      <c r="H22" s="135">
        <v>100</v>
      </c>
      <c r="I22" s="135">
        <v>-10000</v>
      </c>
      <c r="J22" s="17"/>
      <c r="K22" s="71"/>
    </row>
    <row r="23" spans="1:11" x14ac:dyDescent="0.3">
      <c r="A23" s="17"/>
      <c r="B23" s="134">
        <v>42641</v>
      </c>
      <c r="C23" s="135" t="s">
        <v>16</v>
      </c>
      <c r="D23" s="135" t="s">
        <v>24</v>
      </c>
      <c r="E23" s="135">
        <v>30980</v>
      </c>
      <c r="F23" s="135">
        <v>30880</v>
      </c>
      <c r="G23" s="135">
        <v>-100</v>
      </c>
      <c r="H23" s="135">
        <v>100</v>
      </c>
      <c r="I23" s="135">
        <v>-10000</v>
      </c>
      <c r="J23" s="17"/>
    </row>
    <row r="24" spans="1:11" x14ac:dyDescent="0.3">
      <c r="A24" s="17"/>
      <c r="B24" s="134">
        <v>42642</v>
      </c>
      <c r="C24" s="135" t="s">
        <v>23</v>
      </c>
      <c r="D24" s="135" t="s">
        <v>24</v>
      </c>
      <c r="E24" s="135">
        <v>31140</v>
      </c>
      <c r="F24" s="135">
        <v>31000</v>
      </c>
      <c r="G24" s="135">
        <v>140</v>
      </c>
      <c r="H24" s="135">
        <v>100</v>
      </c>
      <c r="I24" s="135">
        <v>14000</v>
      </c>
      <c r="J24" s="17"/>
    </row>
    <row r="25" spans="1:11" x14ac:dyDescent="0.3">
      <c r="A25" s="17"/>
      <c r="B25" s="134">
        <v>42643</v>
      </c>
      <c r="C25" s="135" t="s">
        <v>16</v>
      </c>
      <c r="D25" s="135" t="s">
        <v>24</v>
      </c>
      <c r="E25" s="135">
        <v>31150</v>
      </c>
      <c r="F25" s="135">
        <v>31220</v>
      </c>
      <c r="G25" s="135">
        <v>70</v>
      </c>
      <c r="H25" s="135">
        <v>100</v>
      </c>
      <c r="I25" s="135">
        <v>7000</v>
      </c>
      <c r="J25" s="17"/>
    </row>
    <row r="26" spans="1:11" x14ac:dyDescent="0.3">
      <c r="A26" s="17"/>
      <c r="C26" s="135"/>
      <c r="D26" s="135"/>
      <c r="E26" s="135"/>
      <c r="F26" s="135"/>
      <c r="G26" s="135"/>
      <c r="H26" s="135"/>
      <c r="I26" s="135"/>
      <c r="J26" s="17"/>
    </row>
    <row r="27" spans="1:11" x14ac:dyDescent="0.3">
      <c r="A27" s="17"/>
      <c r="C27" s="151"/>
      <c r="D27" s="156"/>
      <c r="E27" s="156"/>
      <c r="F27" s="156"/>
      <c r="G27" s="156"/>
      <c r="H27" s="157"/>
      <c r="I27" s="135"/>
      <c r="J27" s="17"/>
    </row>
    <row r="28" spans="1:11" ht="17.399999999999999" x14ac:dyDescent="0.3">
      <c r="A28" s="17"/>
      <c r="C28" s="157"/>
      <c r="D28" s="156"/>
      <c r="E28" s="158"/>
      <c r="F28" s="157"/>
      <c r="G28" s="157"/>
      <c r="H28" s="157"/>
      <c r="I28" s="106">
        <v>96000</v>
      </c>
      <c r="J28" s="17"/>
    </row>
    <row r="29" spans="1:11" x14ac:dyDescent="0.3">
      <c r="A29" s="17"/>
      <c r="C29" s="157"/>
      <c r="D29" s="158"/>
      <c r="E29" s="158"/>
      <c r="F29" s="157"/>
      <c r="G29" s="157"/>
      <c r="H29" s="157"/>
      <c r="I29" s="157"/>
      <c r="J29" s="17"/>
    </row>
    <row r="30" spans="1:11" x14ac:dyDescent="0.3">
      <c r="A30" s="17"/>
      <c r="B30" s="164" t="s">
        <v>789</v>
      </c>
      <c r="C30" s="159"/>
      <c r="D30" s="160"/>
      <c r="E30" s="159"/>
      <c r="F30" s="159"/>
      <c r="G30" s="159"/>
      <c r="H30" s="159"/>
      <c r="I30" s="159"/>
      <c r="J30" s="17"/>
    </row>
    <row r="31" spans="1:11" x14ac:dyDescent="0.3">
      <c r="A31" s="17"/>
      <c r="B31" s="134">
        <v>42614</v>
      </c>
      <c r="C31" s="135" t="s">
        <v>23</v>
      </c>
      <c r="D31" s="135" t="s">
        <v>25</v>
      </c>
      <c r="E31" s="135">
        <v>3005</v>
      </c>
      <c r="F31" s="135">
        <v>2930</v>
      </c>
      <c r="G31" s="135">
        <v>75</v>
      </c>
      <c r="H31" s="135">
        <v>100</v>
      </c>
      <c r="I31" s="135">
        <v>7500</v>
      </c>
      <c r="J31" s="17"/>
    </row>
    <row r="32" spans="1:11" x14ac:dyDescent="0.3">
      <c r="A32" s="17"/>
      <c r="B32" s="134">
        <v>42615</v>
      </c>
      <c r="C32" s="135" t="s">
        <v>23</v>
      </c>
      <c r="D32" s="135" t="s">
        <v>26</v>
      </c>
      <c r="E32" s="135">
        <v>187</v>
      </c>
      <c r="F32" s="135">
        <v>186</v>
      </c>
      <c r="G32" s="135">
        <v>1</v>
      </c>
      <c r="H32" s="135">
        <v>1250</v>
      </c>
      <c r="I32" s="135">
        <v>1250</v>
      </c>
      <c r="J32" s="17"/>
    </row>
    <row r="33" spans="1:10" x14ac:dyDescent="0.3">
      <c r="A33" s="17"/>
      <c r="B33" s="134">
        <v>42619</v>
      </c>
      <c r="C33" s="135" t="s">
        <v>23</v>
      </c>
      <c r="D33" s="135" t="s">
        <v>25</v>
      </c>
      <c r="E33" s="135">
        <v>3010</v>
      </c>
      <c r="F33" s="135">
        <v>2930</v>
      </c>
      <c r="G33" s="135">
        <v>80</v>
      </c>
      <c r="H33" s="135">
        <v>100</v>
      </c>
      <c r="I33" s="135">
        <v>8000</v>
      </c>
      <c r="J33" s="17"/>
    </row>
    <row r="34" spans="1:10" x14ac:dyDescent="0.3">
      <c r="A34" s="17"/>
      <c r="B34" s="134">
        <v>42620</v>
      </c>
      <c r="C34" s="135" t="s">
        <v>23</v>
      </c>
      <c r="D34" s="135" t="s">
        <v>25</v>
      </c>
      <c r="E34" s="135">
        <v>3015</v>
      </c>
      <c r="F34" s="135">
        <v>2964</v>
      </c>
      <c r="G34" s="135">
        <v>51</v>
      </c>
      <c r="H34" s="135">
        <v>100</v>
      </c>
      <c r="I34" s="135">
        <v>5100</v>
      </c>
      <c r="J34" s="17"/>
    </row>
    <row r="35" spans="1:10" x14ac:dyDescent="0.3">
      <c r="A35" s="17"/>
      <c r="B35" s="134">
        <v>42621</v>
      </c>
      <c r="C35" s="135" t="s">
        <v>23</v>
      </c>
      <c r="D35" s="135" t="s">
        <v>25</v>
      </c>
      <c r="E35" s="135">
        <v>3090</v>
      </c>
      <c r="F35" s="135">
        <v>3050</v>
      </c>
      <c r="G35" s="135">
        <v>40</v>
      </c>
      <c r="H35" s="135">
        <v>100</v>
      </c>
      <c r="I35" s="135">
        <v>4000</v>
      </c>
      <c r="J35" s="17"/>
    </row>
    <row r="36" spans="1:10" x14ac:dyDescent="0.3">
      <c r="A36" s="17"/>
      <c r="B36" s="134">
        <v>42622</v>
      </c>
      <c r="C36" s="135" t="s">
        <v>23</v>
      </c>
      <c r="D36" s="135" t="s">
        <v>25</v>
      </c>
      <c r="E36" s="135">
        <v>3145</v>
      </c>
      <c r="F36" s="135">
        <v>3075</v>
      </c>
      <c r="G36" s="135">
        <v>70</v>
      </c>
      <c r="H36" s="135">
        <v>100</v>
      </c>
      <c r="I36" s="135">
        <v>7000</v>
      </c>
      <c r="J36" s="17"/>
    </row>
    <row r="37" spans="1:10" x14ac:dyDescent="0.3">
      <c r="A37" s="17"/>
      <c r="B37" s="134">
        <v>42625</v>
      </c>
      <c r="C37" s="135" t="s">
        <v>23</v>
      </c>
      <c r="D37" s="135" t="s">
        <v>25</v>
      </c>
      <c r="E37" s="135">
        <v>3020</v>
      </c>
      <c r="F37" s="135">
        <v>3000</v>
      </c>
      <c r="G37" s="135">
        <v>20</v>
      </c>
      <c r="H37" s="135">
        <v>100</v>
      </c>
      <c r="I37" s="135">
        <v>2000</v>
      </c>
      <c r="J37" s="17"/>
    </row>
    <row r="38" spans="1:10" x14ac:dyDescent="0.3">
      <c r="A38" s="17"/>
      <c r="B38" s="134">
        <v>42627</v>
      </c>
      <c r="C38" s="135" t="s">
        <v>23</v>
      </c>
      <c r="D38" s="135" t="s">
        <v>25</v>
      </c>
      <c r="E38" s="135">
        <v>3035</v>
      </c>
      <c r="F38" s="135">
        <v>2960</v>
      </c>
      <c r="G38" s="135">
        <v>75</v>
      </c>
      <c r="H38" s="135">
        <v>100</v>
      </c>
      <c r="I38" s="135">
        <v>7500</v>
      </c>
      <c r="J38" s="17"/>
    </row>
    <row r="39" spans="1:10" x14ac:dyDescent="0.3">
      <c r="A39" s="17"/>
      <c r="B39" s="134">
        <v>42628</v>
      </c>
      <c r="C39" s="135" t="s">
        <v>23</v>
      </c>
      <c r="D39" s="135" t="s">
        <v>25</v>
      </c>
      <c r="E39" s="135">
        <v>2935</v>
      </c>
      <c r="F39" s="135">
        <v>2900</v>
      </c>
      <c r="G39" s="135">
        <v>35</v>
      </c>
      <c r="H39" s="135">
        <v>100</v>
      </c>
      <c r="I39" s="135">
        <v>3500</v>
      </c>
      <c r="J39" s="17"/>
    </row>
    <row r="40" spans="1:10" x14ac:dyDescent="0.3">
      <c r="A40" s="17"/>
      <c r="B40" s="134">
        <v>42629</v>
      </c>
      <c r="C40" s="135" t="s">
        <v>23</v>
      </c>
      <c r="D40" s="135" t="s">
        <v>25</v>
      </c>
      <c r="E40" s="135">
        <v>2910</v>
      </c>
      <c r="F40" s="135">
        <v>2976</v>
      </c>
      <c r="G40" s="135">
        <v>34</v>
      </c>
      <c r="H40" s="135">
        <v>100</v>
      </c>
      <c r="I40" s="135">
        <v>3400</v>
      </c>
      <c r="J40" s="17"/>
    </row>
    <row r="41" spans="1:10" x14ac:dyDescent="0.3">
      <c r="A41" s="17"/>
      <c r="B41" s="134">
        <v>42632</v>
      </c>
      <c r="C41" s="135" t="s">
        <v>23</v>
      </c>
      <c r="D41" s="135" t="s">
        <v>25</v>
      </c>
      <c r="E41" s="135">
        <v>2930</v>
      </c>
      <c r="F41" s="135">
        <v>2900</v>
      </c>
      <c r="G41" s="135">
        <v>30</v>
      </c>
      <c r="H41" s="135">
        <v>100</v>
      </c>
      <c r="I41" s="135">
        <v>3000</v>
      </c>
      <c r="J41" s="17"/>
    </row>
    <row r="42" spans="1:10" x14ac:dyDescent="0.3">
      <c r="A42" s="17"/>
      <c r="B42" s="134">
        <v>42633</v>
      </c>
      <c r="C42" s="135" t="s">
        <v>23</v>
      </c>
      <c r="D42" s="135" t="s">
        <v>25</v>
      </c>
      <c r="E42" s="135">
        <v>2940</v>
      </c>
      <c r="F42" s="135">
        <v>2910</v>
      </c>
      <c r="G42" s="135">
        <v>30</v>
      </c>
      <c r="H42" s="135">
        <v>100</v>
      </c>
      <c r="I42" s="135">
        <v>3000</v>
      </c>
      <c r="J42" s="17"/>
    </row>
    <row r="43" spans="1:10" x14ac:dyDescent="0.3">
      <c r="A43" s="17"/>
      <c r="B43" s="134">
        <v>42634</v>
      </c>
      <c r="C43" s="135" t="s">
        <v>23</v>
      </c>
      <c r="D43" s="135" t="s">
        <v>25</v>
      </c>
      <c r="E43" s="135">
        <v>3035</v>
      </c>
      <c r="F43" s="135">
        <v>3018</v>
      </c>
      <c r="G43" s="135">
        <v>17</v>
      </c>
      <c r="H43" s="135">
        <v>100</v>
      </c>
      <c r="I43" s="135">
        <v>1700</v>
      </c>
      <c r="J43" s="17"/>
    </row>
    <row r="44" spans="1:10" x14ac:dyDescent="0.3">
      <c r="A44" s="17"/>
      <c r="B44" s="134">
        <v>42635</v>
      </c>
      <c r="C44" s="135" t="s">
        <v>23</v>
      </c>
      <c r="D44" s="135" t="s">
        <v>25</v>
      </c>
      <c r="E44" s="135">
        <v>3070</v>
      </c>
      <c r="F44" s="135">
        <v>3105</v>
      </c>
      <c r="G44" s="135">
        <v>-35</v>
      </c>
      <c r="H44" s="135">
        <v>100</v>
      </c>
      <c r="I44" s="135">
        <v>-3500</v>
      </c>
      <c r="J44" s="17"/>
    </row>
    <row r="45" spans="1:10" x14ac:dyDescent="0.3">
      <c r="A45" s="17"/>
      <c r="B45" s="134">
        <v>42636</v>
      </c>
      <c r="C45" s="135" t="s">
        <v>23</v>
      </c>
      <c r="D45" s="135" t="s">
        <v>25</v>
      </c>
      <c r="E45" s="135">
        <v>3065</v>
      </c>
      <c r="F45" s="135">
        <v>3045</v>
      </c>
      <c r="G45" s="135">
        <v>20</v>
      </c>
      <c r="H45" s="135">
        <v>100</v>
      </c>
      <c r="I45" s="135">
        <v>2000</v>
      </c>
      <c r="J45" s="17"/>
    </row>
    <row r="46" spans="1:10" x14ac:dyDescent="0.3">
      <c r="A46" s="17"/>
      <c r="B46" s="134">
        <v>42639</v>
      </c>
      <c r="C46" s="135" t="s">
        <v>23</v>
      </c>
      <c r="D46" s="135" t="s">
        <v>25</v>
      </c>
      <c r="E46" s="135">
        <v>2990</v>
      </c>
      <c r="F46" s="135">
        <v>3030</v>
      </c>
      <c r="G46" s="135">
        <v>-40</v>
      </c>
      <c r="H46" s="135">
        <v>100</v>
      </c>
      <c r="I46" s="135">
        <v>-4000</v>
      </c>
      <c r="J46" s="17"/>
    </row>
    <row r="47" spans="1:10" x14ac:dyDescent="0.3">
      <c r="A47" s="17"/>
      <c r="B47" s="134">
        <v>42640</v>
      </c>
      <c r="C47" s="135" t="s">
        <v>23</v>
      </c>
      <c r="D47" s="135" t="s">
        <v>25</v>
      </c>
      <c r="E47" s="135">
        <v>3050</v>
      </c>
      <c r="F47" s="135">
        <v>2975</v>
      </c>
      <c r="G47" s="135">
        <v>75</v>
      </c>
      <c r="H47" s="135">
        <v>100</v>
      </c>
      <c r="I47" s="135">
        <v>7500</v>
      </c>
      <c r="J47" s="17"/>
    </row>
    <row r="48" spans="1:10" x14ac:dyDescent="0.3">
      <c r="A48" s="17"/>
      <c r="B48" s="134">
        <v>42641</v>
      </c>
      <c r="C48" s="135" t="s">
        <v>16</v>
      </c>
      <c r="D48" s="135" t="s">
        <v>25</v>
      </c>
      <c r="E48" s="135">
        <v>3000</v>
      </c>
      <c r="F48" s="135">
        <v>3050</v>
      </c>
      <c r="G48" s="135">
        <v>50</v>
      </c>
      <c r="H48" s="135">
        <v>100</v>
      </c>
      <c r="I48" s="135">
        <v>5000</v>
      </c>
      <c r="J48" s="17"/>
    </row>
    <row r="49" spans="1:10" x14ac:dyDescent="0.3">
      <c r="A49" s="17"/>
      <c r="B49" s="134">
        <v>42642</v>
      </c>
      <c r="C49" s="135" t="s">
        <v>23</v>
      </c>
      <c r="D49" s="135" t="s">
        <v>25</v>
      </c>
      <c r="E49" s="135">
        <v>3145</v>
      </c>
      <c r="F49" s="135">
        <v>3180</v>
      </c>
      <c r="G49" s="135">
        <v>-35</v>
      </c>
      <c r="H49" s="135">
        <v>100</v>
      </c>
      <c r="I49" s="135">
        <v>-3500</v>
      </c>
      <c r="J49" s="17"/>
    </row>
    <row r="50" spans="1:10" x14ac:dyDescent="0.3">
      <c r="A50" s="17"/>
      <c r="B50" s="134">
        <v>42643</v>
      </c>
      <c r="C50" s="135" t="s">
        <v>23</v>
      </c>
      <c r="D50" s="135" t="s">
        <v>25</v>
      </c>
      <c r="E50" s="135">
        <v>3160</v>
      </c>
      <c r="F50" s="135">
        <v>3195</v>
      </c>
      <c r="G50" s="135">
        <v>-35</v>
      </c>
      <c r="H50" s="135">
        <v>100</v>
      </c>
      <c r="I50" s="135">
        <v>-3500</v>
      </c>
      <c r="J50" s="17"/>
    </row>
    <row r="51" spans="1:10" x14ac:dyDescent="0.3">
      <c r="A51" s="17"/>
      <c r="B51" s="134"/>
      <c r="C51" s="151"/>
      <c r="D51" s="151"/>
      <c r="E51" s="155"/>
      <c r="F51" s="155"/>
      <c r="G51" s="155"/>
      <c r="H51" s="161"/>
      <c r="I51" s="135"/>
      <c r="J51" s="17"/>
    </row>
    <row r="52" spans="1:10" x14ac:dyDescent="0.3">
      <c r="A52" s="17"/>
      <c r="B52" s="71"/>
      <c r="C52" s="135"/>
      <c r="D52" s="151"/>
      <c r="E52" s="135"/>
      <c r="F52" s="135"/>
      <c r="G52" s="135"/>
      <c r="H52" s="161"/>
      <c r="I52" s="162"/>
      <c r="J52" s="17"/>
    </row>
    <row r="53" spans="1:10" ht="18" x14ac:dyDescent="0.35">
      <c r="A53" s="142"/>
      <c r="B53" s="166"/>
      <c r="C53" s="137"/>
      <c r="D53" s="167"/>
      <c r="E53" s="137"/>
      <c r="F53" s="137"/>
      <c r="G53" s="137"/>
      <c r="H53" s="168"/>
      <c r="I53" s="106">
        <v>56950</v>
      </c>
      <c r="J53" s="17"/>
    </row>
    <row r="54" spans="1:10" x14ac:dyDescent="0.3">
      <c r="A54" s="17"/>
      <c r="B54" s="71"/>
      <c r="C54" s="157"/>
      <c r="D54" s="158"/>
      <c r="E54" s="157"/>
      <c r="F54" s="157"/>
      <c r="G54" s="157"/>
      <c r="H54" s="157"/>
      <c r="I54" s="157"/>
      <c r="J54" s="17"/>
    </row>
    <row r="55" spans="1:10" x14ac:dyDescent="0.3">
      <c r="A55" s="17"/>
      <c r="B55" s="164" t="s">
        <v>788</v>
      </c>
      <c r="C55" s="159"/>
      <c r="D55" s="160"/>
      <c r="E55" s="159"/>
      <c r="F55" s="159"/>
      <c r="G55" s="159"/>
      <c r="H55" s="159"/>
      <c r="I55" s="64"/>
      <c r="J55" s="17"/>
    </row>
    <row r="56" spans="1:10" x14ac:dyDescent="0.3">
      <c r="A56" s="17"/>
      <c r="B56" s="134">
        <v>42614</v>
      </c>
      <c r="C56" s="135" t="s">
        <v>23</v>
      </c>
      <c r="D56" s="135" t="s">
        <v>56</v>
      </c>
      <c r="E56" s="135">
        <v>107.6</v>
      </c>
      <c r="F56" s="135">
        <v>107</v>
      </c>
      <c r="G56" s="135">
        <v>0.6</v>
      </c>
      <c r="H56" s="135">
        <v>5000</v>
      </c>
      <c r="I56" s="135">
        <v>3000</v>
      </c>
      <c r="J56" s="17"/>
    </row>
    <row r="57" spans="1:10" x14ac:dyDescent="0.3">
      <c r="A57" s="17"/>
      <c r="B57" s="134">
        <v>42615</v>
      </c>
      <c r="C57" s="135" t="s">
        <v>23</v>
      </c>
      <c r="D57" s="135" t="s">
        <v>56</v>
      </c>
      <c r="E57" s="135">
        <v>107.7</v>
      </c>
      <c r="F57" s="135">
        <v>107</v>
      </c>
      <c r="G57" s="135">
        <v>0.7</v>
      </c>
      <c r="H57" s="135">
        <v>5000</v>
      </c>
      <c r="I57" s="135">
        <v>3500</v>
      </c>
      <c r="J57" s="17"/>
    </row>
    <row r="58" spans="1:10" x14ac:dyDescent="0.3">
      <c r="A58" s="17"/>
      <c r="B58" s="134">
        <v>42619</v>
      </c>
      <c r="C58" s="135" t="s">
        <v>23</v>
      </c>
      <c r="D58" s="135" t="s">
        <v>28</v>
      </c>
      <c r="E58" s="135">
        <v>155.5</v>
      </c>
      <c r="F58" s="135">
        <v>153.80000000000001</v>
      </c>
      <c r="G58" s="135">
        <v>1.7</v>
      </c>
      <c r="H58" s="135">
        <v>5000</v>
      </c>
      <c r="I58" s="135">
        <v>8500</v>
      </c>
      <c r="J58" s="131"/>
    </row>
    <row r="59" spans="1:10" x14ac:dyDescent="0.3">
      <c r="A59" s="131"/>
      <c r="B59" s="134">
        <v>42620</v>
      </c>
      <c r="C59" s="135" t="s">
        <v>23</v>
      </c>
      <c r="D59" s="135" t="s">
        <v>28</v>
      </c>
      <c r="E59" s="135">
        <v>155.1</v>
      </c>
      <c r="F59" s="135">
        <v>154.1</v>
      </c>
      <c r="G59" s="135">
        <v>1</v>
      </c>
      <c r="H59" s="135">
        <v>5000</v>
      </c>
      <c r="I59" s="135">
        <v>5000</v>
      </c>
      <c r="J59" s="131"/>
    </row>
    <row r="60" spans="1:10" x14ac:dyDescent="0.3">
      <c r="A60" s="131"/>
      <c r="B60" s="134">
        <v>42621</v>
      </c>
      <c r="C60" s="135" t="s">
        <v>23</v>
      </c>
      <c r="D60" s="135" t="s">
        <v>28</v>
      </c>
      <c r="E60" s="135">
        <v>153.69999999999999</v>
      </c>
      <c r="F60" s="135">
        <v>152.30000000000001</v>
      </c>
      <c r="G60" s="135">
        <v>1.4</v>
      </c>
      <c r="H60" s="135">
        <v>5000</v>
      </c>
      <c r="I60" s="135">
        <v>7000</v>
      </c>
      <c r="J60" s="131"/>
    </row>
    <row r="61" spans="1:10" x14ac:dyDescent="0.3">
      <c r="A61" s="131"/>
      <c r="B61" s="134">
        <v>42622</v>
      </c>
      <c r="C61" s="135" t="s">
        <v>23</v>
      </c>
      <c r="D61" s="135" t="s">
        <v>28</v>
      </c>
      <c r="E61" s="135">
        <v>153.5</v>
      </c>
      <c r="F61" s="135">
        <v>152.80000000000001</v>
      </c>
      <c r="G61" s="135">
        <v>0.7</v>
      </c>
      <c r="H61" s="135">
        <v>5000</v>
      </c>
      <c r="I61" s="135">
        <v>3500</v>
      </c>
      <c r="J61" s="131"/>
    </row>
    <row r="62" spans="1:10" x14ac:dyDescent="0.3">
      <c r="A62" s="131"/>
      <c r="B62" s="134">
        <v>42625</v>
      </c>
      <c r="C62" s="135" t="s">
        <v>23</v>
      </c>
      <c r="D62" s="135" t="s">
        <v>28</v>
      </c>
      <c r="E62" s="135">
        <v>151.30000000000001</v>
      </c>
      <c r="F62" s="135">
        <v>150.5</v>
      </c>
      <c r="G62" s="135">
        <v>0.8</v>
      </c>
      <c r="H62" s="135">
        <v>5000</v>
      </c>
      <c r="I62" s="135">
        <v>4000</v>
      </c>
      <c r="J62" s="131"/>
    </row>
    <row r="63" spans="1:10" x14ac:dyDescent="0.3">
      <c r="A63" s="131"/>
      <c r="B63" s="134">
        <v>42627</v>
      </c>
      <c r="C63" s="135" t="s">
        <v>23</v>
      </c>
      <c r="D63" s="135" t="s">
        <v>28</v>
      </c>
      <c r="E63" s="135">
        <v>149.19999999999999</v>
      </c>
      <c r="F63" s="135">
        <v>150</v>
      </c>
      <c r="G63" s="135">
        <v>-0.8</v>
      </c>
      <c r="H63" s="135">
        <v>5000</v>
      </c>
      <c r="I63" s="135">
        <v>-4000</v>
      </c>
      <c r="J63" s="131"/>
    </row>
    <row r="64" spans="1:10" x14ac:dyDescent="0.3">
      <c r="A64" s="131"/>
      <c r="B64" s="134">
        <v>42628</v>
      </c>
      <c r="C64" s="135" t="s">
        <v>23</v>
      </c>
      <c r="D64" s="135" t="s">
        <v>28</v>
      </c>
      <c r="E64" s="135">
        <v>151.6</v>
      </c>
      <c r="F64" s="135">
        <v>150</v>
      </c>
      <c r="G64" s="135">
        <v>1.6</v>
      </c>
      <c r="H64" s="135">
        <v>5000</v>
      </c>
      <c r="I64" s="135">
        <v>8000</v>
      </c>
      <c r="J64" s="131"/>
    </row>
    <row r="65" spans="1:10" x14ac:dyDescent="0.3">
      <c r="A65" s="131"/>
      <c r="B65" s="134">
        <v>42629</v>
      </c>
      <c r="C65" s="135" t="s">
        <v>23</v>
      </c>
      <c r="D65" s="135" t="s">
        <v>28</v>
      </c>
      <c r="E65" s="135">
        <v>148.30000000000001</v>
      </c>
      <c r="F65" s="135">
        <v>147.6</v>
      </c>
      <c r="G65" s="135">
        <v>0.7</v>
      </c>
      <c r="H65" s="135">
        <v>5000</v>
      </c>
      <c r="I65" s="135">
        <v>3500</v>
      </c>
      <c r="J65" s="131"/>
    </row>
    <row r="66" spans="1:10" x14ac:dyDescent="0.3">
      <c r="A66" s="131"/>
      <c r="B66" s="134">
        <v>42632</v>
      </c>
      <c r="C66" s="135" t="s">
        <v>23</v>
      </c>
      <c r="D66" s="135" t="s">
        <v>28</v>
      </c>
      <c r="E66" s="135">
        <v>147.80000000000001</v>
      </c>
      <c r="F66" s="135">
        <v>148.5</v>
      </c>
      <c r="G66" s="135">
        <v>-0.7</v>
      </c>
      <c r="H66" s="135">
        <v>5000</v>
      </c>
      <c r="I66" s="135">
        <v>-3500</v>
      </c>
      <c r="J66" s="131"/>
    </row>
    <row r="67" spans="1:10" x14ac:dyDescent="0.3">
      <c r="A67" s="131"/>
      <c r="B67" s="134">
        <v>42633</v>
      </c>
      <c r="C67" s="135" t="s">
        <v>23</v>
      </c>
      <c r="D67" s="135" t="s">
        <v>56</v>
      </c>
      <c r="E67" s="135">
        <v>105.8</v>
      </c>
      <c r="F67" s="135">
        <v>105.2</v>
      </c>
      <c r="G67" s="135">
        <v>0.6</v>
      </c>
      <c r="H67" s="135">
        <v>5000</v>
      </c>
      <c r="I67" s="135">
        <v>3000</v>
      </c>
      <c r="J67" s="131"/>
    </row>
    <row r="68" spans="1:10" x14ac:dyDescent="0.3">
      <c r="A68" s="131"/>
      <c r="B68" s="134">
        <v>42634</v>
      </c>
      <c r="C68" s="135" t="s">
        <v>23</v>
      </c>
      <c r="D68" s="135" t="s">
        <v>56</v>
      </c>
      <c r="E68" s="135">
        <v>105.25</v>
      </c>
      <c r="F68" s="135">
        <v>105.7</v>
      </c>
      <c r="G68" s="135">
        <v>-0.45</v>
      </c>
      <c r="H68" s="135">
        <v>5000</v>
      </c>
      <c r="I68" s="135">
        <v>-2250</v>
      </c>
      <c r="J68" s="131"/>
    </row>
    <row r="69" spans="1:10" x14ac:dyDescent="0.3">
      <c r="A69" s="131"/>
      <c r="B69" s="134">
        <v>42635</v>
      </c>
      <c r="C69" s="135" t="s">
        <v>23</v>
      </c>
      <c r="D69" s="135" t="s">
        <v>27</v>
      </c>
      <c r="E69" s="135">
        <v>129.9</v>
      </c>
      <c r="F69" s="135">
        <v>129.30000000000001</v>
      </c>
      <c r="G69" s="135">
        <v>0.6</v>
      </c>
      <c r="H69" s="135">
        <v>5000</v>
      </c>
      <c r="I69" s="135">
        <v>3000</v>
      </c>
      <c r="J69" s="131"/>
    </row>
    <row r="70" spans="1:10" x14ac:dyDescent="0.3">
      <c r="A70" s="131"/>
      <c r="B70" s="134">
        <v>42636</v>
      </c>
      <c r="C70" s="135" t="s">
        <v>23</v>
      </c>
      <c r="D70" s="135" t="s">
        <v>27</v>
      </c>
      <c r="E70" s="135">
        <v>129.9</v>
      </c>
      <c r="F70" s="135">
        <v>127.2</v>
      </c>
      <c r="G70" s="135">
        <v>1.7</v>
      </c>
      <c r="H70" s="135">
        <v>5000</v>
      </c>
      <c r="I70" s="135">
        <v>8500</v>
      </c>
      <c r="J70" s="131"/>
    </row>
    <row r="71" spans="1:10" x14ac:dyDescent="0.3">
      <c r="A71" s="131"/>
      <c r="B71" s="134">
        <v>42639</v>
      </c>
      <c r="C71" s="135" t="s">
        <v>23</v>
      </c>
      <c r="D71" s="135" t="s">
        <v>28</v>
      </c>
      <c r="E71" s="135">
        <v>150.19999999999999</v>
      </c>
      <c r="F71" s="135">
        <v>145.5</v>
      </c>
      <c r="G71" s="135">
        <v>0.7</v>
      </c>
      <c r="H71" s="135">
        <v>5000</v>
      </c>
      <c r="I71" s="135">
        <v>3500</v>
      </c>
      <c r="J71" s="131"/>
    </row>
    <row r="72" spans="1:10" x14ac:dyDescent="0.3">
      <c r="A72" s="131"/>
      <c r="B72" s="134">
        <v>42640</v>
      </c>
      <c r="C72" s="135" t="s">
        <v>23</v>
      </c>
      <c r="D72" s="135" t="s">
        <v>27</v>
      </c>
      <c r="E72" s="135">
        <v>129.69999999999999</v>
      </c>
      <c r="F72" s="135">
        <v>129.30000000000001</v>
      </c>
      <c r="G72" s="135">
        <v>0.4</v>
      </c>
      <c r="H72" s="135">
        <v>5000</v>
      </c>
      <c r="I72" s="135">
        <v>2000</v>
      </c>
      <c r="J72" s="131"/>
    </row>
    <row r="73" spans="1:10" x14ac:dyDescent="0.3">
      <c r="A73" s="131"/>
      <c r="B73" s="134">
        <v>42641</v>
      </c>
      <c r="C73" s="135" t="s">
        <v>16</v>
      </c>
      <c r="D73" s="135" t="s">
        <v>28</v>
      </c>
      <c r="E73" s="135">
        <v>154.19999999999999</v>
      </c>
      <c r="F73" s="135">
        <v>154.6</v>
      </c>
      <c r="G73" s="135">
        <v>0.4</v>
      </c>
      <c r="H73" s="135">
        <v>5000</v>
      </c>
      <c r="I73" s="135">
        <v>2000</v>
      </c>
      <c r="J73" s="131"/>
    </row>
    <row r="74" spans="1:10" x14ac:dyDescent="0.3">
      <c r="A74" s="131"/>
      <c r="B74" s="134">
        <v>42642</v>
      </c>
      <c r="C74" s="135" t="s">
        <v>16</v>
      </c>
      <c r="D74" s="135" t="s">
        <v>28</v>
      </c>
      <c r="E74" s="135">
        <v>156.5</v>
      </c>
      <c r="F74" s="135">
        <v>157.6</v>
      </c>
      <c r="G74" s="135">
        <v>1.1000000000000001</v>
      </c>
      <c r="H74" s="135">
        <v>5000</v>
      </c>
      <c r="I74" s="135">
        <v>5500</v>
      </c>
      <c r="J74" s="131"/>
    </row>
    <row r="75" spans="1:10" x14ac:dyDescent="0.3">
      <c r="A75" s="131"/>
      <c r="B75" s="134">
        <v>42643</v>
      </c>
      <c r="C75" s="135" t="s">
        <v>16</v>
      </c>
      <c r="D75" s="135" t="s">
        <v>28</v>
      </c>
      <c r="E75" s="135">
        <v>156.80000000000001</v>
      </c>
      <c r="F75" s="135">
        <v>158.5</v>
      </c>
      <c r="G75" s="135">
        <v>1.7</v>
      </c>
      <c r="H75" s="135">
        <v>5000</v>
      </c>
      <c r="I75" s="135">
        <f>H75*G75</f>
        <v>8500</v>
      </c>
      <c r="J75" s="131"/>
    </row>
    <row r="76" spans="1:10" x14ac:dyDescent="0.3">
      <c r="A76" s="131"/>
      <c r="B76" s="134"/>
      <c r="C76" s="135"/>
      <c r="D76" s="135"/>
      <c r="E76" s="135"/>
      <c r="F76" s="135"/>
      <c r="G76" s="135"/>
      <c r="H76" s="135"/>
      <c r="I76" s="135"/>
      <c r="J76" s="131"/>
    </row>
    <row r="77" spans="1:10" x14ac:dyDescent="0.3">
      <c r="A77" s="131"/>
      <c r="B77" s="134"/>
      <c r="C77" s="135"/>
      <c r="D77" s="135"/>
      <c r="E77" s="135"/>
      <c r="F77" s="135"/>
      <c r="G77" s="135"/>
      <c r="H77" s="135"/>
      <c r="I77" s="135"/>
      <c r="J77" s="131"/>
    </row>
    <row r="78" spans="1:10" s="172" customFormat="1" ht="18" x14ac:dyDescent="0.35">
      <c r="A78" s="169"/>
      <c r="B78" s="170"/>
      <c r="C78" s="170"/>
      <c r="D78" s="170"/>
      <c r="E78" s="170"/>
      <c r="F78" s="170"/>
      <c r="G78" s="170"/>
      <c r="H78" s="107"/>
      <c r="I78" s="138">
        <v>72250</v>
      </c>
      <c r="J78" s="171"/>
    </row>
    <row r="79" spans="1:10" x14ac:dyDescent="0.3">
      <c r="A79" s="131"/>
      <c r="I79" s="73"/>
      <c r="J79" s="131"/>
    </row>
    <row r="80" spans="1:10" x14ac:dyDescent="0.3">
      <c r="A80" s="131"/>
      <c r="J80" s="131"/>
    </row>
    <row r="81" spans="1:10" x14ac:dyDescent="0.3">
      <c r="A81" s="131"/>
      <c r="J81" s="131"/>
    </row>
    <row r="82" spans="1:10" x14ac:dyDescent="0.3">
      <c r="A82" s="131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D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82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3">
        <v>42644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42646</v>
      </c>
      <c r="C6" s="135" t="s">
        <v>16</v>
      </c>
      <c r="D6" s="135" t="s">
        <v>24</v>
      </c>
      <c r="E6" s="135">
        <v>30950</v>
      </c>
      <c r="F6" s="135">
        <v>31020</v>
      </c>
      <c r="G6" s="135">
        <v>70</v>
      </c>
      <c r="H6" s="135">
        <v>100</v>
      </c>
      <c r="I6" s="135">
        <v>7000</v>
      </c>
      <c r="J6" s="17"/>
      <c r="K6" s="71"/>
    </row>
    <row r="7" spans="1:15" x14ac:dyDescent="0.3">
      <c r="A7" s="17"/>
      <c r="B7" s="134">
        <v>42647</v>
      </c>
      <c r="C7" s="135" t="s">
        <v>23</v>
      </c>
      <c r="D7" s="135" t="s">
        <v>24</v>
      </c>
      <c r="E7" s="135">
        <v>30840</v>
      </c>
      <c r="F7" s="135">
        <v>30640</v>
      </c>
      <c r="G7" s="135">
        <v>200</v>
      </c>
      <c r="H7" s="135">
        <v>100</v>
      </c>
      <c r="I7" s="135">
        <v>20000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42648</v>
      </c>
      <c r="C8" s="151" t="s">
        <v>23</v>
      </c>
      <c r="D8" s="151" t="s">
        <v>24</v>
      </c>
      <c r="E8" s="151">
        <v>30020</v>
      </c>
      <c r="F8" s="151">
        <v>29920</v>
      </c>
      <c r="G8" s="151">
        <v>100</v>
      </c>
      <c r="H8" s="151">
        <v>100</v>
      </c>
      <c r="I8" s="135">
        <v>10000</v>
      </c>
      <c r="J8" s="17"/>
      <c r="K8" s="71" t="s">
        <v>257</v>
      </c>
      <c r="L8" s="165" t="s">
        <v>263</v>
      </c>
      <c r="M8" s="101" t="s">
        <v>392</v>
      </c>
      <c r="N8" s="101" t="s">
        <v>261</v>
      </c>
      <c r="O8" s="101" t="s">
        <v>261</v>
      </c>
    </row>
    <row r="9" spans="1:15" x14ac:dyDescent="0.3">
      <c r="A9" s="17"/>
      <c r="B9" s="134">
        <v>42649</v>
      </c>
      <c r="C9" s="151" t="s">
        <v>23</v>
      </c>
      <c r="D9" s="151" t="s">
        <v>24</v>
      </c>
      <c r="E9" s="151">
        <v>29840</v>
      </c>
      <c r="F9" s="151">
        <v>29940</v>
      </c>
      <c r="G9" s="151">
        <v>-100</v>
      </c>
      <c r="H9" s="151">
        <v>100</v>
      </c>
      <c r="I9" s="135">
        <v>-10000</v>
      </c>
      <c r="J9" s="17"/>
      <c r="K9" s="71" t="s">
        <v>258</v>
      </c>
      <c r="L9" s="165" t="s">
        <v>263</v>
      </c>
      <c r="M9" s="101" t="s">
        <v>291</v>
      </c>
      <c r="N9" s="101" t="s">
        <v>266</v>
      </c>
      <c r="O9" s="101" t="s">
        <v>262</v>
      </c>
    </row>
    <row r="10" spans="1:15" x14ac:dyDescent="0.3">
      <c r="A10" s="17"/>
      <c r="B10" s="134">
        <v>42649</v>
      </c>
      <c r="C10" s="151" t="s">
        <v>23</v>
      </c>
      <c r="D10" s="151" t="s">
        <v>24</v>
      </c>
      <c r="E10" s="151">
        <v>29820</v>
      </c>
      <c r="F10" s="151">
        <v>29620</v>
      </c>
      <c r="G10" s="151">
        <v>200</v>
      </c>
      <c r="H10" s="151">
        <v>100</v>
      </c>
      <c r="I10" s="135">
        <v>20000</v>
      </c>
      <c r="J10" s="17"/>
      <c r="K10" s="71" t="s">
        <v>259</v>
      </c>
      <c r="L10" s="165" t="s">
        <v>263</v>
      </c>
      <c r="M10" s="101" t="s">
        <v>392</v>
      </c>
      <c r="N10" s="101" t="s">
        <v>264</v>
      </c>
      <c r="O10" s="101" t="s">
        <v>262</v>
      </c>
    </row>
    <row r="11" spans="1:15" x14ac:dyDescent="0.3">
      <c r="A11" s="17"/>
      <c r="B11" s="134">
        <v>42650</v>
      </c>
      <c r="C11" s="135" t="s">
        <v>16</v>
      </c>
      <c r="D11" s="135" t="s">
        <v>24</v>
      </c>
      <c r="E11" s="135">
        <v>29660</v>
      </c>
      <c r="F11" s="135">
        <v>29840</v>
      </c>
      <c r="G11" s="135">
        <v>180</v>
      </c>
      <c r="H11" s="135">
        <v>100</v>
      </c>
      <c r="I11" s="135">
        <v>18000</v>
      </c>
      <c r="J11" s="17"/>
      <c r="K11" s="71" t="s">
        <v>300</v>
      </c>
      <c r="L11" s="104" t="s">
        <v>775</v>
      </c>
      <c r="M11" s="104" t="s">
        <v>845</v>
      </c>
      <c r="N11" s="104" t="s">
        <v>270</v>
      </c>
      <c r="O11" s="104" t="s">
        <v>261</v>
      </c>
    </row>
    <row r="12" spans="1:15" x14ac:dyDescent="0.3">
      <c r="A12" s="17"/>
      <c r="B12" s="134">
        <v>42653</v>
      </c>
      <c r="C12" s="135" t="s">
        <v>23</v>
      </c>
      <c r="D12" s="135" t="s">
        <v>24</v>
      </c>
      <c r="E12" s="135">
        <v>29780</v>
      </c>
      <c r="F12" s="135">
        <v>29640</v>
      </c>
      <c r="G12" s="135">
        <v>140</v>
      </c>
      <c r="H12" s="135">
        <v>100</v>
      </c>
      <c r="I12" s="135">
        <v>14000</v>
      </c>
      <c r="J12" s="17"/>
    </row>
    <row r="13" spans="1:15" x14ac:dyDescent="0.3">
      <c r="A13" s="17"/>
      <c r="B13" s="134">
        <v>42656</v>
      </c>
      <c r="C13" s="135" t="s">
        <v>16</v>
      </c>
      <c r="D13" s="135" t="s">
        <v>24</v>
      </c>
      <c r="E13" s="135">
        <v>29810</v>
      </c>
      <c r="F13" s="135">
        <v>29870</v>
      </c>
      <c r="G13" s="135">
        <v>60</v>
      </c>
      <c r="H13" s="135">
        <v>100</v>
      </c>
      <c r="I13" s="135">
        <v>6000</v>
      </c>
      <c r="J13" s="17"/>
      <c r="K13" s="71"/>
    </row>
    <row r="14" spans="1:15" x14ac:dyDescent="0.3">
      <c r="A14" s="17"/>
      <c r="B14" s="134">
        <v>42657</v>
      </c>
      <c r="C14" s="135" t="s">
        <v>23</v>
      </c>
      <c r="D14" s="135" t="s">
        <v>24</v>
      </c>
      <c r="E14" s="135">
        <v>29700</v>
      </c>
      <c r="F14" s="135">
        <v>29500</v>
      </c>
      <c r="G14" s="135">
        <v>200</v>
      </c>
      <c r="H14" s="135">
        <v>100</v>
      </c>
      <c r="I14" s="135">
        <v>20000</v>
      </c>
      <c r="J14" s="17"/>
      <c r="K14" s="132"/>
      <c r="L14" s="127" t="s">
        <v>832</v>
      </c>
      <c r="M14" s="128"/>
      <c r="N14" s="133" t="s">
        <v>854</v>
      </c>
    </row>
    <row r="15" spans="1:15" x14ac:dyDescent="0.3">
      <c r="A15" s="17"/>
      <c r="B15" s="134">
        <v>42660</v>
      </c>
      <c r="C15" s="135" t="s">
        <v>23</v>
      </c>
      <c r="D15" s="135" t="s">
        <v>24</v>
      </c>
      <c r="E15" s="135">
        <v>29640</v>
      </c>
      <c r="F15" s="135">
        <v>29680</v>
      </c>
      <c r="G15" s="135">
        <v>-40</v>
      </c>
      <c r="H15" s="135">
        <v>100</v>
      </c>
      <c r="I15" s="135">
        <v>-4000</v>
      </c>
      <c r="J15" s="17"/>
      <c r="K15" s="71"/>
    </row>
    <row r="16" spans="1:15" x14ac:dyDescent="0.3">
      <c r="A16" s="17"/>
      <c r="B16" s="134">
        <v>42661</v>
      </c>
      <c r="C16" s="135" t="s">
        <v>23</v>
      </c>
      <c r="D16" s="135" t="s">
        <v>24</v>
      </c>
      <c r="E16" s="135">
        <v>29790</v>
      </c>
      <c r="F16" s="135">
        <v>29690</v>
      </c>
      <c r="G16" s="135">
        <v>100</v>
      </c>
      <c r="H16" s="135">
        <v>100</v>
      </c>
      <c r="I16" s="135">
        <v>10000</v>
      </c>
      <c r="J16" s="17"/>
      <c r="K16" s="71"/>
    </row>
    <row r="17" spans="1:11" x14ac:dyDescent="0.3">
      <c r="A17" s="17"/>
      <c r="B17" s="134">
        <v>42662</v>
      </c>
      <c r="C17" s="135" t="s">
        <v>16</v>
      </c>
      <c r="D17" s="135" t="s">
        <v>24</v>
      </c>
      <c r="E17" s="135">
        <v>29780</v>
      </c>
      <c r="F17" s="135">
        <v>29980</v>
      </c>
      <c r="G17" s="135">
        <v>200</v>
      </c>
      <c r="H17" s="135">
        <v>100</v>
      </c>
      <c r="I17" s="135">
        <v>20000</v>
      </c>
      <c r="J17" s="17"/>
      <c r="K17" s="71"/>
    </row>
    <row r="18" spans="1:11" x14ac:dyDescent="0.3">
      <c r="A18" s="17"/>
      <c r="B18" s="134">
        <v>42663</v>
      </c>
      <c r="C18" s="135" t="s">
        <v>23</v>
      </c>
      <c r="D18" s="135" t="s">
        <v>24</v>
      </c>
      <c r="E18" s="135">
        <v>29960</v>
      </c>
      <c r="F18" s="135">
        <v>29890</v>
      </c>
      <c r="G18" s="135">
        <v>70</v>
      </c>
      <c r="H18" s="135">
        <v>100</v>
      </c>
      <c r="I18" s="135">
        <v>7000</v>
      </c>
      <c r="J18" s="17"/>
      <c r="K18" s="71"/>
    </row>
    <row r="19" spans="1:11" x14ac:dyDescent="0.3">
      <c r="A19" s="17"/>
      <c r="B19" s="134">
        <v>42664</v>
      </c>
      <c r="C19" s="135" t="s">
        <v>23</v>
      </c>
      <c r="D19" s="135" t="s">
        <v>24</v>
      </c>
      <c r="E19" s="135">
        <v>29880</v>
      </c>
      <c r="F19" s="135">
        <v>29920</v>
      </c>
      <c r="G19" s="135">
        <v>-40</v>
      </c>
      <c r="H19" s="135">
        <v>100</v>
      </c>
      <c r="I19" s="135">
        <v>-4000</v>
      </c>
      <c r="J19" s="17"/>
      <c r="K19" s="71"/>
    </row>
    <row r="20" spans="1:11" x14ac:dyDescent="0.3">
      <c r="A20" s="17"/>
      <c r="B20" s="134">
        <v>42667</v>
      </c>
      <c r="C20" s="135" t="s">
        <v>23</v>
      </c>
      <c r="D20" s="135" t="s">
        <v>24</v>
      </c>
      <c r="E20" s="135">
        <v>29870</v>
      </c>
      <c r="F20" s="135">
        <v>29770</v>
      </c>
      <c r="G20" s="135">
        <v>100</v>
      </c>
      <c r="H20" s="135">
        <v>100</v>
      </c>
      <c r="I20" s="135">
        <v>10000</v>
      </c>
      <c r="J20" s="17"/>
      <c r="K20" s="71"/>
    </row>
    <row r="21" spans="1:11" x14ac:dyDescent="0.3">
      <c r="A21" s="17"/>
      <c r="B21" s="134">
        <v>42668</v>
      </c>
      <c r="C21" s="135" t="s">
        <v>23</v>
      </c>
      <c r="D21" s="135" t="s">
        <v>24</v>
      </c>
      <c r="E21" s="135">
        <v>29870</v>
      </c>
      <c r="F21" s="135">
        <v>29970</v>
      </c>
      <c r="G21" s="135">
        <v>-100</v>
      </c>
      <c r="H21" s="135">
        <v>100</v>
      </c>
      <c r="I21" s="135">
        <v>-10000</v>
      </c>
      <c r="J21" s="17"/>
      <c r="K21" s="71"/>
    </row>
    <row r="22" spans="1:11" x14ac:dyDescent="0.3">
      <c r="A22" s="17"/>
      <c r="B22" s="134">
        <v>42669</v>
      </c>
      <c r="C22" s="135" t="s">
        <v>23</v>
      </c>
      <c r="D22" s="135" t="s">
        <v>24</v>
      </c>
      <c r="E22" s="135">
        <v>29970</v>
      </c>
      <c r="F22" s="135">
        <v>29810</v>
      </c>
      <c r="G22" s="135">
        <v>160</v>
      </c>
      <c r="H22" s="135">
        <v>100</v>
      </c>
      <c r="I22" s="135">
        <v>16000</v>
      </c>
      <c r="J22" s="17"/>
      <c r="K22" s="71"/>
    </row>
    <row r="23" spans="1:11" x14ac:dyDescent="0.3">
      <c r="A23" s="17"/>
      <c r="B23" s="134">
        <v>42670</v>
      </c>
      <c r="C23" s="135" t="s">
        <v>16</v>
      </c>
      <c r="D23" s="135" t="s">
        <v>24</v>
      </c>
      <c r="E23" s="135">
        <v>29900</v>
      </c>
      <c r="F23" s="135">
        <v>29960</v>
      </c>
      <c r="G23" s="135">
        <v>60</v>
      </c>
      <c r="H23" s="135">
        <v>100</v>
      </c>
      <c r="I23" s="135">
        <v>6000</v>
      </c>
      <c r="J23" s="17"/>
      <c r="K23" s="71"/>
    </row>
    <row r="24" spans="1:11" x14ac:dyDescent="0.3">
      <c r="A24" s="17"/>
      <c r="B24" s="134">
        <v>42671</v>
      </c>
      <c r="C24" s="135" t="s">
        <v>23</v>
      </c>
      <c r="D24" s="135" t="s">
        <v>24</v>
      </c>
      <c r="E24" s="135">
        <v>29920</v>
      </c>
      <c r="F24" s="135">
        <v>29720</v>
      </c>
      <c r="G24" s="135">
        <v>200</v>
      </c>
      <c r="H24" s="135">
        <v>100</v>
      </c>
      <c r="I24" s="135">
        <v>20000</v>
      </c>
      <c r="J24" s="17"/>
    </row>
    <row r="25" spans="1:11" x14ac:dyDescent="0.3">
      <c r="A25" s="17"/>
      <c r="B25" s="134"/>
      <c r="C25" s="135"/>
      <c r="D25" s="135"/>
      <c r="E25" s="135"/>
      <c r="F25" s="135"/>
      <c r="G25" s="135"/>
      <c r="H25" s="135"/>
      <c r="I25" s="135"/>
      <c r="J25" s="17"/>
    </row>
    <row r="26" spans="1:11" x14ac:dyDescent="0.3">
      <c r="A26" s="17"/>
      <c r="B26" s="134"/>
      <c r="C26" s="135"/>
      <c r="D26" s="135"/>
      <c r="E26" s="135"/>
      <c r="F26" s="135"/>
      <c r="G26" s="135"/>
      <c r="H26" s="135"/>
      <c r="I26" s="135"/>
      <c r="J26" s="17"/>
    </row>
    <row r="27" spans="1:11" x14ac:dyDescent="0.3">
      <c r="A27" s="17"/>
      <c r="B27" s="134"/>
      <c r="C27" s="135"/>
      <c r="D27" s="135"/>
      <c r="E27" s="135"/>
      <c r="F27" s="135"/>
      <c r="G27" s="135"/>
      <c r="H27" s="135"/>
      <c r="I27" s="135"/>
      <c r="J27" s="17"/>
    </row>
    <row r="28" spans="1:11" x14ac:dyDescent="0.3">
      <c r="A28" s="17"/>
      <c r="C28" s="151"/>
      <c r="D28" s="156"/>
      <c r="E28" s="156"/>
      <c r="F28" s="156"/>
      <c r="G28" s="156"/>
      <c r="H28" s="157"/>
      <c r="I28" s="135"/>
      <c r="J28" s="17"/>
    </row>
    <row r="29" spans="1:11" ht="17.399999999999999" x14ac:dyDescent="0.3">
      <c r="A29" s="17"/>
      <c r="C29" s="157"/>
      <c r="D29" s="156"/>
      <c r="E29" s="158"/>
      <c r="F29" s="157"/>
      <c r="G29" s="157"/>
      <c r="H29" s="157"/>
      <c r="I29" s="106">
        <v>176000</v>
      </c>
      <c r="J29" s="17"/>
    </row>
    <row r="30" spans="1:11" x14ac:dyDescent="0.3">
      <c r="A30" s="17"/>
      <c r="C30" s="157"/>
      <c r="D30" s="158"/>
      <c r="E30" s="158"/>
      <c r="F30" s="157"/>
      <c r="G30" s="157"/>
      <c r="H30" s="157"/>
      <c r="I30" s="157"/>
      <c r="J30" s="17"/>
    </row>
    <row r="31" spans="1:11" x14ac:dyDescent="0.3">
      <c r="A31" s="17"/>
      <c r="B31" s="164" t="s">
        <v>789</v>
      </c>
      <c r="C31" s="159"/>
      <c r="D31" s="160"/>
      <c r="E31" s="159"/>
      <c r="F31" s="159"/>
      <c r="G31" s="159"/>
      <c r="H31" s="159"/>
      <c r="I31" s="159"/>
      <c r="J31" s="17"/>
    </row>
    <row r="32" spans="1:11" x14ac:dyDescent="0.3">
      <c r="A32" s="17"/>
      <c r="B32" s="134">
        <v>42646</v>
      </c>
      <c r="C32" s="135" t="s">
        <v>23</v>
      </c>
      <c r="D32" s="135" t="s">
        <v>25</v>
      </c>
      <c r="E32" s="135">
        <v>3225</v>
      </c>
      <c r="F32" s="135">
        <v>3295</v>
      </c>
      <c r="G32" s="135">
        <v>30</v>
      </c>
      <c r="H32" s="135">
        <v>100</v>
      </c>
      <c r="I32" s="135">
        <v>3000</v>
      </c>
      <c r="J32" s="17"/>
    </row>
    <row r="33" spans="1:10" x14ac:dyDescent="0.3">
      <c r="A33" s="17"/>
      <c r="B33" s="134">
        <v>42647</v>
      </c>
      <c r="C33" s="135" t="s">
        <v>23</v>
      </c>
      <c r="D33" s="135" t="s">
        <v>25</v>
      </c>
      <c r="E33" s="135">
        <v>3235</v>
      </c>
      <c r="F33" s="135">
        <v>3270</v>
      </c>
      <c r="G33" s="135">
        <v>-35</v>
      </c>
      <c r="H33" s="135">
        <v>100</v>
      </c>
      <c r="I33" s="135">
        <v>-3500</v>
      </c>
      <c r="J33" s="17"/>
    </row>
    <row r="34" spans="1:10" x14ac:dyDescent="0.3">
      <c r="A34" s="17"/>
      <c r="B34" s="134">
        <v>42648</v>
      </c>
      <c r="C34" s="135" t="s">
        <v>16</v>
      </c>
      <c r="D34" s="135" t="s">
        <v>25</v>
      </c>
      <c r="E34" s="135">
        <v>3290</v>
      </c>
      <c r="F34" s="135">
        <v>3330</v>
      </c>
      <c r="G34" s="135">
        <v>40</v>
      </c>
      <c r="H34" s="135">
        <v>100</v>
      </c>
      <c r="I34" s="135">
        <v>4000</v>
      </c>
      <c r="J34" s="17"/>
    </row>
    <row r="35" spans="1:10" x14ac:dyDescent="0.3">
      <c r="A35" s="17"/>
      <c r="B35" s="134">
        <v>42649</v>
      </c>
      <c r="C35" s="135" t="s">
        <v>23</v>
      </c>
      <c r="D35" s="135" t="s">
        <v>25</v>
      </c>
      <c r="E35" s="135">
        <v>3300</v>
      </c>
      <c r="F35" s="135">
        <v>3340</v>
      </c>
      <c r="G35" s="135">
        <v>-40</v>
      </c>
      <c r="H35" s="135">
        <v>100</v>
      </c>
      <c r="I35" s="135">
        <v>-4000</v>
      </c>
      <c r="J35" s="17"/>
    </row>
    <row r="36" spans="1:10" x14ac:dyDescent="0.3">
      <c r="A36" s="17"/>
      <c r="B36" s="134">
        <v>42649</v>
      </c>
      <c r="C36" s="135" t="s">
        <v>23</v>
      </c>
      <c r="D36" s="135" t="s">
        <v>25</v>
      </c>
      <c r="E36" s="135">
        <v>3360</v>
      </c>
      <c r="F36" s="135">
        <v>3300</v>
      </c>
      <c r="G36" s="135">
        <v>60</v>
      </c>
      <c r="H36" s="135">
        <v>100</v>
      </c>
      <c r="I36" s="135">
        <v>6000</v>
      </c>
      <c r="J36" s="17"/>
    </row>
    <row r="37" spans="1:10" x14ac:dyDescent="0.3">
      <c r="A37" s="17"/>
      <c r="B37" s="134">
        <v>42650</v>
      </c>
      <c r="C37" s="135" t="s">
        <v>23</v>
      </c>
      <c r="D37" s="135" t="s">
        <v>25</v>
      </c>
      <c r="E37" s="135">
        <v>3305</v>
      </c>
      <c r="F37" s="135">
        <v>3340</v>
      </c>
      <c r="G37" s="135">
        <v>-35</v>
      </c>
      <c r="H37" s="135">
        <v>100</v>
      </c>
      <c r="I37" s="135">
        <v>-3500</v>
      </c>
      <c r="J37" s="17"/>
    </row>
    <row r="38" spans="1:10" x14ac:dyDescent="0.3">
      <c r="A38" s="17"/>
      <c r="B38" s="134">
        <v>42653</v>
      </c>
      <c r="C38" s="135" t="s">
        <v>23</v>
      </c>
      <c r="D38" s="135" t="s">
        <v>25</v>
      </c>
      <c r="E38" s="135">
        <v>3355</v>
      </c>
      <c r="F38" s="135">
        <v>3310</v>
      </c>
      <c r="G38" s="135">
        <v>45</v>
      </c>
      <c r="H38" s="135">
        <v>100</v>
      </c>
      <c r="I38" s="135">
        <v>4500</v>
      </c>
      <c r="J38" s="17"/>
    </row>
    <row r="39" spans="1:10" x14ac:dyDescent="0.3">
      <c r="A39" s="17"/>
      <c r="B39" s="134">
        <v>42656</v>
      </c>
      <c r="C39" s="135" t="s">
        <v>16</v>
      </c>
      <c r="D39" s="135" t="s">
        <v>25</v>
      </c>
      <c r="E39" s="135">
        <v>3405</v>
      </c>
      <c r="F39" s="135">
        <v>3370</v>
      </c>
      <c r="G39" s="135">
        <v>-35</v>
      </c>
      <c r="H39" s="135">
        <v>100</v>
      </c>
      <c r="I39" s="135">
        <v>-3500</v>
      </c>
      <c r="J39" s="17"/>
    </row>
    <row r="40" spans="1:10" x14ac:dyDescent="0.3">
      <c r="A40" s="17"/>
      <c r="B40" s="134">
        <v>42657</v>
      </c>
      <c r="C40" s="135" t="s">
        <v>23</v>
      </c>
      <c r="D40" s="135" t="s">
        <v>25</v>
      </c>
      <c r="E40" s="135">
        <v>3370</v>
      </c>
      <c r="F40" s="135">
        <v>3330</v>
      </c>
      <c r="G40" s="135">
        <v>40</v>
      </c>
      <c r="H40" s="135">
        <v>100</v>
      </c>
      <c r="I40" s="135">
        <v>4000</v>
      </c>
      <c r="J40" s="17"/>
    </row>
    <row r="41" spans="1:10" x14ac:dyDescent="0.3">
      <c r="A41" s="17"/>
      <c r="B41" s="134">
        <v>42660</v>
      </c>
      <c r="C41" s="135" t="s">
        <v>16</v>
      </c>
      <c r="D41" s="135" t="s">
        <v>25</v>
      </c>
      <c r="E41" s="135">
        <v>3350</v>
      </c>
      <c r="F41" s="135">
        <v>3370</v>
      </c>
      <c r="G41" s="135">
        <v>20</v>
      </c>
      <c r="H41" s="135">
        <v>100</v>
      </c>
      <c r="I41" s="135">
        <v>2000</v>
      </c>
      <c r="J41" s="17"/>
    </row>
    <row r="42" spans="1:10" x14ac:dyDescent="0.3">
      <c r="A42" s="17"/>
      <c r="B42" s="134">
        <v>42661</v>
      </c>
      <c r="C42" s="135" t="s">
        <v>23</v>
      </c>
      <c r="D42" s="135" t="s">
        <v>25</v>
      </c>
      <c r="E42" s="135">
        <v>3360</v>
      </c>
      <c r="F42" s="135">
        <v>3321</v>
      </c>
      <c r="G42" s="135">
        <v>39</v>
      </c>
      <c r="H42" s="135">
        <v>100</v>
      </c>
      <c r="I42" s="135">
        <v>3900</v>
      </c>
      <c r="J42" s="17"/>
    </row>
    <row r="43" spans="1:10" x14ac:dyDescent="0.3">
      <c r="A43" s="17"/>
      <c r="B43" s="134">
        <v>42662</v>
      </c>
      <c r="C43" s="135" t="s">
        <v>16</v>
      </c>
      <c r="D43" s="135" t="s">
        <v>25</v>
      </c>
      <c r="E43" s="135">
        <v>3390</v>
      </c>
      <c r="F43" s="135">
        <v>3455</v>
      </c>
      <c r="G43" s="135">
        <v>65</v>
      </c>
      <c r="H43" s="135">
        <v>100</v>
      </c>
      <c r="I43" s="135">
        <v>6500</v>
      </c>
      <c r="J43" s="17"/>
    </row>
    <row r="44" spans="1:10" x14ac:dyDescent="0.3">
      <c r="A44" s="17"/>
      <c r="B44" s="134">
        <v>42663</v>
      </c>
      <c r="C44" s="135" t="s">
        <v>23</v>
      </c>
      <c r="D44" s="135" t="s">
        <v>25</v>
      </c>
      <c r="E44" s="135">
        <v>3440</v>
      </c>
      <c r="F44" s="135">
        <v>3390</v>
      </c>
      <c r="G44" s="135">
        <v>50</v>
      </c>
      <c r="H44" s="135">
        <v>100</v>
      </c>
      <c r="I44" s="135">
        <v>5000</v>
      </c>
      <c r="J44" s="17"/>
    </row>
    <row r="45" spans="1:10" x14ac:dyDescent="0.3">
      <c r="A45" s="17"/>
      <c r="B45" s="134">
        <v>42664</v>
      </c>
      <c r="C45" s="135" t="s">
        <v>23</v>
      </c>
      <c r="D45" s="135" t="s">
        <v>25</v>
      </c>
      <c r="E45" s="135">
        <v>3415</v>
      </c>
      <c r="F45" s="135">
        <v>3375</v>
      </c>
      <c r="G45" s="135">
        <v>40</v>
      </c>
      <c r="H45" s="135">
        <v>100</v>
      </c>
      <c r="I45" s="135">
        <v>4000</v>
      </c>
      <c r="J45" s="17"/>
    </row>
    <row r="46" spans="1:10" x14ac:dyDescent="0.3">
      <c r="A46" s="17"/>
      <c r="B46" s="134">
        <v>42667</v>
      </c>
      <c r="C46" s="135" t="s">
        <v>23</v>
      </c>
      <c r="D46" s="135" t="s">
        <v>25</v>
      </c>
      <c r="E46" s="135">
        <v>3415</v>
      </c>
      <c r="F46" s="135">
        <v>3340</v>
      </c>
      <c r="G46" s="135">
        <v>75</v>
      </c>
      <c r="H46" s="135">
        <v>100</v>
      </c>
      <c r="I46" s="135">
        <v>7500</v>
      </c>
      <c r="J46" s="17"/>
    </row>
    <row r="47" spans="1:10" x14ac:dyDescent="0.3">
      <c r="A47" s="17"/>
      <c r="B47" s="134">
        <v>42668</v>
      </c>
      <c r="C47" s="135" t="s">
        <v>23</v>
      </c>
      <c r="D47" s="135" t="s">
        <v>25</v>
      </c>
      <c r="E47" s="135">
        <v>3410</v>
      </c>
      <c r="F47" s="135">
        <v>3340</v>
      </c>
      <c r="G47" s="135">
        <v>70</v>
      </c>
      <c r="H47" s="135">
        <v>100</v>
      </c>
      <c r="I47" s="135">
        <v>7000</v>
      </c>
      <c r="J47" s="17"/>
    </row>
    <row r="48" spans="1:10" x14ac:dyDescent="0.3">
      <c r="A48" s="17"/>
      <c r="B48" s="134">
        <v>42669</v>
      </c>
      <c r="C48" s="135" t="s">
        <v>23</v>
      </c>
      <c r="D48" s="135" t="s">
        <v>25</v>
      </c>
      <c r="E48" s="135">
        <v>3310</v>
      </c>
      <c r="F48" s="135">
        <v>3278</v>
      </c>
      <c r="G48" s="135">
        <v>32</v>
      </c>
      <c r="H48" s="135">
        <v>100</v>
      </c>
      <c r="I48" s="135">
        <v>3200</v>
      </c>
      <c r="J48" s="17"/>
    </row>
    <row r="49" spans="1:10" x14ac:dyDescent="0.3">
      <c r="A49" s="17"/>
      <c r="B49" s="134">
        <v>42670</v>
      </c>
      <c r="C49" s="135" t="s">
        <v>23</v>
      </c>
      <c r="D49" s="135" t="s">
        <v>25</v>
      </c>
      <c r="E49" s="135">
        <v>3300</v>
      </c>
      <c r="F49" s="135">
        <v>3340</v>
      </c>
      <c r="G49" s="135">
        <v>-40</v>
      </c>
      <c r="H49" s="135">
        <v>100</v>
      </c>
      <c r="I49" s="135">
        <v>-4000</v>
      </c>
      <c r="J49" s="17"/>
    </row>
    <row r="50" spans="1:10" x14ac:dyDescent="0.3">
      <c r="A50" s="17"/>
      <c r="B50" s="134">
        <v>42671</v>
      </c>
      <c r="C50" s="135" t="s">
        <v>23</v>
      </c>
      <c r="D50" s="135" t="s">
        <v>25</v>
      </c>
      <c r="E50" s="135">
        <v>3335</v>
      </c>
      <c r="F50" s="135">
        <v>3290</v>
      </c>
      <c r="G50" s="135">
        <v>45</v>
      </c>
      <c r="H50" s="135">
        <v>100</v>
      </c>
      <c r="I50" s="135">
        <v>4500</v>
      </c>
      <c r="J50" s="17"/>
    </row>
    <row r="51" spans="1:10" x14ac:dyDescent="0.3">
      <c r="A51" s="17"/>
      <c r="B51" s="134"/>
      <c r="C51" s="135"/>
      <c r="D51" s="135"/>
      <c r="E51" s="135"/>
      <c r="F51" s="135"/>
      <c r="G51" s="135"/>
      <c r="H51" s="135"/>
      <c r="I51" s="135"/>
      <c r="J51" s="17"/>
    </row>
    <row r="52" spans="1:10" ht="18" x14ac:dyDescent="0.35">
      <c r="A52" s="142"/>
      <c r="B52" s="166"/>
      <c r="C52" s="137"/>
      <c r="D52" s="167"/>
      <c r="E52" s="137"/>
      <c r="F52" s="137"/>
      <c r="G52" s="137"/>
      <c r="H52" s="168"/>
      <c r="I52" s="106">
        <v>46600</v>
      </c>
      <c r="J52" s="17"/>
    </row>
    <row r="53" spans="1:10" x14ac:dyDescent="0.3">
      <c r="A53" s="17"/>
      <c r="B53" s="71"/>
      <c r="C53" s="157"/>
      <c r="D53" s="158"/>
      <c r="E53" s="157"/>
      <c r="F53" s="157"/>
      <c r="G53" s="157"/>
      <c r="H53" s="157"/>
      <c r="I53" s="157"/>
      <c r="J53" s="17"/>
    </row>
    <row r="54" spans="1:10" x14ac:dyDescent="0.3">
      <c r="A54" s="17"/>
      <c r="B54" s="164" t="s">
        <v>788</v>
      </c>
      <c r="C54" s="159"/>
      <c r="D54" s="160"/>
      <c r="E54" s="159"/>
      <c r="F54" s="159"/>
      <c r="G54" s="159"/>
      <c r="H54" s="159"/>
      <c r="I54" s="64"/>
      <c r="J54" s="17"/>
    </row>
    <row r="55" spans="1:10" x14ac:dyDescent="0.3">
      <c r="A55" s="17"/>
      <c r="B55" s="134">
        <v>42646</v>
      </c>
      <c r="C55" s="135" t="s">
        <v>23</v>
      </c>
      <c r="D55" s="135" t="s">
        <v>27</v>
      </c>
      <c r="E55" s="135">
        <v>140.69999999999999</v>
      </c>
      <c r="F55" s="135">
        <v>139</v>
      </c>
      <c r="G55" s="135">
        <v>1.7</v>
      </c>
      <c r="H55" s="135">
        <v>5000</v>
      </c>
      <c r="I55" s="135">
        <v>8500</v>
      </c>
      <c r="J55" s="17"/>
    </row>
    <row r="56" spans="1:10" x14ac:dyDescent="0.3">
      <c r="A56" s="17"/>
      <c r="B56" s="134">
        <v>42647</v>
      </c>
      <c r="C56" s="135" t="s">
        <v>23</v>
      </c>
      <c r="D56" s="135" t="s">
        <v>27</v>
      </c>
      <c r="E56" s="135">
        <v>138.5</v>
      </c>
      <c r="F56" s="135">
        <v>137.4</v>
      </c>
      <c r="G56" s="135">
        <v>1.1000000000000001</v>
      </c>
      <c r="H56" s="135">
        <v>5000</v>
      </c>
      <c r="I56" s="135">
        <v>5500</v>
      </c>
      <c r="J56" s="17"/>
    </row>
    <row r="57" spans="1:10" x14ac:dyDescent="0.3">
      <c r="A57" s="17"/>
      <c r="B57" s="134">
        <v>42648</v>
      </c>
      <c r="C57" s="135" t="s">
        <v>23</v>
      </c>
      <c r="D57" s="135" t="s">
        <v>27</v>
      </c>
      <c r="E57" s="135">
        <v>137.19999999999999</v>
      </c>
      <c r="F57" s="135">
        <v>136</v>
      </c>
      <c r="G57" s="135">
        <v>1.2</v>
      </c>
      <c r="H57" s="135">
        <v>5000</v>
      </c>
      <c r="I57" s="135">
        <v>6000</v>
      </c>
      <c r="J57" s="131"/>
    </row>
    <row r="58" spans="1:10" x14ac:dyDescent="0.3">
      <c r="A58" s="131"/>
      <c r="B58" s="134">
        <v>42649</v>
      </c>
      <c r="C58" s="135" t="s">
        <v>23</v>
      </c>
      <c r="D58" s="135" t="s">
        <v>27</v>
      </c>
      <c r="E58" s="135">
        <v>135.5</v>
      </c>
      <c r="F58" s="135">
        <v>136.6</v>
      </c>
      <c r="G58" s="135">
        <v>-1</v>
      </c>
      <c r="H58" s="135">
        <v>5000</v>
      </c>
      <c r="I58" s="135">
        <v>-5000</v>
      </c>
      <c r="J58" s="131"/>
    </row>
    <row r="59" spans="1:10" x14ac:dyDescent="0.3">
      <c r="A59" s="131"/>
      <c r="B59" s="134">
        <v>42649</v>
      </c>
      <c r="C59" s="135" t="s">
        <v>23</v>
      </c>
      <c r="D59" s="135" t="s">
        <v>28</v>
      </c>
      <c r="E59" s="135">
        <v>154.69999999999999</v>
      </c>
      <c r="F59" s="135">
        <v>154.30000000000001</v>
      </c>
      <c r="G59" s="135">
        <v>0.4</v>
      </c>
      <c r="H59" s="135">
        <v>5000</v>
      </c>
      <c r="I59" s="135">
        <v>2000</v>
      </c>
      <c r="J59" s="131"/>
    </row>
    <row r="60" spans="1:10" x14ac:dyDescent="0.3">
      <c r="A60" s="131"/>
      <c r="B60" s="134">
        <v>42650</v>
      </c>
      <c r="C60" s="135" t="s">
        <v>23</v>
      </c>
      <c r="D60" s="135" t="s">
        <v>28</v>
      </c>
      <c r="E60" s="135">
        <v>155.19999999999999</v>
      </c>
      <c r="F60" s="135">
        <v>154.19999999999999</v>
      </c>
      <c r="G60" s="135">
        <v>1</v>
      </c>
      <c r="H60" s="135">
        <v>5000</v>
      </c>
      <c r="I60" s="135">
        <v>5000</v>
      </c>
      <c r="J60" s="131"/>
    </row>
    <row r="61" spans="1:10" x14ac:dyDescent="0.3">
      <c r="A61" s="131"/>
      <c r="B61" s="134">
        <v>42653</v>
      </c>
      <c r="C61" s="135" t="s">
        <v>23</v>
      </c>
      <c r="D61" s="135" t="s">
        <v>28</v>
      </c>
      <c r="E61" s="135">
        <v>155.80000000000001</v>
      </c>
      <c r="F61" s="135">
        <v>154</v>
      </c>
      <c r="G61" s="135">
        <v>1.8</v>
      </c>
      <c r="H61" s="135">
        <v>5000</v>
      </c>
      <c r="I61" s="135">
        <v>9000</v>
      </c>
      <c r="J61" s="131"/>
    </row>
    <row r="62" spans="1:10" x14ac:dyDescent="0.3">
      <c r="A62" s="131"/>
      <c r="B62" s="134">
        <v>42656</v>
      </c>
      <c r="C62" s="135" t="s">
        <v>23</v>
      </c>
      <c r="D62" s="135" t="s">
        <v>28</v>
      </c>
      <c r="E62" s="135">
        <v>150</v>
      </c>
      <c r="F62" s="135">
        <v>148.30000000000001</v>
      </c>
      <c r="G62" s="135">
        <v>1.7</v>
      </c>
      <c r="H62" s="135">
        <v>5000</v>
      </c>
      <c r="I62" s="135">
        <v>8500</v>
      </c>
      <c r="J62" s="131"/>
    </row>
    <row r="63" spans="1:10" x14ac:dyDescent="0.3">
      <c r="A63" s="131"/>
      <c r="B63" s="134">
        <v>42657</v>
      </c>
      <c r="C63" s="135" t="s">
        <v>23</v>
      </c>
      <c r="D63" s="135" t="s">
        <v>28</v>
      </c>
      <c r="E63" s="135">
        <v>150.30000000000001</v>
      </c>
      <c r="F63" s="135">
        <v>149.35</v>
      </c>
      <c r="G63" s="135">
        <v>0.95</v>
      </c>
      <c r="H63" s="135">
        <v>5000</v>
      </c>
      <c r="I63" s="135">
        <v>4750</v>
      </c>
      <c r="J63" s="131"/>
    </row>
    <row r="64" spans="1:10" x14ac:dyDescent="0.3">
      <c r="A64" s="131"/>
      <c r="B64" s="134">
        <v>42660</v>
      </c>
      <c r="C64" s="135" t="s">
        <v>23</v>
      </c>
      <c r="D64" s="135" t="s">
        <v>56</v>
      </c>
      <c r="E64" s="135">
        <v>111</v>
      </c>
      <c r="F64" s="135">
        <v>109.9</v>
      </c>
      <c r="G64" s="135">
        <v>1.1000000000000001</v>
      </c>
      <c r="H64" s="135">
        <v>5000</v>
      </c>
      <c r="I64" s="135">
        <v>5500</v>
      </c>
      <c r="J64" s="131"/>
    </row>
    <row r="65" spans="1:10" x14ac:dyDescent="0.3">
      <c r="A65" s="131"/>
      <c r="B65" s="134">
        <v>42661</v>
      </c>
      <c r="C65" s="135" t="s">
        <v>23</v>
      </c>
      <c r="D65" s="135" t="s">
        <v>56</v>
      </c>
      <c r="E65" s="135">
        <v>111.3</v>
      </c>
      <c r="F65" s="135">
        <v>109.5</v>
      </c>
      <c r="G65" s="135">
        <v>1.8</v>
      </c>
      <c r="H65" s="135">
        <v>5000</v>
      </c>
      <c r="I65" s="135">
        <v>9000</v>
      </c>
      <c r="J65" s="131"/>
    </row>
    <row r="66" spans="1:10" x14ac:dyDescent="0.3">
      <c r="A66" s="131"/>
      <c r="B66" s="134">
        <v>42662</v>
      </c>
      <c r="C66" s="135" t="s">
        <v>23</v>
      </c>
      <c r="D66" s="135" t="s">
        <v>56</v>
      </c>
      <c r="E66" s="135">
        <v>108.8</v>
      </c>
      <c r="F66" s="135">
        <v>107.7</v>
      </c>
      <c r="G66" s="135">
        <v>1.1000000000000001</v>
      </c>
      <c r="H66" s="135">
        <v>5000</v>
      </c>
      <c r="I66" s="135">
        <v>5500</v>
      </c>
      <c r="J66" s="131"/>
    </row>
    <row r="67" spans="1:10" x14ac:dyDescent="0.3">
      <c r="A67" s="131"/>
      <c r="B67" s="134">
        <v>42663</v>
      </c>
      <c r="C67" s="135" t="s">
        <v>23</v>
      </c>
      <c r="D67" s="135" t="s">
        <v>56</v>
      </c>
      <c r="E67" s="135">
        <v>107.8</v>
      </c>
      <c r="F67" s="135">
        <v>107.2</v>
      </c>
      <c r="G67" s="135">
        <v>0.6</v>
      </c>
      <c r="H67" s="135">
        <v>5000</v>
      </c>
      <c r="I67" s="135">
        <v>3000</v>
      </c>
      <c r="J67" s="131"/>
    </row>
    <row r="68" spans="1:10" x14ac:dyDescent="0.3">
      <c r="A68" s="131"/>
      <c r="B68" s="134">
        <v>42664</v>
      </c>
      <c r="C68" s="135" t="s">
        <v>23</v>
      </c>
      <c r="D68" s="135" t="s">
        <v>56</v>
      </c>
      <c r="E68" s="135">
        <v>108</v>
      </c>
      <c r="F68" s="135">
        <v>107.6</v>
      </c>
      <c r="G68" s="135">
        <v>0.4</v>
      </c>
      <c r="H68" s="135">
        <v>5000</v>
      </c>
      <c r="I68" s="135">
        <v>2000</v>
      </c>
      <c r="J68" s="131"/>
    </row>
    <row r="69" spans="1:10" x14ac:dyDescent="0.3">
      <c r="A69" s="131"/>
      <c r="B69" s="134">
        <v>42667</v>
      </c>
      <c r="C69" s="135" t="s">
        <v>23</v>
      </c>
      <c r="D69" s="135" t="s">
        <v>27</v>
      </c>
      <c r="E69" s="135">
        <v>133</v>
      </c>
      <c r="F69" s="135">
        <v>133.80000000000001</v>
      </c>
      <c r="G69" s="135">
        <v>-0.8</v>
      </c>
      <c r="H69" s="135">
        <v>5000</v>
      </c>
      <c r="I69" s="135">
        <v>-4000</v>
      </c>
      <c r="J69" s="131"/>
    </row>
    <row r="70" spans="1:10" x14ac:dyDescent="0.3">
      <c r="A70" s="131"/>
      <c r="B70" s="134">
        <v>42668</v>
      </c>
      <c r="C70" s="135" t="s">
        <v>23</v>
      </c>
      <c r="D70" s="135" t="s">
        <v>56</v>
      </c>
      <c r="E70" s="135">
        <v>110.8</v>
      </c>
      <c r="F70" s="135">
        <v>110.4</v>
      </c>
      <c r="G70" s="135">
        <v>0.4</v>
      </c>
      <c r="H70" s="135">
        <v>5000</v>
      </c>
      <c r="I70" s="135">
        <v>2000</v>
      </c>
      <c r="J70" s="131"/>
    </row>
    <row r="71" spans="1:10" x14ac:dyDescent="0.3">
      <c r="A71" s="131"/>
      <c r="B71" s="134">
        <v>42669</v>
      </c>
      <c r="C71" s="135" t="s">
        <v>23</v>
      </c>
      <c r="D71" s="135" t="s">
        <v>28</v>
      </c>
      <c r="E71" s="135">
        <v>156.5</v>
      </c>
      <c r="F71" s="135">
        <v>157.30000000000001</v>
      </c>
      <c r="G71" s="135">
        <v>-0.8</v>
      </c>
      <c r="H71" s="135">
        <v>5000</v>
      </c>
      <c r="I71" s="135">
        <v>-4000</v>
      </c>
      <c r="J71" s="131"/>
    </row>
    <row r="72" spans="1:10" x14ac:dyDescent="0.3">
      <c r="A72" s="131"/>
      <c r="B72" s="134">
        <v>42670</v>
      </c>
      <c r="C72" s="135" t="s">
        <v>23</v>
      </c>
      <c r="D72" s="135" t="s">
        <v>56</v>
      </c>
      <c r="E72" s="135">
        <v>111.6</v>
      </c>
      <c r="F72" s="135">
        <v>112.4</v>
      </c>
      <c r="G72" s="135">
        <v>-0.8</v>
      </c>
      <c r="H72" s="135">
        <v>5000</v>
      </c>
      <c r="I72" s="135">
        <v>-4000</v>
      </c>
      <c r="J72" s="131"/>
    </row>
    <row r="73" spans="1:10" x14ac:dyDescent="0.3">
      <c r="A73" s="131"/>
      <c r="B73" s="134">
        <v>42671</v>
      </c>
      <c r="C73" s="135" t="s">
        <v>23</v>
      </c>
      <c r="D73" s="135" t="s">
        <v>27</v>
      </c>
      <c r="E73" s="135">
        <v>137.1</v>
      </c>
      <c r="F73" s="135">
        <v>137.5</v>
      </c>
      <c r="G73" s="135">
        <v>0.4</v>
      </c>
      <c r="H73" s="135">
        <v>5000</v>
      </c>
      <c r="I73" s="135">
        <v>2000</v>
      </c>
      <c r="J73" s="131"/>
    </row>
    <row r="74" spans="1:10" x14ac:dyDescent="0.3">
      <c r="A74" s="131"/>
      <c r="B74" s="134"/>
      <c r="C74" s="135"/>
      <c r="D74" s="135"/>
      <c r="E74" s="135"/>
      <c r="F74" s="135"/>
      <c r="G74" s="135"/>
      <c r="H74" s="135"/>
      <c r="I74" s="135"/>
      <c r="J74" s="131"/>
    </row>
    <row r="75" spans="1:10" s="172" customFormat="1" ht="18" x14ac:dyDescent="0.35">
      <c r="A75" s="169"/>
      <c r="B75" s="170"/>
      <c r="C75" s="170"/>
      <c r="D75" s="170"/>
      <c r="E75" s="170"/>
      <c r="F75" s="170"/>
      <c r="G75" s="170"/>
      <c r="H75" s="107"/>
      <c r="I75" s="138">
        <v>61250</v>
      </c>
      <c r="J75" s="171"/>
    </row>
    <row r="76" spans="1:10" x14ac:dyDescent="0.3">
      <c r="A76" s="131"/>
      <c r="I76" s="73"/>
      <c r="J76" s="131"/>
    </row>
    <row r="77" spans="1:10" x14ac:dyDescent="0.3">
      <c r="A77" s="131"/>
      <c r="J77" s="131"/>
    </row>
    <row r="78" spans="1:10" x14ac:dyDescent="0.3">
      <c r="A78" s="131"/>
      <c r="J78" s="131"/>
    </row>
    <row r="79" spans="1:10" x14ac:dyDescent="0.3">
      <c r="A79" s="131"/>
      <c r="J79" s="131"/>
    </row>
    <row r="80" spans="1:10" x14ac:dyDescent="0.3">
      <c r="A80" s="131"/>
      <c r="J80" s="131"/>
    </row>
    <row r="81" spans="1:10" x14ac:dyDescent="0.3">
      <c r="A81" s="131"/>
      <c r="J81" s="131"/>
    </row>
    <row r="82" spans="1:10" x14ac:dyDescent="0.3">
      <c r="A82" s="131"/>
      <c r="J82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E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78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3">
        <v>42675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42681</v>
      </c>
      <c r="C6" s="135" t="s">
        <v>23</v>
      </c>
      <c r="D6" s="135" t="s">
        <v>24</v>
      </c>
      <c r="E6" s="135">
        <v>30280</v>
      </c>
      <c r="F6" s="135">
        <v>30080</v>
      </c>
      <c r="G6" s="135">
        <v>200</v>
      </c>
      <c r="H6" s="135">
        <v>100</v>
      </c>
      <c r="I6" s="135">
        <v>20000</v>
      </c>
      <c r="J6" s="17"/>
      <c r="K6" s="71"/>
    </row>
    <row r="7" spans="1:15" x14ac:dyDescent="0.3">
      <c r="A7" s="17"/>
      <c r="B7" s="134">
        <v>42682</v>
      </c>
      <c r="C7" s="135" t="s">
        <v>23</v>
      </c>
      <c r="D7" s="135" t="s">
        <v>24</v>
      </c>
      <c r="E7" s="135">
        <v>30170</v>
      </c>
      <c r="F7" s="135">
        <v>29970</v>
      </c>
      <c r="G7" s="135">
        <v>200</v>
      </c>
      <c r="H7" s="135">
        <v>100</v>
      </c>
      <c r="I7" s="135">
        <v>20000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42683</v>
      </c>
      <c r="C8" s="151" t="s">
        <v>16</v>
      </c>
      <c r="D8" s="151" t="s">
        <v>24</v>
      </c>
      <c r="E8" s="151">
        <v>30950</v>
      </c>
      <c r="F8" s="151">
        <v>31020</v>
      </c>
      <c r="G8" s="151">
        <v>70</v>
      </c>
      <c r="H8" s="151">
        <v>100</v>
      </c>
      <c r="I8" s="135">
        <v>7000</v>
      </c>
      <c r="J8" s="17"/>
      <c r="K8" s="71" t="s">
        <v>257</v>
      </c>
      <c r="L8" s="165" t="s">
        <v>267</v>
      </c>
      <c r="M8" s="101" t="s">
        <v>298</v>
      </c>
      <c r="N8" s="101" t="s">
        <v>290</v>
      </c>
      <c r="O8" s="101" t="s">
        <v>262</v>
      </c>
    </row>
    <row r="9" spans="1:15" x14ac:dyDescent="0.3">
      <c r="A9" s="17"/>
      <c r="B9" s="134">
        <v>42684</v>
      </c>
      <c r="C9" s="151" t="s">
        <v>23</v>
      </c>
      <c r="D9" s="151" t="s">
        <v>24</v>
      </c>
      <c r="E9" s="151">
        <v>30150</v>
      </c>
      <c r="F9" s="151">
        <v>29950</v>
      </c>
      <c r="G9" s="151">
        <v>200</v>
      </c>
      <c r="H9" s="151">
        <v>100</v>
      </c>
      <c r="I9" s="135">
        <v>20000</v>
      </c>
      <c r="J9" s="17"/>
      <c r="K9" s="71" t="s">
        <v>258</v>
      </c>
      <c r="L9" s="165" t="s">
        <v>491</v>
      </c>
      <c r="M9" s="101" t="s">
        <v>392</v>
      </c>
      <c r="N9" s="101" t="s">
        <v>266</v>
      </c>
      <c r="O9" s="101" t="s">
        <v>262</v>
      </c>
    </row>
    <row r="10" spans="1:15" x14ac:dyDescent="0.3">
      <c r="A10" s="17"/>
      <c r="B10" s="134">
        <v>42685</v>
      </c>
      <c r="C10" s="151" t="s">
        <v>23</v>
      </c>
      <c r="D10" s="151" t="s">
        <v>24</v>
      </c>
      <c r="E10" s="151">
        <v>29840</v>
      </c>
      <c r="F10" s="151">
        <v>29640</v>
      </c>
      <c r="G10" s="151">
        <v>200</v>
      </c>
      <c r="H10" s="151">
        <v>100</v>
      </c>
      <c r="I10" s="135">
        <v>20000</v>
      </c>
      <c r="J10" s="17"/>
      <c r="K10" s="71" t="s">
        <v>259</v>
      </c>
      <c r="L10" s="165" t="s">
        <v>263</v>
      </c>
      <c r="M10" s="101" t="s">
        <v>291</v>
      </c>
      <c r="N10" s="101" t="s">
        <v>266</v>
      </c>
      <c r="O10" s="101" t="s">
        <v>262</v>
      </c>
    </row>
    <row r="11" spans="1:15" x14ac:dyDescent="0.3">
      <c r="A11" s="17"/>
      <c r="B11" s="134">
        <v>42689</v>
      </c>
      <c r="C11" s="135" t="s">
        <v>23</v>
      </c>
      <c r="D11" s="135" t="s">
        <v>24</v>
      </c>
      <c r="E11" s="135">
        <v>29370</v>
      </c>
      <c r="F11" s="135">
        <v>29225</v>
      </c>
      <c r="G11" s="135">
        <v>145</v>
      </c>
      <c r="H11" s="135">
        <v>100</v>
      </c>
      <c r="I11" s="135">
        <v>14500</v>
      </c>
      <c r="J11" s="17"/>
      <c r="K11" s="71" t="s">
        <v>300</v>
      </c>
      <c r="L11" s="104" t="s">
        <v>624</v>
      </c>
      <c r="M11" s="104" t="s">
        <v>855</v>
      </c>
      <c r="N11" s="104" t="s">
        <v>270</v>
      </c>
      <c r="O11" s="104" t="s">
        <v>262</v>
      </c>
    </row>
    <row r="12" spans="1:15" x14ac:dyDescent="0.3">
      <c r="A12" s="17"/>
      <c r="B12" s="134">
        <v>42690</v>
      </c>
      <c r="C12" s="135" t="s">
        <v>23</v>
      </c>
      <c r="D12" s="135" t="s">
        <v>24</v>
      </c>
      <c r="E12" s="135">
        <v>29440</v>
      </c>
      <c r="F12" s="135">
        <v>29340</v>
      </c>
      <c r="G12" s="135">
        <v>100</v>
      </c>
      <c r="H12" s="135">
        <v>100</v>
      </c>
      <c r="I12" s="135">
        <v>10000</v>
      </c>
      <c r="J12" s="17"/>
    </row>
    <row r="13" spans="1:15" x14ac:dyDescent="0.3">
      <c r="A13" s="17"/>
      <c r="B13" s="134">
        <v>42691</v>
      </c>
      <c r="C13" s="135" t="s">
        <v>23</v>
      </c>
      <c r="D13" s="135" t="s">
        <v>24</v>
      </c>
      <c r="E13" s="135">
        <v>29350</v>
      </c>
      <c r="F13" s="135">
        <v>29150</v>
      </c>
      <c r="G13" s="135">
        <v>200</v>
      </c>
      <c r="H13" s="135">
        <v>100</v>
      </c>
      <c r="I13" s="135">
        <v>20000</v>
      </c>
      <c r="J13" s="17"/>
      <c r="K13" s="71"/>
    </row>
    <row r="14" spans="1:15" x14ac:dyDescent="0.3">
      <c r="A14" s="17"/>
      <c r="B14" s="134">
        <v>42692</v>
      </c>
      <c r="C14" s="135" t="s">
        <v>23</v>
      </c>
      <c r="D14" s="135" t="s">
        <v>24</v>
      </c>
      <c r="E14" s="135">
        <v>28950</v>
      </c>
      <c r="F14" s="135">
        <v>28810</v>
      </c>
      <c r="G14" s="135">
        <v>140</v>
      </c>
      <c r="H14" s="135">
        <v>100</v>
      </c>
      <c r="I14" s="135">
        <v>14000</v>
      </c>
      <c r="J14" s="17"/>
      <c r="K14" s="132"/>
      <c r="L14" s="127" t="s">
        <v>832</v>
      </c>
      <c r="M14" s="128"/>
      <c r="N14" s="133" t="s">
        <v>856</v>
      </c>
    </row>
    <row r="15" spans="1:15" x14ac:dyDescent="0.3">
      <c r="A15" s="17"/>
      <c r="B15" s="134">
        <v>42695</v>
      </c>
      <c r="C15" s="135" t="s">
        <v>23</v>
      </c>
      <c r="D15" s="135" t="s">
        <v>24</v>
      </c>
      <c r="E15" s="135">
        <v>29090</v>
      </c>
      <c r="F15" s="135">
        <v>29085</v>
      </c>
      <c r="G15" s="135">
        <v>5</v>
      </c>
      <c r="H15" s="135">
        <v>100</v>
      </c>
      <c r="I15" s="135">
        <v>500</v>
      </c>
      <c r="J15" s="17"/>
      <c r="K15" s="71"/>
    </row>
    <row r="16" spans="1:15" x14ac:dyDescent="0.3">
      <c r="A16" s="17"/>
      <c r="B16" s="134">
        <v>42696</v>
      </c>
      <c r="C16" s="135" t="s">
        <v>23</v>
      </c>
      <c r="D16" s="135" t="s">
        <v>24</v>
      </c>
      <c r="E16" s="135">
        <v>29200</v>
      </c>
      <c r="F16" s="135">
        <v>29060</v>
      </c>
      <c r="G16" s="135">
        <v>140</v>
      </c>
      <c r="H16" s="135">
        <v>100</v>
      </c>
      <c r="I16" s="135">
        <f>H16*G16</f>
        <v>14000</v>
      </c>
      <c r="J16" s="17"/>
      <c r="K16" s="71"/>
    </row>
    <row r="17" spans="1:11" x14ac:dyDescent="0.3">
      <c r="A17" s="17"/>
      <c r="B17" s="134">
        <v>42697</v>
      </c>
      <c r="C17" s="135" t="s">
        <v>23</v>
      </c>
      <c r="D17" s="135" t="s">
        <v>24</v>
      </c>
      <c r="E17" s="135">
        <v>29200</v>
      </c>
      <c r="F17" s="135">
        <v>29000</v>
      </c>
      <c r="G17" s="135">
        <v>200</v>
      </c>
      <c r="H17" s="135">
        <v>100</v>
      </c>
      <c r="I17" s="135">
        <f t="shared" ref="I17:I22" si="0">H17*G17</f>
        <v>20000</v>
      </c>
      <c r="J17" s="17"/>
      <c r="K17" s="71"/>
    </row>
    <row r="18" spans="1:11" x14ac:dyDescent="0.3">
      <c r="A18" s="17"/>
      <c r="B18" s="134">
        <v>42698</v>
      </c>
      <c r="C18" s="135" t="s">
        <v>23</v>
      </c>
      <c r="D18" s="135" t="s">
        <v>24</v>
      </c>
      <c r="E18" s="135">
        <v>28700</v>
      </c>
      <c r="F18" s="135">
        <v>28690</v>
      </c>
      <c r="G18" s="135">
        <v>10</v>
      </c>
      <c r="H18" s="135">
        <v>100</v>
      </c>
      <c r="I18" s="135">
        <f t="shared" si="0"/>
        <v>1000</v>
      </c>
      <c r="J18" s="17"/>
      <c r="K18" s="71"/>
    </row>
    <row r="19" spans="1:11" x14ac:dyDescent="0.3">
      <c r="A19" s="17"/>
      <c r="B19" s="134">
        <v>42699</v>
      </c>
      <c r="C19" s="135" t="s">
        <v>23</v>
      </c>
      <c r="D19" s="135" t="s">
        <v>24</v>
      </c>
      <c r="E19" s="135">
        <v>28520</v>
      </c>
      <c r="F19" s="135">
        <v>28620</v>
      </c>
      <c r="G19" s="135">
        <v>-100</v>
      </c>
      <c r="H19" s="135">
        <v>100</v>
      </c>
      <c r="I19" s="135">
        <f t="shared" si="0"/>
        <v>-10000</v>
      </c>
      <c r="J19" s="17"/>
      <c r="K19" s="71"/>
    </row>
    <row r="20" spans="1:11" x14ac:dyDescent="0.3">
      <c r="A20" s="17"/>
      <c r="B20" s="134">
        <v>42702</v>
      </c>
      <c r="C20" s="135" t="s">
        <v>23</v>
      </c>
      <c r="D20" s="135" t="s">
        <v>24</v>
      </c>
      <c r="E20" s="135">
        <v>28840</v>
      </c>
      <c r="F20" s="135">
        <v>28640</v>
      </c>
      <c r="G20" s="135">
        <v>200</v>
      </c>
      <c r="H20" s="135">
        <v>100</v>
      </c>
      <c r="I20" s="135">
        <f t="shared" si="0"/>
        <v>20000</v>
      </c>
      <c r="J20" s="17"/>
      <c r="K20" s="71"/>
    </row>
    <row r="21" spans="1:11" x14ac:dyDescent="0.3">
      <c r="A21" s="17"/>
      <c r="B21" s="134">
        <v>42703</v>
      </c>
      <c r="C21" s="135" t="s">
        <v>23</v>
      </c>
      <c r="D21" s="135" t="s">
        <v>24</v>
      </c>
      <c r="E21" s="135">
        <v>28730</v>
      </c>
      <c r="F21" s="135">
        <v>28590</v>
      </c>
      <c r="G21" s="135">
        <v>140</v>
      </c>
      <c r="H21" s="135">
        <v>100</v>
      </c>
      <c r="I21" s="135">
        <f t="shared" si="0"/>
        <v>14000</v>
      </c>
      <c r="J21" s="17"/>
      <c r="K21" s="71"/>
    </row>
    <row r="22" spans="1:11" x14ac:dyDescent="0.3">
      <c r="A22" s="17"/>
      <c r="B22" s="134">
        <v>42704</v>
      </c>
      <c r="C22" s="135" t="s">
        <v>23</v>
      </c>
      <c r="D22" s="135" t="s">
        <v>24</v>
      </c>
      <c r="E22" s="135">
        <v>28700</v>
      </c>
      <c r="F22" s="135">
        <v>28500</v>
      </c>
      <c r="G22" s="135">
        <v>200</v>
      </c>
      <c r="H22" s="135">
        <v>100</v>
      </c>
      <c r="I22" s="135">
        <f t="shared" si="0"/>
        <v>20000</v>
      </c>
      <c r="J22" s="17"/>
      <c r="K22" s="71"/>
    </row>
    <row r="23" spans="1:11" x14ac:dyDescent="0.3">
      <c r="A23" s="17"/>
      <c r="C23" s="135"/>
      <c r="D23" s="135"/>
      <c r="E23" s="135"/>
      <c r="F23" s="135"/>
      <c r="G23" s="135"/>
      <c r="H23" s="135"/>
      <c r="I23" s="135"/>
      <c r="J23" s="17"/>
      <c r="K23" s="71"/>
    </row>
    <row r="24" spans="1:11" ht="17.399999999999999" x14ac:dyDescent="0.3">
      <c r="A24" s="17"/>
      <c r="C24" s="157"/>
      <c r="D24" s="156"/>
      <c r="E24" s="158"/>
      <c r="F24" s="157"/>
      <c r="G24" s="157"/>
      <c r="H24" s="157"/>
      <c r="I24" s="106">
        <f>SUM(I6:I22)</f>
        <v>225000</v>
      </c>
      <c r="J24" s="17"/>
    </row>
    <row r="25" spans="1:11" x14ac:dyDescent="0.3">
      <c r="A25" s="17"/>
      <c r="C25" s="157"/>
      <c r="D25" s="158"/>
      <c r="E25" s="158"/>
      <c r="F25" s="157"/>
      <c r="G25" s="157"/>
      <c r="H25" s="157"/>
      <c r="I25" s="157"/>
      <c r="J25" s="17"/>
    </row>
    <row r="26" spans="1:11" x14ac:dyDescent="0.3">
      <c r="A26" s="17"/>
      <c r="B26" s="164" t="s">
        <v>789</v>
      </c>
      <c r="C26" s="159"/>
      <c r="D26" s="160"/>
      <c r="E26" s="159"/>
      <c r="F26" s="159"/>
      <c r="G26" s="159"/>
      <c r="H26" s="159"/>
      <c r="I26" s="159"/>
      <c r="J26" s="17"/>
    </row>
    <row r="27" spans="1:11" x14ac:dyDescent="0.3">
      <c r="A27" s="17"/>
      <c r="B27" s="134">
        <v>42681</v>
      </c>
      <c r="C27" s="135" t="s">
        <v>23</v>
      </c>
      <c r="D27" s="135" t="s">
        <v>25</v>
      </c>
      <c r="E27" s="135">
        <v>2995</v>
      </c>
      <c r="F27" s="135">
        <v>2960</v>
      </c>
      <c r="G27" s="135">
        <v>35</v>
      </c>
      <c r="H27" s="135">
        <v>100</v>
      </c>
      <c r="I27" s="135">
        <v>3500</v>
      </c>
      <c r="J27" s="17"/>
    </row>
    <row r="28" spans="1:11" x14ac:dyDescent="0.3">
      <c r="A28" s="17"/>
      <c r="B28" s="134">
        <v>42682</v>
      </c>
      <c r="C28" s="135" t="s">
        <v>23</v>
      </c>
      <c r="D28" s="135" t="s">
        <v>25</v>
      </c>
      <c r="E28" s="135">
        <v>3020</v>
      </c>
      <c r="F28" s="135">
        <v>2970</v>
      </c>
      <c r="G28" s="135">
        <v>50</v>
      </c>
      <c r="H28" s="135">
        <v>100</v>
      </c>
      <c r="I28" s="135">
        <v>5000</v>
      </c>
      <c r="J28" s="17"/>
    </row>
    <row r="29" spans="1:11" x14ac:dyDescent="0.3">
      <c r="A29" s="17"/>
      <c r="B29" s="134">
        <v>42683</v>
      </c>
      <c r="C29" s="135" t="s">
        <v>23</v>
      </c>
      <c r="D29" s="135" t="s">
        <v>25</v>
      </c>
      <c r="E29" s="135">
        <v>2945</v>
      </c>
      <c r="F29" s="135">
        <v>2985</v>
      </c>
      <c r="G29" s="135">
        <v>-40</v>
      </c>
      <c r="H29" s="135">
        <v>100</v>
      </c>
      <c r="I29" s="135">
        <v>-4000</v>
      </c>
      <c r="J29" s="17"/>
    </row>
    <row r="30" spans="1:11" x14ac:dyDescent="0.3">
      <c r="A30" s="17"/>
      <c r="B30" s="134">
        <v>42684</v>
      </c>
      <c r="C30" s="135" t="s">
        <v>23</v>
      </c>
      <c r="D30" s="135" t="s">
        <v>25</v>
      </c>
      <c r="E30" s="135">
        <v>3020</v>
      </c>
      <c r="F30" s="135">
        <v>2980</v>
      </c>
      <c r="G30" s="135">
        <v>40</v>
      </c>
      <c r="H30" s="135">
        <v>100</v>
      </c>
      <c r="I30" s="135">
        <v>4000</v>
      </c>
      <c r="J30" s="17"/>
    </row>
    <row r="31" spans="1:11" x14ac:dyDescent="0.3">
      <c r="A31" s="17"/>
      <c r="B31" s="134">
        <v>42684</v>
      </c>
      <c r="C31" s="135" t="s">
        <v>23</v>
      </c>
      <c r="D31" s="135" t="s">
        <v>26</v>
      </c>
      <c r="E31" s="135">
        <v>178</v>
      </c>
      <c r="F31" s="135">
        <v>173</v>
      </c>
      <c r="G31" s="135">
        <v>5</v>
      </c>
      <c r="H31" s="135">
        <v>1250</v>
      </c>
      <c r="I31" s="135">
        <v>6250</v>
      </c>
      <c r="J31" s="17"/>
    </row>
    <row r="32" spans="1:11" x14ac:dyDescent="0.3">
      <c r="A32" s="17"/>
      <c r="B32" s="134">
        <v>42685</v>
      </c>
      <c r="C32" s="135" t="s">
        <v>23</v>
      </c>
      <c r="D32" s="135" t="s">
        <v>25</v>
      </c>
      <c r="E32" s="135">
        <v>2990</v>
      </c>
      <c r="F32" s="135">
        <v>2925</v>
      </c>
      <c r="G32" s="135">
        <v>65</v>
      </c>
      <c r="H32" s="135">
        <v>100</v>
      </c>
      <c r="I32" s="135">
        <v>6500</v>
      </c>
      <c r="J32" s="17"/>
    </row>
    <row r="33" spans="1:10" x14ac:dyDescent="0.3">
      <c r="A33" s="17"/>
      <c r="B33" s="134">
        <v>42685</v>
      </c>
      <c r="C33" s="135" t="s">
        <v>23</v>
      </c>
      <c r="D33" s="135" t="s">
        <v>26</v>
      </c>
      <c r="E33" s="135">
        <v>176</v>
      </c>
      <c r="F33" s="135">
        <v>173</v>
      </c>
      <c r="G33" s="135">
        <v>3</v>
      </c>
      <c r="H33" s="135">
        <v>1250</v>
      </c>
      <c r="I33" s="135">
        <v>3750</v>
      </c>
      <c r="J33" s="17"/>
    </row>
    <row r="34" spans="1:10" x14ac:dyDescent="0.3">
      <c r="A34" s="17"/>
      <c r="B34" s="134">
        <v>42689</v>
      </c>
      <c r="C34" s="135" t="s">
        <v>23</v>
      </c>
      <c r="D34" s="135" t="s">
        <v>25</v>
      </c>
      <c r="E34" s="135">
        <v>3015</v>
      </c>
      <c r="F34" s="135">
        <v>3050</v>
      </c>
      <c r="G34" s="135">
        <v>-35</v>
      </c>
      <c r="H34" s="135">
        <v>100</v>
      </c>
      <c r="I34" s="135">
        <v>-3500</v>
      </c>
      <c r="J34" s="17"/>
    </row>
    <row r="35" spans="1:10" x14ac:dyDescent="0.3">
      <c r="A35" s="17"/>
      <c r="B35" s="134">
        <v>42690</v>
      </c>
      <c r="C35" s="135" t="s">
        <v>23</v>
      </c>
      <c r="D35" s="135" t="s">
        <v>25</v>
      </c>
      <c r="E35" s="135">
        <v>3125</v>
      </c>
      <c r="F35" s="135">
        <v>3080</v>
      </c>
      <c r="G35" s="135">
        <v>45</v>
      </c>
      <c r="H35" s="135">
        <v>100</v>
      </c>
      <c r="I35" s="135">
        <v>4500</v>
      </c>
      <c r="J35" s="17"/>
    </row>
    <row r="36" spans="1:10" x14ac:dyDescent="0.3">
      <c r="A36" s="17"/>
      <c r="B36" s="134">
        <v>42691</v>
      </c>
      <c r="C36" s="135" t="s">
        <v>23</v>
      </c>
      <c r="D36" s="135" t="s">
        <v>25</v>
      </c>
      <c r="E36" s="135">
        <v>3105</v>
      </c>
      <c r="F36" s="135">
        <v>3140</v>
      </c>
      <c r="G36" s="135">
        <v>-35</v>
      </c>
      <c r="H36" s="135">
        <v>100</v>
      </c>
      <c r="I36" s="135">
        <v>-3500</v>
      </c>
      <c r="J36" s="17"/>
    </row>
    <row r="37" spans="1:10" x14ac:dyDescent="0.3">
      <c r="A37" s="17"/>
      <c r="B37" s="134">
        <v>42692</v>
      </c>
      <c r="C37" s="135" t="s">
        <v>23</v>
      </c>
      <c r="D37" s="135" t="s">
        <v>25</v>
      </c>
      <c r="E37" s="135">
        <v>3065</v>
      </c>
      <c r="F37" s="135">
        <v>3045</v>
      </c>
      <c r="G37" s="135">
        <v>20</v>
      </c>
      <c r="H37" s="135">
        <v>100</v>
      </c>
      <c r="I37" s="135">
        <v>2000</v>
      </c>
      <c r="J37" s="17"/>
    </row>
    <row r="38" spans="1:10" x14ac:dyDescent="0.3">
      <c r="A38" s="17"/>
      <c r="B38" s="134">
        <v>42695</v>
      </c>
      <c r="C38" s="135" t="s">
        <v>23</v>
      </c>
      <c r="D38" s="135" t="s">
        <v>25</v>
      </c>
      <c r="E38" s="135">
        <v>3225</v>
      </c>
      <c r="F38" s="135">
        <v>3260</v>
      </c>
      <c r="G38" s="135">
        <v>-35</v>
      </c>
      <c r="H38" s="135">
        <v>100</v>
      </c>
      <c r="I38" s="135">
        <v>-3500</v>
      </c>
      <c r="J38" s="17"/>
    </row>
    <row r="39" spans="1:10" x14ac:dyDescent="0.3">
      <c r="A39" s="17"/>
      <c r="B39" s="134">
        <v>42696</v>
      </c>
      <c r="C39" s="135" t="s">
        <v>23</v>
      </c>
      <c r="D39" s="135" t="s">
        <v>25</v>
      </c>
      <c r="E39" s="135">
        <v>3350</v>
      </c>
      <c r="F39" s="135">
        <v>3280</v>
      </c>
      <c r="G39" s="135">
        <v>70</v>
      </c>
      <c r="H39" s="135">
        <v>100</v>
      </c>
      <c r="I39" s="135">
        <f>H39*G39</f>
        <v>7000</v>
      </c>
      <c r="J39" s="17"/>
    </row>
    <row r="40" spans="1:10" x14ac:dyDescent="0.3">
      <c r="A40" s="17"/>
      <c r="B40" s="134">
        <v>42697</v>
      </c>
      <c r="C40" s="135" t="s">
        <v>23</v>
      </c>
      <c r="D40" s="135" t="s">
        <v>25</v>
      </c>
      <c r="E40" s="135">
        <v>3295</v>
      </c>
      <c r="F40" s="135">
        <v>3280</v>
      </c>
      <c r="G40" s="135">
        <v>15</v>
      </c>
      <c r="H40" s="135">
        <v>100</v>
      </c>
      <c r="I40" s="135">
        <f t="shared" ref="I40:I46" si="1">H40*G40</f>
        <v>1500</v>
      </c>
      <c r="J40" s="17"/>
    </row>
    <row r="41" spans="1:10" x14ac:dyDescent="0.3">
      <c r="A41" s="17"/>
      <c r="B41" s="134">
        <v>42698</v>
      </c>
      <c r="C41" s="135" t="s">
        <v>23</v>
      </c>
      <c r="D41" s="135" t="s">
        <v>25</v>
      </c>
      <c r="E41" s="135">
        <v>3310</v>
      </c>
      <c r="F41" s="135">
        <v>3305</v>
      </c>
      <c r="G41" s="135">
        <v>5</v>
      </c>
      <c r="H41" s="135">
        <v>100</v>
      </c>
      <c r="I41" s="135">
        <f t="shared" si="1"/>
        <v>500</v>
      </c>
      <c r="J41" s="17"/>
    </row>
    <row r="42" spans="1:10" x14ac:dyDescent="0.3">
      <c r="A42" s="17"/>
      <c r="B42" s="134">
        <v>42699</v>
      </c>
      <c r="C42" s="135" t="s">
        <v>23</v>
      </c>
      <c r="D42" s="135" t="s">
        <v>25</v>
      </c>
      <c r="E42" s="135">
        <v>3255</v>
      </c>
      <c r="F42" s="135">
        <v>3190</v>
      </c>
      <c r="G42" s="135">
        <v>65</v>
      </c>
      <c r="H42" s="135">
        <v>100</v>
      </c>
      <c r="I42" s="135">
        <f t="shared" si="1"/>
        <v>6500</v>
      </c>
      <c r="J42" s="17"/>
    </row>
    <row r="43" spans="1:10" x14ac:dyDescent="0.3">
      <c r="A43" s="17"/>
      <c r="B43" s="134">
        <v>42702</v>
      </c>
      <c r="C43" s="135" t="s">
        <v>23</v>
      </c>
      <c r="D43" s="135" t="s">
        <v>25</v>
      </c>
      <c r="E43" s="135">
        <v>3155</v>
      </c>
      <c r="F43" s="135">
        <v>3140</v>
      </c>
      <c r="G43" s="135">
        <v>15</v>
      </c>
      <c r="H43" s="135">
        <v>100</v>
      </c>
      <c r="I43" s="135">
        <f t="shared" si="1"/>
        <v>1500</v>
      </c>
      <c r="J43" s="17"/>
    </row>
    <row r="44" spans="1:10" x14ac:dyDescent="0.3">
      <c r="A44" s="17"/>
      <c r="B44" s="134">
        <v>42703</v>
      </c>
      <c r="C44" s="135" t="s">
        <v>23</v>
      </c>
      <c r="D44" s="135" t="s">
        <v>25</v>
      </c>
      <c r="E44" s="135">
        <v>3220</v>
      </c>
      <c r="F44" s="135">
        <v>3140</v>
      </c>
      <c r="G44" s="135">
        <v>80</v>
      </c>
      <c r="H44" s="135">
        <v>100</v>
      </c>
      <c r="I44" s="135">
        <f t="shared" si="1"/>
        <v>8000</v>
      </c>
      <c r="J44" s="17"/>
    </row>
    <row r="45" spans="1:10" x14ac:dyDescent="0.3">
      <c r="A45" s="17"/>
      <c r="B45" s="134">
        <v>42703</v>
      </c>
      <c r="C45" s="135" t="s">
        <v>23</v>
      </c>
      <c r="D45" s="135" t="s">
        <v>26</v>
      </c>
      <c r="E45" s="135">
        <v>230</v>
      </c>
      <c r="F45" s="135">
        <v>226</v>
      </c>
      <c r="G45" s="135">
        <v>4</v>
      </c>
      <c r="H45" s="135">
        <v>1250</v>
      </c>
      <c r="I45" s="135">
        <f t="shared" si="1"/>
        <v>5000</v>
      </c>
      <c r="J45" s="17"/>
    </row>
    <row r="46" spans="1:10" x14ac:dyDescent="0.3">
      <c r="A46" s="17"/>
      <c r="B46" s="134">
        <v>42704</v>
      </c>
      <c r="C46" s="135" t="s">
        <v>23</v>
      </c>
      <c r="D46" s="135" t="s">
        <v>25</v>
      </c>
      <c r="E46" s="135">
        <v>3155</v>
      </c>
      <c r="F46" s="135">
        <v>3190</v>
      </c>
      <c r="G46" s="135">
        <v>-35</v>
      </c>
      <c r="H46" s="135">
        <v>100</v>
      </c>
      <c r="I46" s="135">
        <f t="shared" si="1"/>
        <v>-3500</v>
      </c>
      <c r="J46" s="17"/>
    </row>
    <row r="47" spans="1:10" x14ac:dyDescent="0.3">
      <c r="A47" s="17"/>
      <c r="B47" s="134"/>
      <c r="C47" s="135"/>
      <c r="D47" s="135"/>
      <c r="E47" s="135"/>
      <c r="F47" s="135"/>
      <c r="G47" s="135"/>
      <c r="H47" s="135"/>
      <c r="I47" s="135"/>
      <c r="J47" s="17"/>
    </row>
    <row r="48" spans="1:10" ht="18" x14ac:dyDescent="0.35">
      <c r="A48" s="142"/>
      <c r="B48" s="166"/>
      <c r="C48" s="137"/>
      <c r="D48" s="167"/>
      <c r="E48" s="137"/>
      <c r="F48" s="137"/>
      <c r="G48" s="137"/>
      <c r="H48" s="168"/>
      <c r="I48" s="106">
        <f>SUM(I27:I46)</f>
        <v>47500</v>
      </c>
      <c r="J48" s="17"/>
    </row>
    <row r="49" spans="1:10" x14ac:dyDescent="0.3">
      <c r="A49" s="17"/>
      <c r="B49" s="71"/>
      <c r="C49" s="157"/>
      <c r="D49" s="158"/>
      <c r="E49" s="157"/>
      <c r="F49" s="157"/>
      <c r="G49" s="157"/>
      <c r="H49" s="157"/>
      <c r="I49" s="157"/>
      <c r="J49" s="17"/>
    </row>
    <row r="50" spans="1:10" x14ac:dyDescent="0.3">
      <c r="A50" s="17"/>
      <c r="B50" s="164" t="s">
        <v>788</v>
      </c>
      <c r="C50" s="159"/>
      <c r="D50" s="160"/>
      <c r="E50" s="159"/>
      <c r="F50" s="159"/>
      <c r="G50" s="159"/>
      <c r="H50" s="159"/>
      <c r="I50" s="64"/>
      <c r="J50" s="17"/>
    </row>
    <row r="51" spans="1:10" x14ac:dyDescent="0.3">
      <c r="A51" s="17"/>
      <c r="B51" s="134">
        <v>42681</v>
      </c>
      <c r="C51" s="135" t="s">
        <v>23</v>
      </c>
      <c r="D51" s="135" t="s">
        <v>56</v>
      </c>
      <c r="E51" s="135">
        <v>115.2</v>
      </c>
      <c r="F51" s="135">
        <v>114.25</v>
      </c>
      <c r="G51" s="135">
        <v>0.95</v>
      </c>
      <c r="H51" s="135">
        <v>5000</v>
      </c>
      <c r="I51" s="135">
        <v>4750</v>
      </c>
      <c r="J51" s="17"/>
    </row>
    <row r="52" spans="1:10" x14ac:dyDescent="0.3">
      <c r="A52" s="17"/>
      <c r="B52" s="134">
        <v>42682</v>
      </c>
      <c r="C52" s="135" t="s">
        <v>23</v>
      </c>
      <c r="D52" s="135" t="s">
        <v>56</v>
      </c>
      <c r="E52" s="135">
        <v>114.8</v>
      </c>
      <c r="F52" s="135">
        <v>114</v>
      </c>
      <c r="G52" s="135">
        <v>0.8</v>
      </c>
      <c r="H52" s="135">
        <v>5000</v>
      </c>
      <c r="I52" s="135">
        <v>4000</v>
      </c>
      <c r="J52" s="17"/>
    </row>
    <row r="53" spans="1:10" x14ac:dyDescent="0.3">
      <c r="A53" s="17"/>
      <c r="B53" s="134">
        <v>42683</v>
      </c>
      <c r="C53" s="135" t="s">
        <v>23</v>
      </c>
      <c r="D53" s="135" t="s">
        <v>56</v>
      </c>
      <c r="E53" s="135">
        <v>114.5</v>
      </c>
      <c r="F53" s="135">
        <v>115.5</v>
      </c>
      <c r="G53" s="135">
        <v>-1</v>
      </c>
      <c r="H53" s="135">
        <v>5000</v>
      </c>
      <c r="I53" s="135">
        <v>-5000</v>
      </c>
      <c r="J53" s="131"/>
    </row>
    <row r="54" spans="1:10" x14ac:dyDescent="0.3">
      <c r="A54" s="131"/>
      <c r="B54" s="134">
        <v>42684</v>
      </c>
      <c r="C54" s="135" t="s">
        <v>23</v>
      </c>
      <c r="D54" s="135" t="s">
        <v>56</v>
      </c>
      <c r="E54" s="135">
        <v>116.5</v>
      </c>
      <c r="F54" s="135">
        <v>117.5</v>
      </c>
      <c r="G54" s="135">
        <v>-1</v>
      </c>
      <c r="H54" s="135">
        <v>5000</v>
      </c>
      <c r="I54" s="135">
        <v>-5000</v>
      </c>
      <c r="J54" s="131"/>
    </row>
    <row r="55" spans="1:10" x14ac:dyDescent="0.3">
      <c r="A55" s="131"/>
      <c r="B55" s="134">
        <v>42685</v>
      </c>
      <c r="C55" s="135" t="s">
        <v>23</v>
      </c>
      <c r="D55" s="135" t="s">
        <v>28</v>
      </c>
      <c r="E55" s="135">
        <v>170.1</v>
      </c>
      <c r="F55" s="135">
        <v>171</v>
      </c>
      <c r="G55" s="135">
        <v>-0.9</v>
      </c>
      <c r="H55" s="135">
        <v>5000</v>
      </c>
      <c r="I55" s="135">
        <v>-4500</v>
      </c>
      <c r="J55" s="131"/>
    </row>
    <row r="56" spans="1:10" x14ac:dyDescent="0.3">
      <c r="A56" s="131"/>
      <c r="B56" s="134">
        <v>42689</v>
      </c>
      <c r="C56" s="135" t="s">
        <v>23</v>
      </c>
      <c r="D56" s="135" t="s">
        <v>27</v>
      </c>
      <c r="E56" s="135">
        <v>146</v>
      </c>
      <c r="F56" s="135">
        <v>147</v>
      </c>
      <c r="G56" s="135">
        <v>-1</v>
      </c>
      <c r="H56" s="135">
        <v>5000</v>
      </c>
      <c r="I56" s="135">
        <v>-5000</v>
      </c>
      <c r="J56" s="131"/>
    </row>
    <row r="57" spans="1:10" x14ac:dyDescent="0.3">
      <c r="A57" s="131"/>
      <c r="B57" s="134">
        <v>42689</v>
      </c>
      <c r="C57" s="135" t="s">
        <v>23</v>
      </c>
      <c r="D57" s="135" t="s">
        <v>28</v>
      </c>
      <c r="E57" s="135">
        <v>172.5</v>
      </c>
      <c r="F57" s="135">
        <v>171.5</v>
      </c>
      <c r="G57" s="135">
        <v>1</v>
      </c>
      <c r="H57" s="135">
        <v>5000</v>
      </c>
      <c r="I57" s="135">
        <v>5000</v>
      </c>
      <c r="J57" s="131"/>
    </row>
    <row r="58" spans="1:10" x14ac:dyDescent="0.3">
      <c r="A58" s="131"/>
      <c r="B58" s="134">
        <v>42690</v>
      </c>
      <c r="C58" s="135" t="s">
        <v>23</v>
      </c>
      <c r="D58" s="135" t="s">
        <v>56</v>
      </c>
      <c r="E58" s="135">
        <v>116.2</v>
      </c>
      <c r="F58" s="135">
        <v>115.3</v>
      </c>
      <c r="G58" s="135">
        <v>0.9</v>
      </c>
      <c r="H58" s="135">
        <v>5000</v>
      </c>
      <c r="I58" s="135">
        <v>4500</v>
      </c>
      <c r="J58" s="131"/>
    </row>
    <row r="59" spans="1:10" x14ac:dyDescent="0.3">
      <c r="A59" s="131"/>
      <c r="B59" s="134">
        <v>42690</v>
      </c>
      <c r="C59" s="135" t="s">
        <v>23</v>
      </c>
      <c r="D59" s="135" t="s">
        <v>28</v>
      </c>
      <c r="E59" s="135">
        <v>173.5</v>
      </c>
      <c r="F59" s="135">
        <v>171.5</v>
      </c>
      <c r="G59" s="135">
        <v>2</v>
      </c>
      <c r="H59" s="135">
        <v>5000</v>
      </c>
      <c r="I59" s="135">
        <v>10000</v>
      </c>
      <c r="J59" s="131"/>
    </row>
    <row r="60" spans="1:10" x14ac:dyDescent="0.3">
      <c r="A60" s="131"/>
      <c r="B60" s="134">
        <v>42691</v>
      </c>
      <c r="C60" s="135" t="s">
        <v>23</v>
      </c>
      <c r="D60" s="135" t="s">
        <v>56</v>
      </c>
      <c r="E60" s="135">
        <v>114.6</v>
      </c>
      <c r="F60" s="135">
        <v>114</v>
      </c>
      <c r="G60" s="135">
        <v>0.6</v>
      </c>
      <c r="H60" s="135">
        <v>5000</v>
      </c>
      <c r="I60" s="135">
        <v>3000</v>
      </c>
      <c r="J60" s="131"/>
    </row>
    <row r="61" spans="1:10" x14ac:dyDescent="0.3">
      <c r="A61" s="131"/>
      <c r="B61" s="134">
        <v>42692</v>
      </c>
      <c r="C61" s="135" t="s">
        <v>23</v>
      </c>
      <c r="D61" s="135" t="s">
        <v>56</v>
      </c>
      <c r="E61" s="135">
        <v>114.7</v>
      </c>
      <c r="F61" s="135">
        <v>115.5</v>
      </c>
      <c r="G61" s="135">
        <v>-0.8</v>
      </c>
      <c r="H61" s="135">
        <v>5000</v>
      </c>
      <c r="I61" s="135">
        <v>-4000</v>
      </c>
      <c r="J61" s="131"/>
    </row>
    <row r="62" spans="1:10" x14ac:dyDescent="0.3">
      <c r="A62" s="131"/>
      <c r="B62" s="134">
        <v>42695</v>
      </c>
      <c r="C62" s="135" t="s">
        <v>23</v>
      </c>
      <c r="D62" s="135" t="s">
        <v>28</v>
      </c>
      <c r="E62" s="135">
        <v>175</v>
      </c>
      <c r="F62" s="135">
        <v>173.7</v>
      </c>
      <c r="G62" s="135">
        <v>1.3</v>
      </c>
      <c r="H62" s="135">
        <v>5000</v>
      </c>
      <c r="I62" s="135">
        <v>6500</v>
      </c>
      <c r="J62" s="131"/>
    </row>
    <row r="63" spans="1:10" x14ac:dyDescent="0.3">
      <c r="A63" s="131"/>
      <c r="B63" s="134">
        <v>42696</v>
      </c>
      <c r="C63" s="135" t="s">
        <v>23</v>
      </c>
      <c r="D63" s="135" t="s">
        <v>27</v>
      </c>
      <c r="E63" s="135">
        <v>149.5</v>
      </c>
      <c r="F63" s="135">
        <v>148</v>
      </c>
      <c r="G63" s="135">
        <v>1.5</v>
      </c>
      <c r="H63" s="135">
        <v>5000</v>
      </c>
      <c r="I63" s="135">
        <f>H63*G63</f>
        <v>7500</v>
      </c>
      <c r="J63" s="131"/>
    </row>
    <row r="64" spans="1:10" x14ac:dyDescent="0.3">
      <c r="A64" s="131"/>
      <c r="B64" s="134">
        <v>42697</v>
      </c>
      <c r="C64" s="135" t="s">
        <v>23</v>
      </c>
      <c r="D64" s="135" t="s">
        <v>28</v>
      </c>
      <c r="E64" s="135">
        <v>176.7</v>
      </c>
      <c r="F64" s="135">
        <v>176</v>
      </c>
      <c r="G64" s="135">
        <v>0.7</v>
      </c>
      <c r="H64" s="135">
        <v>5000</v>
      </c>
      <c r="I64" s="135">
        <f t="shared" ref="I64:I69" si="2">H64*G64</f>
        <v>3500</v>
      </c>
      <c r="J64" s="131"/>
    </row>
    <row r="65" spans="1:10" x14ac:dyDescent="0.3">
      <c r="A65" s="131"/>
      <c r="B65" s="134">
        <v>42698</v>
      </c>
      <c r="C65" s="135" t="s">
        <v>23</v>
      </c>
      <c r="D65" s="135" t="s">
        <v>28</v>
      </c>
      <c r="E65" s="135">
        <v>184.1</v>
      </c>
      <c r="F65" s="135">
        <v>183.7</v>
      </c>
      <c r="G65" s="135">
        <v>0.4</v>
      </c>
      <c r="H65" s="135">
        <v>5000</v>
      </c>
      <c r="I65" s="135">
        <f t="shared" si="2"/>
        <v>2000</v>
      </c>
      <c r="J65" s="131"/>
    </row>
    <row r="66" spans="1:10" x14ac:dyDescent="0.3">
      <c r="A66" s="131"/>
      <c r="B66" s="134">
        <v>42699</v>
      </c>
      <c r="C66" s="135" t="s">
        <v>16</v>
      </c>
      <c r="D66" s="135" t="s">
        <v>28</v>
      </c>
      <c r="E66" s="135">
        <v>187</v>
      </c>
      <c r="F66" s="135">
        <v>189</v>
      </c>
      <c r="G66" s="135">
        <v>2</v>
      </c>
      <c r="H66" s="135">
        <v>5000</v>
      </c>
      <c r="I66" s="135">
        <f t="shared" si="2"/>
        <v>10000</v>
      </c>
      <c r="J66" s="131"/>
    </row>
    <row r="67" spans="1:10" x14ac:dyDescent="0.3">
      <c r="A67" s="131"/>
      <c r="B67" s="134">
        <v>42702</v>
      </c>
      <c r="C67" s="135" t="s">
        <v>23</v>
      </c>
      <c r="D67" s="135" t="s">
        <v>56</v>
      </c>
      <c r="E67" s="135">
        <v>121.6</v>
      </c>
      <c r="F67" s="135">
        <v>119.6</v>
      </c>
      <c r="G67" s="135">
        <v>2</v>
      </c>
      <c r="H67" s="135">
        <v>5000</v>
      </c>
      <c r="I67" s="135">
        <f t="shared" si="2"/>
        <v>10000</v>
      </c>
      <c r="J67" s="131"/>
    </row>
    <row r="68" spans="1:10" x14ac:dyDescent="0.3">
      <c r="A68" s="131"/>
      <c r="B68" s="134">
        <v>42703</v>
      </c>
      <c r="C68" s="135" t="s">
        <v>23</v>
      </c>
      <c r="D68" s="135" t="s">
        <v>56</v>
      </c>
      <c r="E68" s="135">
        <v>118.6</v>
      </c>
      <c r="F68" s="135">
        <v>117</v>
      </c>
      <c r="G68" s="135">
        <v>1.6</v>
      </c>
      <c r="H68" s="135">
        <v>5000</v>
      </c>
      <c r="I68" s="135">
        <f t="shared" si="2"/>
        <v>8000</v>
      </c>
      <c r="J68" s="131"/>
    </row>
    <row r="69" spans="1:10" x14ac:dyDescent="0.3">
      <c r="A69" s="131"/>
      <c r="B69" s="134">
        <v>42704</v>
      </c>
      <c r="C69" s="135" t="s">
        <v>23</v>
      </c>
      <c r="D69" s="135" t="s">
        <v>56</v>
      </c>
      <c r="E69" s="135">
        <v>118</v>
      </c>
      <c r="F69" s="135">
        <v>117.3</v>
      </c>
      <c r="G69" s="135">
        <v>0.7</v>
      </c>
      <c r="H69" s="135">
        <v>5000</v>
      </c>
      <c r="I69" s="135">
        <f t="shared" si="2"/>
        <v>3500</v>
      </c>
      <c r="J69" s="131"/>
    </row>
    <row r="70" spans="1:10" x14ac:dyDescent="0.3">
      <c r="A70" s="131"/>
      <c r="B70" s="134"/>
      <c r="C70" s="135"/>
      <c r="D70" s="135"/>
      <c r="E70" s="135"/>
      <c r="F70" s="135"/>
      <c r="G70" s="135"/>
      <c r="H70" s="135"/>
      <c r="I70" s="135"/>
      <c r="J70" s="131"/>
    </row>
    <row r="71" spans="1:10" s="172" customFormat="1" ht="18" x14ac:dyDescent="0.35">
      <c r="A71" s="169"/>
      <c r="B71" s="170"/>
      <c r="C71" s="170"/>
      <c r="D71" s="170"/>
      <c r="E71" s="170"/>
      <c r="F71" s="170"/>
      <c r="G71" s="170"/>
      <c r="H71" s="107"/>
      <c r="I71" s="138">
        <f>SUM(I51:I70)</f>
        <v>58750</v>
      </c>
      <c r="J71" s="171"/>
    </row>
    <row r="72" spans="1:10" x14ac:dyDescent="0.3">
      <c r="A72" s="131"/>
      <c r="I72" s="73"/>
      <c r="J72" s="131"/>
    </row>
    <row r="73" spans="1:10" x14ac:dyDescent="0.3">
      <c r="A73" s="131"/>
      <c r="J73" s="131"/>
    </row>
    <row r="74" spans="1:10" x14ac:dyDescent="0.3">
      <c r="A74" s="131"/>
      <c r="J74" s="131"/>
    </row>
    <row r="75" spans="1:10" x14ac:dyDescent="0.3">
      <c r="A75" s="131"/>
      <c r="J75" s="131"/>
    </row>
    <row r="76" spans="1:10" x14ac:dyDescent="0.3">
      <c r="A76" s="131"/>
      <c r="J76" s="131"/>
    </row>
    <row r="77" spans="1:10" x14ac:dyDescent="0.3">
      <c r="A77" s="131"/>
      <c r="J77" s="131"/>
    </row>
    <row r="78" spans="1:10" x14ac:dyDescent="0.3">
      <c r="A78" s="131"/>
      <c r="J78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F00-000000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90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3">
        <v>42705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42705</v>
      </c>
      <c r="C6" s="135" t="s">
        <v>23</v>
      </c>
      <c r="D6" s="135" t="s">
        <v>24</v>
      </c>
      <c r="E6" s="135">
        <v>28070</v>
      </c>
      <c r="F6" s="135">
        <v>27940</v>
      </c>
      <c r="G6" s="135">
        <v>130</v>
      </c>
      <c r="H6" s="135">
        <v>100</v>
      </c>
      <c r="I6" s="135">
        <v>13000</v>
      </c>
      <c r="J6" s="17"/>
      <c r="K6" s="71"/>
    </row>
    <row r="7" spans="1:15" x14ac:dyDescent="0.3">
      <c r="A7" s="17"/>
      <c r="B7" s="134">
        <v>42706</v>
      </c>
      <c r="C7" s="135" t="s">
        <v>23</v>
      </c>
      <c r="D7" s="135" t="s">
        <v>24</v>
      </c>
      <c r="E7" s="135">
        <v>28140</v>
      </c>
      <c r="F7" s="135">
        <v>28040</v>
      </c>
      <c r="G7" s="135">
        <v>100</v>
      </c>
      <c r="H7" s="135">
        <v>100</v>
      </c>
      <c r="I7" s="135">
        <v>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42709</v>
      </c>
      <c r="C8" s="151" t="s">
        <v>23</v>
      </c>
      <c r="D8" s="151" t="s">
        <v>24</v>
      </c>
      <c r="E8" s="151">
        <v>28140</v>
      </c>
      <c r="F8" s="151">
        <v>27940</v>
      </c>
      <c r="G8" s="151">
        <v>200</v>
      </c>
      <c r="H8" s="151">
        <v>100</v>
      </c>
      <c r="I8" s="135">
        <v>20000</v>
      </c>
      <c r="J8" s="17"/>
      <c r="K8" s="71" t="s">
        <v>257</v>
      </c>
      <c r="L8" s="165" t="s">
        <v>553</v>
      </c>
      <c r="M8" s="101" t="s">
        <v>267</v>
      </c>
      <c r="N8" s="101" t="s">
        <v>264</v>
      </c>
      <c r="O8" s="101"/>
    </row>
    <row r="9" spans="1:15" x14ac:dyDescent="0.3">
      <c r="A9" s="17"/>
      <c r="B9" s="134">
        <v>42710</v>
      </c>
      <c r="C9" s="151" t="s">
        <v>23</v>
      </c>
      <c r="D9" s="151" t="s">
        <v>24</v>
      </c>
      <c r="E9" s="151">
        <v>28000</v>
      </c>
      <c r="F9" s="151">
        <v>27860</v>
      </c>
      <c r="G9" s="151">
        <v>140</v>
      </c>
      <c r="H9" s="151">
        <v>100</v>
      </c>
      <c r="I9" s="135">
        <v>14000</v>
      </c>
      <c r="J9" s="17"/>
      <c r="K9" s="71" t="s">
        <v>258</v>
      </c>
      <c r="L9" s="165" t="s">
        <v>621</v>
      </c>
      <c r="M9" s="101" t="s">
        <v>435</v>
      </c>
      <c r="N9" s="101" t="s">
        <v>261</v>
      </c>
      <c r="O9" s="101"/>
    </row>
    <row r="10" spans="1:15" x14ac:dyDescent="0.3">
      <c r="A10" s="17"/>
      <c r="B10" s="134">
        <v>42711</v>
      </c>
      <c r="C10" s="151" t="s">
        <v>23</v>
      </c>
      <c r="D10" s="151" t="s">
        <v>24</v>
      </c>
      <c r="E10" s="151">
        <v>27880</v>
      </c>
      <c r="F10" s="151">
        <v>27980</v>
      </c>
      <c r="G10" s="151">
        <v>-100</v>
      </c>
      <c r="H10" s="151">
        <v>100</v>
      </c>
      <c r="I10" s="135">
        <v>-10000</v>
      </c>
      <c r="J10" s="17"/>
      <c r="K10" s="71" t="s">
        <v>259</v>
      </c>
      <c r="L10" s="165" t="s">
        <v>435</v>
      </c>
      <c r="M10" s="101" t="s">
        <v>553</v>
      </c>
      <c r="N10" s="101" t="s">
        <v>261</v>
      </c>
      <c r="O10" s="101"/>
    </row>
    <row r="11" spans="1:15" x14ac:dyDescent="0.3">
      <c r="A11" s="17"/>
      <c r="B11" s="134">
        <v>42712</v>
      </c>
      <c r="C11" s="135" t="s">
        <v>23</v>
      </c>
      <c r="D11" s="135" t="s">
        <v>24</v>
      </c>
      <c r="E11" s="135">
        <v>27900</v>
      </c>
      <c r="F11" s="135">
        <v>27800</v>
      </c>
      <c r="G11" s="135">
        <v>100</v>
      </c>
      <c r="H11" s="135">
        <v>100</v>
      </c>
      <c r="I11" s="135">
        <v>10000</v>
      </c>
      <c r="J11" s="17"/>
      <c r="K11" s="71" t="s">
        <v>300</v>
      </c>
      <c r="L11" s="104" t="s">
        <v>437</v>
      </c>
      <c r="M11" s="104" t="s">
        <v>671</v>
      </c>
      <c r="N11" s="104" t="s">
        <v>436</v>
      </c>
      <c r="O11" s="104"/>
    </row>
    <row r="12" spans="1:15" x14ac:dyDescent="0.3">
      <c r="A12" s="17"/>
      <c r="B12" s="134">
        <v>42713</v>
      </c>
      <c r="C12" s="135" t="s">
        <v>23</v>
      </c>
      <c r="D12" s="135" t="s">
        <v>24</v>
      </c>
      <c r="E12" s="135">
        <v>27780</v>
      </c>
      <c r="F12" s="135">
        <v>27580</v>
      </c>
      <c r="G12" s="135">
        <v>200</v>
      </c>
      <c r="H12" s="135">
        <v>100</v>
      </c>
      <c r="I12" s="135">
        <v>20000</v>
      </c>
      <c r="J12" s="17"/>
    </row>
    <row r="13" spans="1:15" x14ac:dyDescent="0.3">
      <c r="A13" s="17"/>
      <c r="B13" s="134">
        <v>42716</v>
      </c>
      <c r="C13" s="135" t="s">
        <v>23</v>
      </c>
      <c r="D13" s="135" t="s">
        <v>24</v>
      </c>
      <c r="E13" s="135">
        <v>27450</v>
      </c>
      <c r="F13" s="135">
        <v>27530</v>
      </c>
      <c r="G13" s="135">
        <v>-70</v>
      </c>
      <c r="H13" s="135">
        <v>100</v>
      </c>
      <c r="I13" s="135">
        <v>-7000</v>
      </c>
      <c r="J13" s="17"/>
      <c r="K13" s="71"/>
    </row>
    <row r="14" spans="1:15" x14ac:dyDescent="0.3">
      <c r="A14" s="17"/>
      <c r="B14" s="134">
        <v>42717</v>
      </c>
      <c r="C14" s="135" t="s">
        <v>23</v>
      </c>
      <c r="D14" s="135" t="s">
        <v>24</v>
      </c>
      <c r="E14" s="135">
        <v>27600</v>
      </c>
      <c r="F14" s="135">
        <v>27500</v>
      </c>
      <c r="G14" s="135">
        <v>100</v>
      </c>
      <c r="H14" s="135">
        <v>100</v>
      </c>
      <c r="I14" s="135">
        <v>10000</v>
      </c>
      <c r="J14" s="17"/>
      <c r="K14" s="132"/>
      <c r="L14" s="127" t="s">
        <v>832</v>
      </c>
      <c r="M14" s="128"/>
      <c r="N14" s="133" t="s">
        <v>857</v>
      </c>
    </row>
    <row r="15" spans="1:15" x14ac:dyDescent="0.3">
      <c r="A15" s="17"/>
      <c r="B15" s="134">
        <v>42718</v>
      </c>
      <c r="C15" s="135" t="s">
        <v>23</v>
      </c>
      <c r="D15" s="135" t="s">
        <v>24</v>
      </c>
      <c r="E15" s="135">
        <v>27640</v>
      </c>
      <c r="F15" s="135">
        <v>27570</v>
      </c>
      <c r="G15" s="135">
        <v>70</v>
      </c>
      <c r="H15" s="135">
        <v>100</v>
      </c>
      <c r="I15" s="135">
        <v>7000</v>
      </c>
      <c r="J15" s="17"/>
      <c r="K15" s="71"/>
    </row>
    <row r="16" spans="1:15" x14ac:dyDescent="0.3">
      <c r="A16" s="17"/>
      <c r="B16" s="134">
        <v>42719</v>
      </c>
      <c r="C16" s="135" t="s">
        <v>23</v>
      </c>
      <c r="D16" s="135" t="s">
        <v>24</v>
      </c>
      <c r="E16" s="135">
        <v>27270</v>
      </c>
      <c r="F16" s="135">
        <v>27070</v>
      </c>
      <c r="G16" s="135">
        <v>200</v>
      </c>
      <c r="H16" s="135">
        <v>100</v>
      </c>
      <c r="I16" s="135">
        <v>20000</v>
      </c>
      <c r="J16" s="17"/>
      <c r="K16" s="71"/>
    </row>
    <row r="17" spans="1:11" x14ac:dyDescent="0.3">
      <c r="A17" s="17"/>
      <c r="B17" s="134">
        <v>42720</v>
      </c>
      <c r="C17" s="135" t="s">
        <v>23</v>
      </c>
      <c r="D17" s="135" t="s">
        <v>24</v>
      </c>
      <c r="E17" s="135">
        <v>27120</v>
      </c>
      <c r="F17" s="135">
        <v>26975</v>
      </c>
      <c r="G17" s="135">
        <v>145</v>
      </c>
      <c r="H17" s="135">
        <v>100</v>
      </c>
      <c r="I17" s="135">
        <v>14500</v>
      </c>
      <c r="J17" s="17"/>
      <c r="K17" s="71"/>
    </row>
    <row r="18" spans="1:11" x14ac:dyDescent="0.3">
      <c r="A18" s="17"/>
      <c r="B18" s="134">
        <v>42723</v>
      </c>
      <c r="C18" s="135" t="s">
        <v>23</v>
      </c>
      <c r="D18" s="135" t="s">
        <v>24</v>
      </c>
      <c r="E18" s="135">
        <v>27240</v>
      </c>
      <c r="F18" s="135">
        <v>27180</v>
      </c>
      <c r="G18" s="135">
        <v>60</v>
      </c>
      <c r="H18" s="135">
        <v>100</v>
      </c>
      <c r="I18" s="135">
        <v>6000</v>
      </c>
      <c r="J18" s="17"/>
      <c r="K18" s="71"/>
    </row>
    <row r="19" spans="1:11" x14ac:dyDescent="0.3">
      <c r="A19" s="17"/>
      <c r="B19" s="134">
        <v>42724</v>
      </c>
      <c r="C19" s="135" t="s">
        <v>23</v>
      </c>
      <c r="D19" s="135" t="s">
        <v>24</v>
      </c>
      <c r="E19" s="135">
        <v>27120</v>
      </c>
      <c r="F19" s="135">
        <v>27020</v>
      </c>
      <c r="G19" s="135">
        <v>100</v>
      </c>
      <c r="H19" s="135">
        <v>100</v>
      </c>
      <c r="I19" s="135">
        <v>10000</v>
      </c>
      <c r="J19" s="17"/>
      <c r="K19" s="71"/>
    </row>
    <row r="20" spans="1:11" x14ac:dyDescent="0.3">
      <c r="A20" s="17"/>
      <c r="B20" s="134">
        <v>42725</v>
      </c>
      <c r="C20" s="135" t="s">
        <v>23</v>
      </c>
      <c r="D20" s="135" t="s">
        <v>24</v>
      </c>
      <c r="E20" s="135">
        <v>27180</v>
      </c>
      <c r="F20" s="135">
        <v>29980</v>
      </c>
      <c r="G20" s="135">
        <v>200</v>
      </c>
      <c r="H20" s="135">
        <v>100</v>
      </c>
      <c r="I20" s="135">
        <v>20000</v>
      </c>
      <c r="J20" s="17"/>
      <c r="K20" s="71"/>
    </row>
    <row r="21" spans="1:11" x14ac:dyDescent="0.3">
      <c r="A21" s="17"/>
      <c r="B21" s="134">
        <v>42726</v>
      </c>
      <c r="C21" s="135" t="s">
        <v>23</v>
      </c>
      <c r="D21" s="135" t="s">
        <v>24</v>
      </c>
      <c r="E21" s="135">
        <v>26950</v>
      </c>
      <c r="F21" s="135">
        <v>27050</v>
      </c>
      <c r="G21" s="135">
        <v>-100</v>
      </c>
      <c r="H21" s="135">
        <v>100</v>
      </c>
      <c r="I21" s="135">
        <v>-10000</v>
      </c>
      <c r="J21" s="17"/>
      <c r="K21" s="71"/>
    </row>
    <row r="22" spans="1:11" x14ac:dyDescent="0.3">
      <c r="A22" s="17"/>
      <c r="B22" s="134">
        <v>42727</v>
      </c>
      <c r="C22" s="135" t="s">
        <v>23</v>
      </c>
      <c r="D22" s="135" t="s">
        <v>24</v>
      </c>
      <c r="E22" s="135">
        <v>26960</v>
      </c>
      <c r="F22" s="135">
        <v>26980</v>
      </c>
      <c r="G22" s="135">
        <v>-20</v>
      </c>
      <c r="H22" s="135">
        <v>100</v>
      </c>
      <c r="I22" s="135">
        <v>-2000</v>
      </c>
      <c r="J22" s="17"/>
      <c r="K22" s="71"/>
    </row>
    <row r="23" spans="1:11" x14ac:dyDescent="0.3">
      <c r="A23" s="17"/>
      <c r="B23" s="134">
        <v>42731</v>
      </c>
      <c r="C23" s="135" t="s">
        <v>23</v>
      </c>
      <c r="D23" s="135" t="s">
        <v>24</v>
      </c>
      <c r="E23" s="135">
        <v>27300</v>
      </c>
      <c r="F23" s="135">
        <v>27160</v>
      </c>
      <c r="G23" s="135">
        <v>140</v>
      </c>
      <c r="H23" s="135">
        <v>100</v>
      </c>
      <c r="I23" s="135">
        <v>14000</v>
      </c>
      <c r="J23" s="17"/>
      <c r="K23" s="71"/>
    </row>
    <row r="24" spans="1:11" x14ac:dyDescent="0.3">
      <c r="A24" s="17"/>
      <c r="B24" s="134">
        <v>42732</v>
      </c>
      <c r="C24" s="135" t="s">
        <v>23</v>
      </c>
      <c r="D24" s="135" t="s">
        <v>24</v>
      </c>
      <c r="E24" s="135">
        <v>27300</v>
      </c>
      <c r="F24" s="135">
        <v>27200</v>
      </c>
      <c r="G24" s="135">
        <v>100</v>
      </c>
      <c r="H24" s="135">
        <v>100</v>
      </c>
      <c r="I24" s="135">
        <v>10000</v>
      </c>
      <c r="J24" s="17"/>
      <c r="K24" s="71"/>
    </row>
    <row r="25" spans="1:11" x14ac:dyDescent="0.3">
      <c r="A25" s="17"/>
      <c r="B25" s="134">
        <v>42733</v>
      </c>
      <c r="C25" s="135" t="s">
        <v>23</v>
      </c>
      <c r="D25" s="135" t="s">
        <v>24</v>
      </c>
      <c r="E25" s="135">
        <v>27430</v>
      </c>
      <c r="F25" s="135">
        <v>27330</v>
      </c>
      <c r="G25" s="135">
        <v>100</v>
      </c>
      <c r="H25" s="135">
        <v>100</v>
      </c>
      <c r="I25" s="135">
        <v>10000</v>
      </c>
      <c r="J25" s="17"/>
      <c r="K25" s="71"/>
    </row>
    <row r="26" spans="1:11" x14ac:dyDescent="0.3">
      <c r="A26" s="17"/>
      <c r="B26" s="134">
        <v>42734</v>
      </c>
      <c r="C26" s="135" t="s">
        <v>23</v>
      </c>
      <c r="D26" s="135" t="s">
        <v>24</v>
      </c>
      <c r="E26" s="135">
        <v>27580</v>
      </c>
      <c r="F26" s="135">
        <v>27480</v>
      </c>
      <c r="G26" s="135">
        <v>100</v>
      </c>
      <c r="H26" s="135">
        <v>100</v>
      </c>
      <c r="I26" s="135">
        <v>10000</v>
      </c>
      <c r="J26" s="17"/>
      <c r="K26" s="71"/>
    </row>
    <row r="27" spans="1:11" x14ac:dyDescent="0.3">
      <c r="A27" s="17"/>
      <c r="C27" s="135"/>
      <c r="D27" s="135"/>
      <c r="E27" s="135"/>
      <c r="F27" s="135"/>
      <c r="G27" s="135"/>
      <c r="H27" s="135"/>
      <c r="I27" s="135"/>
      <c r="J27" s="17"/>
      <c r="K27" s="71"/>
    </row>
    <row r="28" spans="1:11" x14ac:dyDescent="0.3">
      <c r="A28" s="17"/>
      <c r="C28" s="135"/>
      <c r="D28" s="135"/>
      <c r="E28" s="135"/>
      <c r="F28" s="135"/>
      <c r="G28" s="135"/>
      <c r="H28" s="135"/>
      <c r="I28" s="135"/>
      <c r="J28" s="17"/>
      <c r="K28" s="71"/>
    </row>
    <row r="29" spans="1:11" x14ac:dyDescent="0.3">
      <c r="A29" s="17"/>
      <c r="B29" s="134"/>
      <c r="C29" s="135"/>
      <c r="D29" s="135"/>
      <c r="E29" s="135"/>
      <c r="F29" s="135"/>
      <c r="G29" s="135"/>
      <c r="H29" s="135"/>
      <c r="I29" s="135"/>
      <c r="J29" s="17"/>
      <c r="K29" s="71"/>
    </row>
    <row r="30" spans="1:11" ht="17.399999999999999" x14ac:dyDescent="0.3">
      <c r="A30" s="17"/>
      <c r="B30" s="134"/>
      <c r="C30" s="157"/>
      <c r="D30" s="156"/>
      <c r="E30" s="158"/>
      <c r="F30" s="157"/>
      <c r="G30" s="157"/>
      <c r="H30" s="157"/>
      <c r="I30" s="106">
        <v>189500</v>
      </c>
      <c r="J30" s="17"/>
    </row>
    <row r="31" spans="1:11" x14ac:dyDescent="0.3">
      <c r="A31" s="17"/>
      <c r="C31" s="157"/>
      <c r="D31" s="158"/>
      <c r="E31" s="158"/>
      <c r="F31" s="157"/>
      <c r="G31" s="157"/>
      <c r="H31" s="157"/>
      <c r="I31" s="157"/>
      <c r="J31" s="17"/>
    </row>
    <row r="32" spans="1:11" x14ac:dyDescent="0.3">
      <c r="A32" s="17"/>
      <c r="B32" s="164" t="s">
        <v>789</v>
      </c>
      <c r="C32" s="159"/>
      <c r="D32" s="160"/>
      <c r="E32" s="159"/>
      <c r="F32" s="159"/>
      <c r="G32" s="159"/>
      <c r="H32" s="159"/>
      <c r="I32" s="159"/>
      <c r="J32" s="17"/>
    </row>
    <row r="33" spans="1:10" x14ac:dyDescent="0.3">
      <c r="A33" s="17"/>
      <c r="B33" s="134">
        <v>42705</v>
      </c>
      <c r="C33" s="135" t="s">
        <v>23</v>
      </c>
      <c r="D33" s="135" t="s">
        <v>25</v>
      </c>
      <c r="E33" s="135">
        <v>3420</v>
      </c>
      <c r="F33" s="135">
        <v>3460</v>
      </c>
      <c r="G33" s="135">
        <v>-40</v>
      </c>
      <c r="H33" s="135">
        <v>100</v>
      </c>
      <c r="I33" s="135">
        <v>-4000</v>
      </c>
      <c r="J33" s="17"/>
    </row>
    <row r="34" spans="1:10" x14ac:dyDescent="0.3">
      <c r="A34" s="17"/>
      <c r="B34" s="134">
        <v>42706</v>
      </c>
      <c r="C34" s="135" t="s">
        <v>23</v>
      </c>
      <c r="D34" s="135" t="s">
        <v>25</v>
      </c>
      <c r="E34" s="135">
        <v>3475</v>
      </c>
      <c r="F34" s="135">
        <v>3440</v>
      </c>
      <c r="G34" s="135">
        <v>35</v>
      </c>
      <c r="H34" s="135">
        <v>100</v>
      </c>
      <c r="I34" s="135">
        <v>3500</v>
      </c>
      <c r="J34" s="17"/>
    </row>
    <row r="35" spans="1:10" x14ac:dyDescent="0.3">
      <c r="A35" s="17"/>
      <c r="B35" s="134">
        <v>42706</v>
      </c>
      <c r="C35" s="135" t="s">
        <v>23</v>
      </c>
      <c r="D35" s="135" t="s">
        <v>26</v>
      </c>
      <c r="E35" s="135">
        <v>240</v>
      </c>
      <c r="F35" s="135">
        <v>237.5</v>
      </c>
      <c r="G35" s="135">
        <v>2.5</v>
      </c>
      <c r="H35" s="135">
        <v>1250</v>
      </c>
      <c r="I35" s="135">
        <v>3125</v>
      </c>
      <c r="J35" s="17"/>
    </row>
    <row r="36" spans="1:10" x14ac:dyDescent="0.3">
      <c r="A36" s="17"/>
      <c r="B36" s="134">
        <v>42709</v>
      </c>
      <c r="C36" s="135" t="s">
        <v>23</v>
      </c>
      <c r="D36" s="135" t="s">
        <v>25</v>
      </c>
      <c r="E36" s="135">
        <v>3570</v>
      </c>
      <c r="F36" s="135">
        <v>3540</v>
      </c>
      <c r="G36" s="135">
        <v>30</v>
      </c>
      <c r="H36" s="135">
        <v>100</v>
      </c>
      <c r="I36" s="135">
        <v>3000</v>
      </c>
      <c r="J36" s="17"/>
    </row>
    <row r="37" spans="1:10" x14ac:dyDescent="0.3">
      <c r="A37" s="17"/>
      <c r="B37" s="134">
        <v>42710</v>
      </c>
      <c r="C37" s="135" t="s">
        <v>23</v>
      </c>
      <c r="D37" s="135" t="s">
        <v>25</v>
      </c>
      <c r="E37" s="135">
        <v>3490</v>
      </c>
      <c r="F37" s="135">
        <v>3415</v>
      </c>
      <c r="G37" s="135">
        <v>75</v>
      </c>
      <c r="H37" s="135">
        <v>100</v>
      </c>
      <c r="I37" s="135">
        <v>7500</v>
      </c>
      <c r="J37" s="17"/>
    </row>
    <row r="38" spans="1:10" x14ac:dyDescent="0.3">
      <c r="A38" s="17"/>
      <c r="B38" s="134">
        <v>42711</v>
      </c>
      <c r="C38" s="135" t="s">
        <v>23</v>
      </c>
      <c r="D38" s="135" t="s">
        <v>25</v>
      </c>
      <c r="E38" s="135">
        <v>3470</v>
      </c>
      <c r="F38" s="135">
        <v>3400</v>
      </c>
      <c r="G38" s="135">
        <v>70</v>
      </c>
      <c r="H38" s="135">
        <v>100</v>
      </c>
      <c r="I38" s="135">
        <v>7000</v>
      </c>
      <c r="J38" s="17"/>
    </row>
    <row r="39" spans="1:10" x14ac:dyDescent="0.3">
      <c r="A39" s="17"/>
      <c r="B39" s="134">
        <v>42712</v>
      </c>
      <c r="C39" s="135" t="s">
        <v>23</v>
      </c>
      <c r="D39" s="135" t="s">
        <v>25</v>
      </c>
      <c r="E39" s="135">
        <v>3370</v>
      </c>
      <c r="F39" s="135">
        <v>3410</v>
      </c>
      <c r="G39" s="135">
        <v>-40</v>
      </c>
      <c r="H39" s="135">
        <v>100</v>
      </c>
      <c r="I39" s="135">
        <v>-4000</v>
      </c>
      <c r="J39" s="17"/>
    </row>
    <row r="40" spans="1:10" x14ac:dyDescent="0.3">
      <c r="A40" s="17"/>
      <c r="B40" s="134">
        <v>42712</v>
      </c>
      <c r="C40" s="135" t="s">
        <v>23</v>
      </c>
      <c r="D40" s="135" t="s">
        <v>26</v>
      </c>
      <c r="E40" s="135">
        <v>243</v>
      </c>
      <c r="F40" s="135">
        <v>238</v>
      </c>
      <c r="G40" s="135">
        <v>5</v>
      </c>
      <c r="H40" s="135">
        <v>1250</v>
      </c>
      <c r="I40" s="135">
        <v>6250</v>
      </c>
      <c r="J40" s="17"/>
    </row>
    <row r="41" spans="1:10" x14ac:dyDescent="0.3">
      <c r="A41" s="17"/>
      <c r="B41" s="134">
        <v>42713</v>
      </c>
      <c r="C41" s="135" t="s">
        <v>23</v>
      </c>
      <c r="D41" s="135" t="s">
        <v>25</v>
      </c>
      <c r="E41" s="135">
        <v>3470</v>
      </c>
      <c r="F41" s="135">
        <v>3450</v>
      </c>
      <c r="G41" s="135">
        <v>20</v>
      </c>
      <c r="H41" s="135">
        <v>100</v>
      </c>
      <c r="I41" s="135">
        <v>2000</v>
      </c>
      <c r="J41" s="17"/>
    </row>
    <row r="42" spans="1:10" x14ac:dyDescent="0.3">
      <c r="A42" s="17"/>
      <c r="B42" s="134">
        <v>42716</v>
      </c>
      <c r="C42" s="135" t="s">
        <v>23</v>
      </c>
      <c r="D42" s="135" t="s">
        <v>25</v>
      </c>
      <c r="E42" s="135">
        <v>3630</v>
      </c>
      <c r="F42" s="135">
        <v>3570</v>
      </c>
      <c r="G42" s="135">
        <v>60</v>
      </c>
      <c r="H42" s="135">
        <v>100</v>
      </c>
      <c r="I42" s="135">
        <v>6000</v>
      </c>
      <c r="J42" s="17"/>
    </row>
    <row r="43" spans="1:10" x14ac:dyDescent="0.3">
      <c r="A43" s="17"/>
      <c r="B43" s="134">
        <v>42717</v>
      </c>
      <c r="C43" s="135" t="s">
        <v>23</v>
      </c>
      <c r="D43" s="135" t="s">
        <v>25</v>
      </c>
      <c r="E43" s="135">
        <v>3585</v>
      </c>
      <c r="F43" s="135">
        <v>3540</v>
      </c>
      <c r="G43" s="135">
        <v>45</v>
      </c>
      <c r="H43" s="135">
        <v>100</v>
      </c>
      <c r="I43" s="135">
        <v>4500</v>
      </c>
      <c r="J43" s="17"/>
    </row>
    <row r="44" spans="1:10" x14ac:dyDescent="0.3">
      <c r="A44" s="17"/>
      <c r="B44" s="134">
        <v>42718</v>
      </c>
      <c r="C44" s="135" t="s">
        <v>23</v>
      </c>
      <c r="D44" s="135" t="s">
        <v>25</v>
      </c>
      <c r="E44" s="135">
        <v>3545</v>
      </c>
      <c r="F44" s="135">
        <v>3500</v>
      </c>
      <c r="G44" s="135">
        <v>45</v>
      </c>
      <c r="H44" s="135">
        <v>100</v>
      </c>
      <c r="I44" s="135">
        <v>4500</v>
      </c>
      <c r="J44" s="17"/>
    </row>
    <row r="45" spans="1:10" x14ac:dyDescent="0.3">
      <c r="A45" s="17"/>
      <c r="B45" s="134">
        <v>42719</v>
      </c>
      <c r="C45" s="135" t="s">
        <v>23</v>
      </c>
      <c r="D45" s="135" t="s">
        <v>26</v>
      </c>
      <c r="E45" s="135">
        <v>240</v>
      </c>
      <c r="F45" s="135">
        <v>233</v>
      </c>
      <c r="G45" s="135">
        <v>7</v>
      </c>
      <c r="H45" s="135">
        <v>1250</v>
      </c>
      <c r="I45" s="135">
        <v>8750</v>
      </c>
      <c r="J45" s="17"/>
    </row>
    <row r="46" spans="1:10" x14ac:dyDescent="0.3">
      <c r="A46" s="17"/>
      <c r="B46" s="134">
        <v>42719</v>
      </c>
      <c r="C46" s="135" t="s">
        <v>16</v>
      </c>
      <c r="D46" s="135" t="s">
        <v>25</v>
      </c>
      <c r="E46" s="135">
        <v>3460</v>
      </c>
      <c r="F46" s="135">
        <v>3480</v>
      </c>
      <c r="G46" s="135">
        <v>20</v>
      </c>
      <c r="H46" s="135">
        <v>100</v>
      </c>
      <c r="I46" s="135">
        <v>2000</v>
      </c>
      <c r="J46" s="17"/>
    </row>
    <row r="47" spans="1:10" x14ac:dyDescent="0.3">
      <c r="A47" s="17"/>
      <c r="B47" s="134">
        <v>42720</v>
      </c>
      <c r="C47" s="135" t="s">
        <v>23</v>
      </c>
      <c r="D47" s="135" t="s">
        <v>25</v>
      </c>
      <c r="E47" s="135">
        <v>3465</v>
      </c>
      <c r="F47" s="135">
        <v>3430</v>
      </c>
      <c r="G47" s="135">
        <v>35</v>
      </c>
      <c r="H47" s="135">
        <v>100</v>
      </c>
      <c r="I47" s="135">
        <v>3500</v>
      </c>
      <c r="J47" s="17"/>
    </row>
    <row r="48" spans="1:10" x14ac:dyDescent="0.3">
      <c r="A48" s="17"/>
      <c r="B48" s="134">
        <v>42723</v>
      </c>
      <c r="C48" s="135" t="s">
        <v>23</v>
      </c>
      <c r="D48" s="135" t="s">
        <v>25</v>
      </c>
      <c r="E48" s="135">
        <v>3620</v>
      </c>
      <c r="F48" s="135">
        <v>3582</v>
      </c>
      <c r="G48" s="135">
        <v>18</v>
      </c>
      <c r="H48" s="135">
        <v>100</v>
      </c>
      <c r="I48" s="135">
        <v>1800</v>
      </c>
      <c r="J48" s="17"/>
    </row>
    <row r="49" spans="1:10" x14ac:dyDescent="0.3">
      <c r="A49" s="17"/>
      <c r="B49" s="134">
        <v>42724</v>
      </c>
      <c r="C49" s="135" t="s">
        <v>16</v>
      </c>
      <c r="D49" s="135" t="s">
        <v>25</v>
      </c>
      <c r="E49" s="135">
        <v>3630</v>
      </c>
      <c r="F49" s="135">
        <v>3660</v>
      </c>
      <c r="G49" s="135">
        <v>30</v>
      </c>
      <c r="H49" s="135">
        <v>100</v>
      </c>
      <c r="I49" s="135">
        <v>3000</v>
      </c>
      <c r="J49" s="17"/>
    </row>
    <row r="50" spans="1:10" x14ac:dyDescent="0.3">
      <c r="A50" s="17"/>
      <c r="B50" s="134">
        <v>42725</v>
      </c>
      <c r="C50" s="135" t="s">
        <v>23</v>
      </c>
      <c r="D50" s="135" t="s">
        <v>25</v>
      </c>
      <c r="E50" s="135">
        <v>3655</v>
      </c>
      <c r="F50" s="135">
        <v>3588</v>
      </c>
      <c r="G50" s="135">
        <v>67</v>
      </c>
      <c r="H50" s="135">
        <v>100</v>
      </c>
      <c r="I50" s="135">
        <v>6700</v>
      </c>
      <c r="J50" s="17"/>
    </row>
    <row r="51" spans="1:10" x14ac:dyDescent="0.3">
      <c r="A51" s="17"/>
      <c r="B51" s="134">
        <v>42726</v>
      </c>
      <c r="C51" s="135" t="s">
        <v>23</v>
      </c>
      <c r="D51" s="135" t="s">
        <v>25</v>
      </c>
      <c r="E51" s="135">
        <v>3575</v>
      </c>
      <c r="F51" s="135">
        <v>3554</v>
      </c>
      <c r="G51" s="135">
        <v>21</v>
      </c>
      <c r="H51" s="135">
        <v>100</v>
      </c>
      <c r="I51" s="135">
        <v>2100</v>
      </c>
      <c r="J51" s="17"/>
    </row>
    <row r="52" spans="1:10" x14ac:dyDescent="0.3">
      <c r="A52" s="17"/>
      <c r="B52" s="134">
        <v>42727</v>
      </c>
      <c r="C52" s="135" t="s">
        <v>23</v>
      </c>
      <c r="D52" s="135" t="s">
        <v>25</v>
      </c>
      <c r="E52" s="135">
        <v>3580</v>
      </c>
      <c r="F52" s="135">
        <v>3560</v>
      </c>
      <c r="G52" s="135">
        <v>20</v>
      </c>
      <c r="H52" s="135">
        <v>100</v>
      </c>
      <c r="I52" s="135">
        <v>2000</v>
      </c>
      <c r="J52" s="17"/>
    </row>
    <row r="53" spans="1:10" x14ac:dyDescent="0.3">
      <c r="A53" s="17"/>
      <c r="B53" s="134">
        <v>42731</v>
      </c>
      <c r="C53" s="135" t="s">
        <v>23</v>
      </c>
      <c r="D53" s="135" t="s">
        <v>25</v>
      </c>
      <c r="E53" s="135">
        <v>3625</v>
      </c>
      <c r="F53" s="135">
        <v>3670</v>
      </c>
      <c r="G53" s="135">
        <v>45</v>
      </c>
      <c r="H53" s="135">
        <v>100</v>
      </c>
      <c r="I53" s="135">
        <v>4500</v>
      </c>
      <c r="J53" s="17"/>
    </row>
    <row r="54" spans="1:10" x14ac:dyDescent="0.3">
      <c r="A54" s="17"/>
      <c r="B54" s="134">
        <v>42732</v>
      </c>
      <c r="C54" s="135" t="s">
        <v>23</v>
      </c>
      <c r="D54" s="135" t="s">
        <v>25</v>
      </c>
      <c r="E54" s="135">
        <v>3705</v>
      </c>
      <c r="F54" s="135">
        <v>3670</v>
      </c>
      <c r="G54" s="135">
        <v>35</v>
      </c>
      <c r="H54" s="135">
        <v>100</v>
      </c>
      <c r="I54" s="135">
        <v>3500</v>
      </c>
      <c r="J54" s="17"/>
    </row>
    <row r="55" spans="1:10" x14ac:dyDescent="0.3">
      <c r="A55" s="17"/>
      <c r="B55" s="134">
        <v>42733</v>
      </c>
      <c r="C55" s="135" t="s">
        <v>23</v>
      </c>
      <c r="D55" s="135" t="s">
        <v>25</v>
      </c>
      <c r="E55" s="135">
        <v>3680</v>
      </c>
      <c r="F55" s="135">
        <v>3655</v>
      </c>
      <c r="G55" s="135">
        <v>25</v>
      </c>
      <c r="H55" s="135">
        <v>100</v>
      </c>
      <c r="I55" s="135">
        <v>2500</v>
      </c>
      <c r="J55" s="17"/>
    </row>
    <row r="56" spans="1:10" x14ac:dyDescent="0.3">
      <c r="A56" s="17"/>
      <c r="B56" s="134">
        <v>42734</v>
      </c>
      <c r="C56" s="135" t="s">
        <v>23</v>
      </c>
      <c r="D56" s="135" t="s">
        <v>25</v>
      </c>
      <c r="E56" s="135">
        <v>3670</v>
      </c>
      <c r="F56" s="135">
        <v>3640</v>
      </c>
      <c r="G56" s="135">
        <v>30</v>
      </c>
      <c r="H56" s="135">
        <v>100</v>
      </c>
      <c r="I56" s="135">
        <v>3000</v>
      </c>
      <c r="J56" s="17"/>
    </row>
    <row r="57" spans="1:10" x14ac:dyDescent="0.3">
      <c r="A57" s="17"/>
      <c r="B57" s="134">
        <v>42734</v>
      </c>
      <c r="C57" s="135" t="s">
        <v>23</v>
      </c>
      <c r="D57" s="135" t="s">
        <v>26</v>
      </c>
      <c r="E57" s="135">
        <v>258</v>
      </c>
      <c r="F57" s="135">
        <v>252</v>
      </c>
      <c r="G57" s="135">
        <v>6</v>
      </c>
      <c r="H57" s="135">
        <v>1250</v>
      </c>
      <c r="I57" s="135">
        <f>H57*G57</f>
        <v>7500</v>
      </c>
      <c r="J57" s="17"/>
    </row>
    <row r="58" spans="1:10" x14ac:dyDescent="0.3">
      <c r="A58" s="17"/>
      <c r="B58" s="134"/>
      <c r="C58" s="135"/>
      <c r="D58" s="135"/>
      <c r="E58" s="135"/>
      <c r="F58" s="135"/>
      <c r="G58" s="135"/>
      <c r="H58" s="135"/>
      <c r="I58" s="135"/>
      <c r="J58" s="17"/>
    </row>
    <row r="59" spans="1:10" x14ac:dyDescent="0.3">
      <c r="A59" s="17"/>
      <c r="C59" s="135"/>
      <c r="D59" s="135"/>
      <c r="E59" s="135"/>
      <c r="F59" s="135"/>
      <c r="G59" s="135"/>
      <c r="H59" s="135"/>
      <c r="I59" s="135"/>
      <c r="J59" s="17"/>
    </row>
    <row r="60" spans="1:10" ht="18" x14ac:dyDescent="0.35">
      <c r="A60" s="142"/>
      <c r="B60" s="134"/>
      <c r="C60" s="137"/>
      <c r="D60" s="167"/>
      <c r="E60" s="137"/>
      <c r="F60" s="137"/>
      <c r="G60" s="137"/>
      <c r="H60" s="168"/>
      <c r="I60" s="106">
        <v>90225</v>
      </c>
      <c r="J60" s="17"/>
    </row>
    <row r="61" spans="1:10" x14ac:dyDescent="0.3">
      <c r="A61" s="17"/>
      <c r="B61" s="71"/>
      <c r="C61" s="157"/>
      <c r="D61" s="158"/>
      <c r="E61" s="157"/>
      <c r="F61" s="157"/>
      <c r="G61" s="157"/>
      <c r="H61" s="157"/>
      <c r="I61" s="157"/>
      <c r="J61" s="17"/>
    </row>
    <row r="62" spans="1:10" x14ac:dyDescent="0.3">
      <c r="A62" s="17"/>
      <c r="B62" s="164" t="s">
        <v>788</v>
      </c>
      <c r="C62" s="159"/>
      <c r="D62" s="160"/>
      <c r="E62" s="159"/>
      <c r="F62" s="159"/>
      <c r="G62" s="159"/>
      <c r="H62" s="159"/>
      <c r="I62" s="64"/>
      <c r="J62" s="17"/>
    </row>
    <row r="63" spans="1:10" x14ac:dyDescent="0.3">
      <c r="A63" s="17"/>
      <c r="B63" s="134">
        <v>42705</v>
      </c>
      <c r="C63" s="135" t="s">
        <v>23</v>
      </c>
      <c r="D63" s="135" t="s">
        <v>56</v>
      </c>
      <c r="E63" s="135">
        <v>118.2</v>
      </c>
      <c r="F63" s="135">
        <v>117.2</v>
      </c>
      <c r="G63" s="135">
        <v>1</v>
      </c>
      <c r="H63" s="135">
        <v>5000</v>
      </c>
      <c r="I63" s="135">
        <v>5000</v>
      </c>
      <c r="J63" s="17"/>
    </row>
    <row r="64" spans="1:10" x14ac:dyDescent="0.3">
      <c r="A64" s="17"/>
      <c r="B64" s="134">
        <v>42706</v>
      </c>
      <c r="C64" s="135" t="s">
        <v>23</v>
      </c>
      <c r="D64" s="135" t="s">
        <v>56</v>
      </c>
      <c r="E64" s="135">
        <v>117.2</v>
      </c>
      <c r="F64" s="135">
        <v>116.5</v>
      </c>
      <c r="G64" s="135">
        <v>0.7</v>
      </c>
      <c r="H64" s="135">
        <v>5000</v>
      </c>
      <c r="I64" s="135">
        <v>3500</v>
      </c>
      <c r="J64" s="17"/>
    </row>
    <row r="65" spans="1:10" x14ac:dyDescent="0.3">
      <c r="A65" s="17"/>
      <c r="B65" s="134">
        <v>42709</v>
      </c>
      <c r="C65" s="135" t="s">
        <v>16</v>
      </c>
      <c r="D65" s="135" t="s">
        <v>28</v>
      </c>
      <c r="E65" s="135">
        <v>185.3</v>
      </c>
      <c r="F65" s="135">
        <v>187.3</v>
      </c>
      <c r="G65" s="135">
        <v>2</v>
      </c>
      <c r="H65" s="135">
        <v>5000</v>
      </c>
      <c r="I65" s="135">
        <v>10000</v>
      </c>
      <c r="J65" s="131"/>
    </row>
    <row r="66" spans="1:10" x14ac:dyDescent="0.3">
      <c r="A66" s="131"/>
      <c r="B66" s="134">
        <v>42710</v>
      </c>
      <c r="C66" s="135" t="s">
        <v>23</v>
      </c>
      <c r="D66" s="135" t="s">
        <v>56</v>
      </c>
      <c r="E66" s="135">
        <v>117.1</v>
      </c>
      <c r="F66" s="135">
        <v>116</v>
      </c>
      <c r="G66" s="135">
        <v>1.1000000000000001</v>
      </c>
      <c r="H66" s="135">
        <v>5000</v>
      </c>
      <c r="I66" s="135">
        <v>5500</v>
      </c>
      <c r="J66" s="131"/>
    </row>
    <row r="67" spans="1:10" x14ac:dyDescent="0.3">
      <c r="A67" s="131"/>
      <c r="B67" s="134">
        <v>42711</v>
      </c>
      <c r="C67" s="135" t="s">
        <v>23</v>
      </c>
      <c r="D67" s="135" t="s">
        <v>56</v>
      </c>
      <c r="E67" s="135">
        <v>116.6</v>
      </c>
      <c r="F67" s="135">
        <v>116</v>
      </c>
      <c r="G67" s="135">
        <v>0.6</v>
      </c>
      <c r="H67" s="135">
        <v>5000</v>
      </c>
      <c r="I67" s="135">
        <v>3000</v>
      </c>
      <c r="J67" s="131"/>
    </row>
    <row r="68" spans="1:10" x14ac:dyDescent="0.3">
      <c r="A68" s="131"/>
      <c r="B68" s="134">
        <v>42711</v>
      </c>
      <c r="C68" s="135" t="s">
        <v>23</v>
      </c>
      <c r="D68" s="135" t="s">
        <v>29</v>
      </c>
      <c r="E68" s="135">
        <v>405</v>
      </c>
      <c r="F68" s="135">
        <v>396</v>
      </c>
      <c r="G68" s="135">
        <v>9</v>
      </c>
      <c r="H68" s="135">
        <v>1000</v>
      </c>
      <c r="I68" s="135">
        <v>9000</v>
      </c>
      <c r="J68" s="131"/>
    </row>
    <row r="69" spans="1:10" x14ac:dyDescent="0.3">
      <c r="A69" s="131"/>
      <c r="B69" s="134">
        <v>42712</v>
      </c>
      <c r="C69" s="135" t="s">
        <v>23</v>
      </c>
      <c r="D69" s="135" t="s">
        <v>29</v>
      </c>
      <c r="E69" s="135">
        <v>394</v>
      </c>
      <c r="F69" s="135">
        <v>391.3</v>
      </c>
      <c r="G69" s="135">
        <v>2.7</v>
      </c>
      <c r="H69" s="135">
        <v>1000</v>
      </c>
      <c r="I69" s="135">
        <v>2700</v>
      </c>
      <c r="J69" s="131"/>
    </row>
    <row r="70" spans="1:10" x14ac:dyDescent="0.3">
      <c r="A70" s="131"/>
      <c r="B70" s="134">
        <v>42713</v>
      </c>
      <c r="C70" s="135" t="s">
        <v>23</v>
      </c>
      <c r="D70" s="135" t="s">
        <v>29</v>
      </c>
      <c r="E70" s="135">
        <v>396</v>
      </c>
      <c r="F70" s="135">
        <v>394</v>
      </c>
      <c r="G70" s="135">
        <v>2</v>
      </c>
      <c r="H70" s="135">
        <v>1000</v>
      </c>
      <c r="I70" s="135">
        <v>2000</v>
      </c>
      <c r="J70" s="131"/>
    </row>
    <row r="71" spans="1:10" x14ac:dyDescent="0.3">
      <c r="A71" s="131"/>
      <c r="B71" s="134">
        <v>42716</v>
      </c>
      <c r="C71" s="135" t="s">
        <v>16</v>
      </c>
      <c r="D71" s="135" t="s">
        <v>28</v>
      </c>
      <c r="E71" s="135">
        <v>181.5</v>
      </c>
      <c r="F71" s="135">
        <v>183.5</v>
      </c>
      <c r="G71" s="135">
        <v>2</v>
      </c>
      <c r="H71" s="135">
        <v>5000</v>
      </c>
      <c r="I71" s="135">
        <v>10000</v>
      </c>
      <c r="J71" s="131"/>
    </row>
    <row r="72" spans="1:10" x14ac:dyDescent="0.3">
      <c r="A72" s="131"/>
      <c r="B72" s="134">
        <v>42717</v>
      </c>
      <c r="C72" s="135" t="s">
        <v>23</v>
      </c>
      <c r="D72" s="135" t="s">
        <v>29</v>
      </c>
      <c r="E72" s="135">
        <v>390</v>
      </c>
      <c r="F72" s="135">
        <v>384.5</v>
      </c>
      <c r="G72" s="135">
        <v>5.5</v>
      </c>
      <c r="H72" s="135">
        <v>1000</v>
      </c>
      <c r="I72" s="135">
        <v>5500</v>
      </c>
      <c r="J72" s="131"/>
    </row>
    <row r="73" spans="1:10" x14ac:dyDescent="0.3">
      <c r="A73" s="131"/>
      <c r="B73" s="134">
        <v>42718</v>
      </c>
      <c r="C73" s="135" t="s">
        <v>23</v>
      </c>
      <c r="D73" s="135" t="s">
        <v>56</v>
      </c>
      <c r="E73" s="135">
        <v>117.3</v>
      </c>
      <c r="F73" s="135">
        <v>118</v>
      </c>
      <c r="G73" s="135">
        <v>-0.7</v>
      </c>
      <c r="H73" s="135">
        <v>5000</v>
      </c>
      <c r="I73" s="135">
        <v>-3500</v>
      </c>
      <c r="J73" s="131"/>
    </row>
    <row r="74" spans="1:10" x14ac:dyDescent="0.3">
      <c r="A74" s="131"/>
      <c r="B74" s="134">
        <v>42719</v>
      </c>
      <c r="C74" s="135" t="s">
        <v>23</v>
      </c>
      <c r="D74" s="135" t="s">
        <v>29</v>
      </c>
      <c r="E74" s="135">
        <v>392</v>
      </c>
      <c r="F74" s="135">
        <v>388</v>
      </c>
      <c r="G74" s="135">
        <v>4</v>
      </c>
      <c r="H74" s="135">
        <v>1000</v>
      </c>
      <c r="I74" s="135">
        <v>4000</v>
      </c>
      <c r="J74" s="131"/>
    </row>
    <row r="75" spans="1:10" x14ac:dyDescent="0.3">
      <c r="A75" s="131"/>
      <c r="B75" s="134">
        <v>42720</v>
      </c>
      <c r="C75" s="135" t="s">
        <v>23</v>
      </c>
      <c r="D75" s="135" t="s">
        <v>29</v>
      </c>
      <c r="E75" s="135">
        <v>389</v>
      </c>
      <c r="F75" s="135">
        <v>385</v>
      </c>
      <c r="G75" s="135">
        <v>4</v>
      </c>
      <c r="H75" s="135">
        <v>1000</v>
      </c>
      <c r="I75" s="135">
        <v>4000</v>
      </c>
      <c r="J75" s="131"/>
    </row>
    <row r="76" spans="1:10" x14ac:dyDescent="0.3">
      <c r="A76" s="131"/>
      <c r="B76" s="134">
        <v>42723</v>
      </c>
      <c r="C76" s="135" t="s">
        <v>23</v>
      </c>
      <c r="D76" s="135" t="s">
        <v>29</v>
      </c>
      <c r="E76" s="135">
        <v>380</v>
      </c>
      <c r="F76" s="135">
        <v>374.8</v>
      </c>
      <c r="G76" s="135">
        <v>5.2</v>
      </c>
      <c r="H76" s="135">
        <v>1000</v>
      </c>
      <c r="I76" s="135">
        <v>5200</v>
      </c>
      <c r="J76" s="131"/>
    </row>
    <row r="77" spans="1:10" x14ac:dyDescent="0.3">
      <c r="A77" s="131"/>
      <c r="B77" s="134">
        <v>42724</v>
      </c>
      <c r="C77" s="135" t="s">
        <v>23</v>
      </c>
      <c r="D77" s="135" t="s">
        <v>29</v>
      </c>
      <c r="E77" s="135">
        <v>377.5</v>
      </c>
      <c r="F77" s="135">
        <v>376</v>
      </c>
      <c r="G77" s="135">
        <v>1.5</v>
      </c>
      <c r="H77" s="135">
        <v>1000</v>
      </c>
      <c r="I77" s="135">
        <v>1500</v>
      </c>
      <c r="J77" s="131"/>
    </row>
    <row r="78" spans="1:10" x14ac:dyDescent="0.3">
      <c r="A78" s="131"/>
      <c r="B78" s="134">
        <v>42725</v>
      </c>
      <c r="C78" s="135" t="s">
        <v>23</v>
      </c>
      <c r="D78" s="135" t="s">
        <v>29</v>
      </c>
      <c r="E78" s="135">
        <v>377</v>
      </c>
      <c r="F78" s="135">
        <v>375</v>
      </c>
      <c r="G78" s="135">
        <v>2</v>
      </c>
      <c r="H78" s="135">
        <v>1000</v>
      </c>
      <c r="I78" s="135">
        <v>2000</v>
      </c>
      <c r="J78" s="131"/>
    </row>
    <row r="79" spans="1:10" x14ac:dyDescent="0.3">
      <c r="A79" s="131"/>
      <c r="B79" s="134">
        <v>42726</v>
      </c>
      <c r="C79" s="135" t="s">
        <v>23</v>
      </c>
      <c r="D79" s="135" t="s">
        <v>29</v>
      </c>
      <c r="E79" s="135">
        <v>373</v>
      </c>
      <c r="F79" s="135">
        <v>371</v>
      </c>
      <c r="G79" s="135">
        <v>2</v>
      </c>
      <c r="H79" s="135">
        <v>1000</v>
      </c>
      <c r="I79" s="135">
        <v>2000</v>
      </c>
      <c r="J79" s="131"/>
    </row>
    <row r="80" spans="1:10" x14ac:dyDescent="0.3">
      <c r="A80" s="131"/>
      <c r="B80" s="134">
        <v>42727</v>
      </c>
      <c r="C80" s="135" t="s">
        <v>23</v>
      </c>
      <c r="D80" s="135" t="s">
        <v>29</v>
      </c>
      <c r="E80" s="135">
        <v>176</v>
      </c>
      <c r="F80" s="135">
        <v>174</v>
      </c>
      <c r="G80" s="135">
        <v>2</v>
      </c>
      <c r="H80" s="135">
        <v>5000</v>
      </c>
      <c r="I80" s="135">
        <v>10000</v>
      </c>
      <c r="J80" s="131"/>
    </row>
    <row r="81" spans="1:10" x14ac:dyDescent="0.3">
      <c r="A81" s="131"/>
      <c r="B81" s="134">
        <v>42731</v>
      </c>
      <c r="C81" s="135" t="s">
        <v>16</v>
      </c>
      <c r="D81" s="135" t="s">
        <v>29</v>
      </c>
      <c r="E81" s="135">
        <v>372</v>
      </c>
      <c r="F81" s="135">
        <v>380</v>
      </c>
      <c r="G81" s="135">
        <v>8</v>
      </c>
      <c r="H81" s="135">
        <v>1000</v>
      </c>
      <c r="I81" s="135">
        <v>8000</v>
      </c>
      <c r="J81" s="131"/>
    </row>
    <row r="82" spans="1:10" x14ac:dyDescent="0.3">
      <c r="A82" s="131"/>
      <c r="B82" s="134">
        <v>42732</v>
      </c>
      <c r="C82" s="135" t="s">
        <v>23</v>
      </c>
      <c r="D82" s="135" t="s">
        <v>29</v>
      </c>
      <c r="E82" s="135">
        <v>378.5</v>
      </c>
      <c r="F82" s="135">
        <v>376.5</v>
      </c>
      <c r="G82" s="135">
        <v>2</v>
      </c>
      <c r="H82" s="135">
        <v>1000</v>
      </c>
      <c r="I82" s="135">
        <v>2000</v>
      </c>
      <c r="J82" s="131"/>
    </row>
    <row r="83" spans="1:10" s="135" customFormat="1" ht="13.8" x14ac:dyDescent="0.25">
      <c r="A83" s="174"/>
      <c r="B83" s="134">
        <v>42733</v>
      </c>
      <c r="C83" s="135" t="s">
        <v>23</v>
      </c>
      <c r="D83" s="135" t="s">
        <v>29</v>
      </c>
      <c r="E83" s="135">
        <v>379</v>
      </c>
      <c r="F83" s="135">
        <v>375</v>
      </c>
      <c r="G83" s="135">
        <v>4</v>
      </c>
      <c r="H83" s="157">
        <v>1000</v>
      </c>
      <c r="I83" s="135">
        <v>4000</v>
      </c>
      <c r="J83" s="174"/>
    </row>
    <row r="84" spans="1:10" s="135" customFormat="1" ht="13.8" x14ac:dyDescent="0.25">
      <c r="A84" s="174"/>
      <c r="B84" s="134">
        <v>42734</v>
      </c>
      <c r="C84" s="135" t="s">
        <v>23</v>
      </c>
      <c r="D84" s="135" t="s">
        <v>29</v>
      </c>
      <c r="E84" s="135">
        <v>376</v>
      </c>
      <c r="F84" s="135">
        <v>377</v>
      </c>
      <c r="G84" s="135">
        <v>-1</v>
      </c>
      <c r="H84" s="135">
        <v>1000</v>
      </c>
      <c r="I84" s="135">
        <v>-1000</v>
      </c>
      <c r="J84" s="174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s="173" customFormat="1" ht="18" x14ac:dyDescent="0.35">
      <c r="A88" s="146"/>
      <c r="I88" s="138">
        <v>94400</v>
      </c>
      <c r="J88" s="146"/>
    </row>
    <row r="89" spans="1:10" x14ac:dyDescent="0.3">
      <c r="A89" s="131"/>
      <c r="J89" s="131"/>
    </row>
    <row r="90" spans="1:10" x14ac:dyDescent="0.3">
      <c r="A90" s="131"/>
      <c r="J90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0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79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34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22">
        <v>41365</v>
      </c>
      <c r="C5" s="23" t="s">
        <v>23</v>
      </c>
      <c r="D5" s="24" t="s">
        <v>22</v>
      </c>
      <c r="E5" s="25">
        <v>53160</v>
      </c>
      <c r="F5" s="26">
        <v>52610</v>
      </c>
      <c r="G5" s="25">
        <v>30</v>
      </c>
      <c r="H5" s="27">
        <v>16500</v>
      </c>
      <c r="I5" s="20"/>
    </row>
    <row r="6" spans="1:10" x14ac:dyDescent="0.3">
      <c r="A6" s="20"/>
      <c r="B6" s="22">
        <v>41366</v>
      </c>
      <c r="C6" s="23" t="s">
        <v>23</v>
      </c>
      <c r="D6" s="24" t="s">
        <v>22</v>
      </c>
      <c r="E6" s="25">
        <v>52050</v>
      </c>
      <c r="F6" s="26">
        <v>51670</v>
      </c>
      <c r="G6" s="25">
        <v>30</v>
      </c>
      <c r="H6" s="27">
        <v>11400</v>
      </c>
      <c r="I6" s="20"/>
    </row>
    <row r="7" spans="1:10" x14ac:dyDescent="0.3">
      <c r="A7" s="20"/>
      <c r="B7" s="22">
        <v>41367</v>
      </c>
      <c r="C7" s="23" t="s">
        <v>23</v>
      </c>
      <c r="D7" s="24" t="s">
        <v>22</v>
      </c>
      <c r="E7" s="25">
        <v>50880</v>
      </c>
      <c r="F7" s="26">
        <v>50670</v>
      </c>
      <c r="G7" s="25">
        <v>30</v>
      </c>
      <c r="H7" s="27">
        <v>6300</v>
      </c>
      <c r="I7" s="20"/>
    </row>
    <row r="8" spans="1:10" x14ac:dyDescent="0.3">
      <c r="A8" s="20"/>
      <c r="B8" s="22">
        <v>41368</v>
      </c>
      <c r="C8" s="23" t="s">
        <v>23</v>
      </c>
      <c r="D8" s="24" t="s">
        <v>24</v>
      </c>
      <c r="E8" s="25">
        <v>29180</v>
      </c>
      <c r="F8" s="26">
        <v>29250</v>
      </c>
      <c r="G8" s="25">
        <v>100</v>
      </c>
      <c r="H8" s="27">
        <v>-7000</v>
      </c>
      <c r="I8" s="20"/>
    </row>
    <row r="9" spans="1:10" x14ac:dyDescent="0.3">
      <c r="A9" s="20"/>
      <c r="B9" s="22">
        <v>41369</v>
      </c>
      <c r="C9" s="23" t="s">
        <v>23</v>
      </c>
      <c r="D9" s="24" t="s">
        <v>22</v>
      </c>
      <c r="E9" s="25">
        <v>50850</v>
      </c>
      <c r="F9" s="26">
        <v>51100</v>
      </c>
      <c r="G9" s="25">
        <v>30</v>
      </c>
      <c r="H9" s="27">
        <v>-7500</v>
      </c>
      <c r="I9" s="20"/>
    </row>
    <row r="10" spans="1:10" x14ac:dyDescent="0.3">
      <c r="A10" s="20"/>
      <c r="B10" s="28">
        <v>41372</v>
      </c>
      <c r="C10" s="23" t="s">
        <v>23</v>
      </c>
      <c r="D10" s="24" t="s">
        <v>24</v>
      </c>
      <c r="E10" s="25">
        <v>29740</v>
      </c>
      <c r="F10" s="26">
        <v>29640</v>
      </c>
      <c r="G10" s="25">
        <v>100</v>
      </c>
      <c r="H10" s="27">
        <v>10000</v>
      </c>
      <c r="I10" s="20"/>
    </row>
    <row r="11" spans="1:10" x14ac:dyDescent="0.3">
      <c r="A11" s="20"/>
      <c r="B11" s="22">
        <v>41373</v>
      </c>
      <c r="C11" s="23" t="s">
        <v>16</v>
      </c>
      <c r="D11" s="24" t="s">
        <v>22</v>
      </c>
      <c r="E11" s="25">
        <v>51170</v>
      </c>
      <c r="F11" s="26">
        <v>51630</v>
      </c>
      <c r="G11" s="25">
        <v>30</v>
      </c>
      <c r="H11" s="27">
        <v>13800</v>
      </c>
      <c r="I11" s="20"/>
    </row>
    <row r="12" spans="1:10" x14ac:dyDescent="0.3">
      <c r="A12" s="20"/>
      <c r="B12" s="22">
        <v>41374</v>
      </c>
      <c r="C12" s="23" t="s">
        <v>23</v>
      </c>
      <c r="D12" s="24" t="s">
        <v>24</v>
      </c>
      <c r="E12" s="25">
        <v>29680</v>
      </c>
      <c r="F12" s="26">
        <v>29570</v>
      </c>
      <c r="G12" s="25">
        <v>100</v>
      </c>
      <c r="H12" s="27">
        <v>11000</v>
      </c>
      <c r="I12" s="20"/>
    </row>
    <row r="13" spans="1:10" x14ac:dyDescent="0.3">
      <c r="A13" s="20"/>
      <c r="B13" s="22">
        <v>41375</v>
      </c>
      <c r="C13" s="23" t="s">
        <v>16</v>
      </c>
      <c r="D13" s="24" t="s">
        <v>24</v>
      </c>
      <c r="E13" s="25">
        <v>29190</v>
      </c>
      <c r="F13" s="26">
        <v>29130</v>
      </c>
      <c r="G13" s="25">
        <v>100</v>
      </c>
      <c r="H13" s="27">
        <v>-6000</v>
      </c>
      <c r="I13" s="20"/>
    </row>
    <row r="14" spans="1:10" x14ac:dyDescent="0.3">
      <c r="A14" s="20"/>
      <c r="B14" s="22">
        <v>41376</v>
      </c>
      <c r="C14" s="23" t="s">
        <v>23</v>
      </c>
      <c r="D14" s="24" t="s">
        <v>24</v>
      </c>
      <c r="E14" s="25">
        <v>29220</v>
      </c>
      <c r="F14" s="26">
        <v>29080</v>
      </c>
      <c r="G14" s="25">
        <v>100</v>
      </c>
      <c r="H14" s="27">
        <v>14000</v>
      </c>
      <c r="I14" s="20"/>
    </row>
    <row r="15" spans="1:10" x14ac:dyDescent="0.3">
      <c r="A15" s="20"/>
      <c r="B15" s="22">
        <v>41379</v>
      </c>
      <c r="C15" s="23" t="s">
        <v>16</v>
      </c>
      <c r="D15" s="24" t="s">
        <v>22</v>
      </c>
      <c r="E15" s="25">
        <v>45850</v>
      </c>
      <c r="F15" s="26">
        <v>45555</v>
      </c>
      <c r="G15" s="25">
        <v>30</v>
      </c>
      <c r="H15" s="27">
        <v>-8850</v>
      </c>
      <c r="I15" s="20"/>
    </row>
    <row r="16" spans="1:10" x14ac:dyDescent="0.3">
      <c r="A16" s="20"/>
      <c r="B16" s="22">
        <v>41380</v>
      </c>
      <c r="C16" s="23" t="s">
        <v>23</v>
      </c>
      <c r="D16" s="24" t="s">
        <v>22</v>
      </c>
      <c r="E16" s="26">
        <v>43600</v>
      </c>
      <c r="F16" s="29">
        <v>43280</v>
      </c>
      <c r="G16" s="25">
        <v>30</v>
      </c>
      <c r="H16" s="27">
        <v>9600</v>
      </c>
      <c r="I16" s="20"/>
    </row>
    <row r="17" spans="1:9" x14ac:dyDescent="0.3">
      <c r="A17" s="20"/>
      <c r="B17" s="22">
        <v>41381</v>
      </c>
      <c r="C17" s="23" t="s">
        <v>16</v>
      </c>
      <c r="D17" s="24" t="s">
        <v>22</v>
      </c>
      <c r="E17" s="26">
        <v>43450</v>
      </c>
      <c r="F17" s="29">
        <v>43700</v>
      </c>
      <c r="G17" s="25">
        <v>30</v>
      </c>
      <c r="H17" s="27">
        <v>7500</v>
      </c>
      <c r="I17" s="20"/>
    </row>
    <row r="18" spans="1:9" x14ac:dyDescent="0.3">
      <c r="A18" s="20"/>
      <c r="B18" s="22">
        <v>41382</v>
      </c>
      <c r="C18" s="23" t="s">
        <v>23</v>
      </c>
      <c r="D18" s="24" t="s">
        <v>24</v>
      </c>
      <c r="E18" s="25">
        <v>25540</v>
      </c>
      <c r="F18" s="26">
        <v>25630</v>
      </c>
      <c r="G18" s="25">
        <v>100</v>
      </c>
      <c r="H18" s="27">
        <v>-9000</v>
      </c>
      <c r="I18" s="20"/>
    </row>
    <row r="19" spans="1:9" x14ac:dyDescent="0.3">
      <c r="A19" s="20"/>
      <c r="B19" s="22">
        <v>41386</v>
      </c>
      <c r="C19" s="23" t="s">
        <v>16</v>
      </c>
      <c r="D19" s="24" t="s">
        <v>24</v>
      </c>
      <c r="E19" s="25">
        <v>26240</v>
      </c>
      <c r="F19" s="26">
        <v>26340</v>
      </c>
      <c r="G19" s="25">
        <v>100</v>
      </c>
      <c r="H19" s="27">
        <v>10000</v>
      </c>
      <c r="I19" s="20"/>
    </row>
    <row r="20" spans="1:9" x14ac:dyDescent="0.3">
      <c r="A20" s="20"/>
      <c r="B20" s="22">
        <v>41387</v>
      </c>
      <c r="C20" s="23" t="s">
        <v>16</v>
      </c>
      <c r="D20" s="24" t="s">
        <v>24</v>
      </c>
      <c r="E20" s="25">
        <v>26380</v>
      </c>
      <c r="F20" s="26">
        <v>26430</v>
      </c>
      <c r="G20" s="25">
        <v>100</v>
      </c>
      <c r="H20" s="27">
        <v>5000</v>
      </c>
      <c r="I20" s="20"/>
    </row>
    <row r="21" spans="1:9" x14ac:dyDescent="0.3">
      <c r="A21" s="20"/>
      <c r="B21" s="22">
        <v>41388</v>
      </c>
      <c r="C21" s="23" t="s">
        <v>23</v>
      </c>
      <c r="D21" s="24" t="s">
        <v>24</v>
      </c>
      <c r="E21" s="25">
        <v>26300</v>
      </c>
      <c r="F21" s="26">
        <v>26370</v>
      </c>
      <c r="G21" s="25">
        <v>100</v>
      </c>
      <c r="H21" s="27">
        <v>-7000</v>
      </c>
      <c r="I21" s="20"/>
    </row>
    <row r="22" spans="1:9" x14ac:dyDescent="0.3">
      <c r="A22" s="20"/>
      <c r="B22" s="22">
        <v>41389</v>
      </c>
      <c r="C22" s="23" t="s">
        <v>16</v>
      </c>
      <c r="D22" s="24" t="s">
        <v>22</v>
      </c>
      <c r="E22" s="25">
        <v>43500</v>
      </c>
      <c r="F22" s="26">
        <v>44000</v>
      </c>
      <c r="G22" s="25">
        <v>30</v>
      </c>
      <c r="H22" s="27">
        <v>15000</v>
      </c>
      <c r="I22" s="20"/>
    </row>
    <row r="23" spans="1:9" x14ac:dyDescent="0.3">
      <c r="A23" s="20"/>
      <c r="B23" s="22">
        <v>41390</v>
      </c>
      <c r="C23" s="23" t="s">
        <v>16</v>
      </c>
      <c r="D23" s="24" t="s">
        <v>24</v>
      </c>
      <c r="E23" s="25">
        <v>27160</v>
      </c>
      <c r="F23" s="26">
        <v>27262</v>
      </c>
      <c r="G23" s="25">
        <v>100</v>
      </c>
      <c r="H23" s="27">
        <v>10200</v>
      </c>
      <c r="I23" s="20"/>
    </row>
    <row r="24" spans="1:9" x14ac:dyDescent="0.3">
      <c r="A24" s="20"/>
      <c r="B24" s="22">
        <v>41393</v>
      </c>
      <c r="C24" s="23" t="s">
        <v>16</v>
      </c>
      <c r="D24" s="24" t="s">
        <v>22</v>
      </c>
      <c r="E24" s="25">
        <v>45950</v>
      </c>
      <c r="F24" s="26">
        <v>46150</v>
      </c>
      <c r="G24" s="25">
        <v>30</v>
      </c>
      <c r="H24" s="27">
        <v>6000</v>
      </c>
      <c r="I24" s="20"/>
    </row>
    <row r="25" spans="1:9" x14ac:dyDescent="0.3">
      <c r="A25" s="20"/>
      <c r="B25" s="22">
        <v>41394</v>
      </c>
      <c r="C25" s="23" t="s">
        <v>23</v>
      </c>
      <c r="D25" s="24" t="s">
        <v>24</v>
      </c>
      <c r="E25" s="25">
        <v>27040</v>
      </c>
      <c r="F25" s="26">
        <v>27010</v>
      </c>
      <c r="G25" s="25">
        <v>100</v>
      </c>
      <c r="H25" s="27">
        <v>3000</v>
      </c>
      <c r="I25" s="20"/>
    </row>
    <row r="26" spans="1:9" x14ac:dyDescent="0.3">
      <c r="A26" s="20"/>
      <c r="B26" s="27"/>
      <c r="C26" s="27"/>
      <c r="D26" s="27"/>
      <c r="E26" s="27"/>
      <c r="F26" s="27"/>
      <c r="G26" s="27"/>
      <c r="H26" s="30">
        <v>103950</v>
      </c>
      <c r="I26" s="20"/>
    </row>
    <row r="27" spans="1:9" x14ac:dyDescent="0.3">
      <c r="A27" s="20"/>
      <c r="B27" s="18"/>
      <c r="C27" s="18"/>
      <c r="D27" s="18"/>
      <c r="E27" s="18"/>
      <c r="F27" s="18"/>
      <c r="G27" s="18"/>
      <c r="H27" s="18"/>
      <c r="I27" s="20"/>
    </row>
    <row r="28" spans="1:9" ht="15.6" x14ac:dyDescent="0.3">
      <c r="A28" s="20"/>
      <c r="B28" s="295" t="s">
        <v>44</v>
      </c>
      <c r="C28" s="295"/>
      <c r="D28" s="295"/>
      <c r="E28" s="295"/>
      <c r="F28" s="295"/>
      <c r="G28" s="295"/>
      <c r="H28" s="295"/>
      <c r="I28" s="20"/>
    </row>
    <row r="29" spans="1:9" x14ac:dyDescent="0.3">
      <c r="A29" s="20"/>
      <c r="B29" s="22">
        <v>41365</v>
      </c>
      <c r="C29" s="23" t="s">
        <v>23</v>
      </c>
      <c r="D29" s="23" t="s">
        <v>26</v>
      </c>
      <c r="E29" s="26">
        <v>219</v>
      </c>
      <c r="F29" s="26">
        <v>216.5</v>
      </c>
      <c r="G29" s="25">
        <v>1250</v>
      </c>
      <c r="H29" s="27">
        <v>3125</v>
      </c>
      <c r="I29" s="20"/>
    </row>
    <row r="30" spans="1:9" x14ac:dyDescent="0.3">
      <c r="A30" s="20"/>
      <c r="B30" s="22">
        <v>41366</v>
      </c>
      <c r="C30" s="23" t="s">
        <v>16</v>
      </c>
      <c r="D30" s="24" t="s">
        <v>25</v>
      </c>
      <c r="E30" s="26">
        <v>5265</v>
      </c>
      <c r="F30" s="26">
        <v>5275</v>
      </c>
      <c r="G30" s="25">
        <v>100</v>
      </c>
      <c r="H30" s="27">
        <v>1000</v>
      </c>
      <c r="I30" s="20"/>
    </row>
    <row r="31" spans="1:9" x14ac:dyDescent="0.3">
      <c r="A31" s="20"/>
      <c r="B31" s="22">
        <v>41367</v>
      </c>
      <c r="C31" s="23" t="s">
        <v>23</v>
      </c>
      <c r="D31" s="23" t="s">
        <v>26</v>
      </c>
      <c r="E31" s="26">
        <v>217</v>
      </c>
      <c r="F31" s="26">
        <v>214.6</v>
      </c>
      <c r="G31" s="25">
        <v>1250</v>
      </c>
      <c r="H31" s="27">
        <v>3000.0000000000073</v>
      </c>
      <c r="I31" s="20"/>
    </row>
    <row r="32" spans="1:9" x14ac:dyDescent="0.3">
      <c r="A32" s="20"/>
      <c r="B32" s="22">
        <v>41368</v>
      </c>
      <c r="C32" s="23" t="s">
        <v>23</v>
      </c>
      <c r="D32" s="24" t="s">
        <v>25</v>
      </c>
      <c r="E32" s="26">
        <v>5195</v>
      </c>
      <c r="F32" s="26">
        <v>5220</v>
      </c>
      <c r="G32" s="25">
        <v>100</v>
      </c>
      <c r="H32" s="27">
        <v>-2500</v>
      </c>
      <c r="I32" s="20"/>
    </row>
    <row r="33" spans="1:9" x14ac:dyDescent="0.3">
      <c r="A33" s="20"/>
      <c r="B33" s="22">
        <v>41369</v>
      </c>
      <c r="C33" s="23" t="s">
        <v>23</v>
      </c>
      <c r="D33" s="24" t="s">
        <v>25</v>
      </c>
      <c r="E33" s="26">
        <v>5125</v>
      </c>
      <c r="F33" s="26">
        <v>5095</v>
      </c>
      <c r="G33" s="25">
        <v>100</v>
      </c>
      <c r="H33" s="27">
        <v>3000</v>
      </c>
      <c r="I33" s="20"/>
    </row>
    <row r="34" spans="1:9" x14ac:dyDescent="0.3">
      <c r="A34" s="20"/>
      <c r="B34" s="22">
        <v>41372</v>
      </c>
      <c r="C34" s="23" t="s">
        <v>23</v>
      </c>
      <c r="D34" s="24" t="s">
        <v>25</v>
      </c>
      <c r="E34" s="26">
        <v>5105</v>
      </c>
      <c r="F34" s="26">
        <v>5065</v>
      </c>
      <c r="G34" s="25">
        <v>100</v>
      </c>
      <c r="H34" s="27">
        <v>4000</v>
      </c>
      <c r="I34" s="20"/>
    </row>
    <row r="35" spans="1:9" x14ac:dyDescent="0.3">
      <c r="A35" s="20"/>
      <c r="B35" s="22">
        <v>41373</v>
      </c>
      <c r="C35" s="23" t="s">
        <v>23</v>
      </c>
      <c r="D35" s="24" t="s">
        <v>25</v>
      </c>
      <c r="E35" s="26">
        <v>5120</v>
      </c>
      <c r="F35" s="26">
        <v>5088</v>
      </c>
      <c r="G35" s="25">
        <v>100</v>
      </c>
      <c r="H35" s="27">
        <v>3200</v>
      </c>
      <c r="I35" s="20"/>
    </row>
    <row r="36" spans="1:9" x14ac:dyDescent="0.3">
      <c r="A36" s="20"/>
      <c r="B36" s="22">
        <v>41374</v>
      </c>
      <c r="C36" s="23" t="s">
        <v>23</v>
      </c>
      <c r="D36" s="24" t="s">
        <v>25</v>
      </c>
      <c r="E36" s="26">
        <v>5120</v>
      </c>
      <c r="F36" s="26">
        <v>5104</v>
      </c>
      <c r="G36" s="25">
        <v>100</v>
      </c>
      <c r="H36" s="27">
        <v>1600</v>
      </c>
      <c r="I36" s="20"/>
    </row>
    <row r="37" spans="1:9" x14ac:dyDescent="0.3">
      <c r="A37" s="20"/>
      <c r="B37" s="22">
        <v>41375</v>
      </c>
      <c r="C37" s="23" t="s">
        <v>23</v>
      </c>
      <c r="D37" s="24" t="s">
        <v>25</v>
      </c>
      <c r="E37" s="26">
        <v>5135</v>
      </c>
      <c r="F37" s="26">
        <v>5097</v>
      </c>
      <c r="G37" s="25">
        <v>100</v>
      </c>
      <c r="H37" s="27">
        <v>3800</v>
      </c>
      <c r="I37" s="20"/>
    </row>
    <row r="38" spans="1:9" x14ac:dyDescent="0.3">
      <c r="A38" s="20"/>
      <c r="B38" s="22">
        <v>41376</v>
      </c>
      <c r="C38" s="23" t="s">
        <v>23</v>
      </c>
      <c r="D38" s="24" t="s">
        <v>25</v>
      </c>
      <c r="E38" s="26">
        <v>5085</v>
      </c>
      <c r="F38" s="26">
        <v>5047</v>
      </c>
      <c r="G38" s="25">
        <v>100</v>
      </c>
      <c r="H38" s="27">
        <v>3800</v>
      </c>
      <c r="I38" s="20"/>
    </row>
    <row r="39" spans="1:9" x14ac:dyDescent="0.3">
      <c r="A39" s="20"/>
      <c r="B39" s="22">
        <v>41380</v>
      </c>
      <c r="C39" s="23" t="s">
        <v>23</v>
      </c>
      <c r="D39" s="24" t="s">
        <v>25</v>
      </c>
      <c r="E39" s="26">
        <v>4785</v>
      </c>
      <c r="F39" s="26">
        <v>4767</v>
      </c>
      <c r="G39" s="25">
        <v>100</v>
      </c>
      <c r="H39" s="27">
        <v>1800</v>
      </c>
      <c r="I39" s="20"/>
    </row>
    <row r="40" spans="1:9" x14ac:dyDescent="0.3">
      <c r="A40" s="20"/>
      <c r="B40" s="22">
        <v>41381</v>
      </c>
      <c r="C40" s="23" t="s">
        <v>16</v>
      </c>
      <c r="D40" s="24" t="s">
        <v>25</v>
      </c>
      <c r="E40" s="26">
        <v>4780</v>
      </c>
      <c r="F40" s="26">
        <v>4755</v>
      </c>
      <c r="G40" s="25">
        <v>100</v>
      </c>
      <c r="H40" s="27">
        <v>-2500</v>
      </c>
      <c r="I40" s="20"/>
    </row>
    <row r="41" spans="1:9" x14ac:dyDescent="0.3">
      <c r="A41" s="20"/>
      <c r="B41" s="22">
        <v>41382</v>
      </c>
      <c r="C41" s="23" t="s">
        <v>23</v>
      </c>
      <c r="D41" s="23" t="s">
        <v>26</v>
      </c>
      <c r="E41" s="26">
        <v>227</v>
      </c>
      <c r="F41" s="26">
        <v>226.3</v>
      </c>
      <c r="G41" s="25">
        <v>1250</v>
      </c>
      <c r="H41" s="27">
        <v>874.99999999998579</v>
      </c>
      <c r="I41" s="20"/>
    </row>
    <row r="42" spans="1:9" x14ac:dyDescent="0.3">
      <c r="A42" s="20"/>
      <c r="B42" s="22">
        <v>41386</v>
      </c>
      <c r="C42" s="23" t="s">
        <v>16</v>
      </c>
      <c r="D42" s="24" t="s">
        <v>25</v>
      </c>
      <c r="E42" s="26">
        <v>4800</v>
      </c>
      <c r="F42" s="26">
        <v>4833</v>
      </c>
      <c r="G42" s="25">
        <v>100</v>
      </c>
      <c r="H42" s="27">
        <v>3300</v>
      </c>
      <c r="I42" s="20"/>
    </row>
    <row r="43" spans="1:9" x14ac:dyDescent="0.3">
      <c r="A43" s="20"/>
      <c r="B43" s="22">
        <v>41387</v>
      </c>
      <c r="C43" s="23" t="s">
        <v>23</v>
      </c>
      <c r="D43" s="24" t="s">
        <v>25</v>
      </c>
      <c r="E43" s="26">
        <v>4815</v>
      </c>
      <c r="F43" s="26">
        <v>4796</v>
      </c>
      <c r="G43" s="25">
        <v>100</v>
      </c>
      <c r="H43" s="27">
        <v>1900</v>
      </c>
      <c r="I43" s="20"/>
    </row>
    <row r="44" spans="1:9" x14ac:dyDescent="0.3">
      <c r="A44" s="20"/>
      <c r="B44" s="22">
        <v>41388</v>
      </c>
      <c r="C44" s="23" t="s">
        <v>23</v>
      </c>
      <c r="D44" s="24" t="s">
        <v>25</v>
      </c>
      <c r="E44" s="26">
        <v>4868</v>
      </c>
      <c r="F44" s="26">
        <v>4854</v>
      </c>
      <c r="G44" s="25">
        <v>100</v>
      </c>
      <c r="H44" s="27">
        <v>1400</v>
      </c>
      <c r="I44" s="20"/>
    </row>
    <row r="45" spans="1:9" x14ac:dyDescent="0.3">
      <c r="A45" s="20"/>
      <c r="B45" s="22">
        <v>41389</v>
      </c>
      <c r="C45" s="23" t="s">
        <v>23</v>
      </c>
      <c r="D45" s="24" t="s">
        <v>25</v>
      </c>
      <c r="E45" s="26">
        <v>4975</v>
      </c>
      <c r="F45" s="26">
        <v>4958</v>
      </c>
      <c r="G45" s="25">
        <v>100</v>
      </c>
      <c r="H45" s="27">
        <v>1700</v>
      </c>
      <c r="I45" s="20"/>
    </row>
    <row r="46" spans="1:9" x14ac:dyDescent="0.3">
      <c r="A46" s="20"/>
      <c r="B46" s="22">
        <v>41390</v>
      </c>
      <c r="C46" s="23" t="s">
        <v>16</v>
      </c>
      <c r="D46" s="24" t="s">
        <v>25</v>
      </c>
      <c r="E46" s="26">
        <v>5045</v>
      </c>
      <c r="F46" s="26">
        <v>5073</v>
      </c>
      <c r="G46" s="25">
        <v>100</v>
      </c>
      <c r="H46" s="27">
        <v>2800</v>
      </c>
      <c r="I46" s="20"/>
    </row>
    <row r="47" spans="1:9" x14ac:dyDescent="0.3">
      <c r="A47" s="20"/>
      <c r="B47" s="22">
        <v>41393</v>
      </c>
      <c r="C47" s="23" t="s">
        <v>16</v>
      </c>
      <c r="D47" s="24" t="s">
        <v>25</v>
      </c>
      <c r="E47" s="26">
        <v>5055</v>
      </c>
      <c r="F47" s="26">
        <v>5062</v>
      </c>
      <c r="G47" s="25">
        <v>100</v>
      </c>
      <c r="H47" s="27">
        <v>700</v>
      </c>
      <c r="I47" s="20"/>
    </row>
    <row r="48" spans="1:9" x14ac:dyDescent="0.3">
      <c r="A48" s="20"/>
      <c r="B48" s="27"/>
      <c r="C48" s="27"/>
      <c r="D48" s="27"/>
      <c r="E48" s="27"/>
      <c r="F48" s="27"/>
      <c r="G48" s="27"/>
      <c r="H48" s="30">
        <v>36000</v>
      </c>
      <c r="I48" s="20"/>
    </row>
    <row r="49" spans="1:9" x14ac:dyDescent="0.3">
      <c r="A49" s="20"/>
      <c r="B49" s="27"/>
      <c r="C49" s="27"/>
      <c r="D49" s="27"/>
      <c r="E49" s="27"/>
      <c r="F49" s="27"/>
      <c r="G49" s="27"/>
      <c r="H49" s="27"/>
      <c r="I49" s="20"/>
    </row>
    <row r="50" spans="1:9" x14ac:dyDescent="0.3">
      <c r="A50" s="20"/>
      <c r="B50" s="27"/>
      <c r="C50" s="27"/>
      <c r="D50" s="27"/>
      <c r="E50" s="27"/>
      <c r="F50" s="27"/>
      <c r="G50" s="27"/>
      <c r="I50" s="20"/>
    </row>
    <row r="51" spans="1:9" x14ac:dyDescent="0.3">
      <c r="A51" s="20"/>
      <c r="B51" s="18"/>
      <c r="C51" s="18"/>
      <c r="D51" s="18"/>
      <c r="E51" s="18"/>
      <c r="F51" s="18"/>
      <c r="G51" s="18"/>
      <c r="H51" s="18"/>
      <c r="I51" s="20"/>
    </row>
    <row r="52" spans="1:9" ht="15.6" x14ac:dyDescent="0.3">
      <c r="A52" s="20"/>
      <c r="B52" s="295" t="s">
        <v>45</v>
      </c>
      <c r="C52" s="295"/>
      <c r="D52" s="295"/>
      <c r="E52" s="295"/>
      <c r="F52" s="295"/>
      <c r="G52" s="295"/>
      <c r="H52" s="295"/>
      <c r="I52" s="20"/>
    </row>
    <row r="53" spans="1:9" x14ac:dyDescent="0.3">
      <c r="A53" s="20"/>
      <c r="B53" s="22">
        <v>41365</v>
      </c>
      <c r="C53" s="23" t="s">
        <v>23</v>
      </c>
      <c r="D53" s="23" t="s">
        <v>27</v>
      </c>
      <c r="E53" s="26">
        <v>114.2</v>
      </c>
      <c r="F53" s="26">
        <v>114.1</v>
      </c>
      <c r="G53" s="25">
        <v>5000</v>
      </c>
      <c r="H53" s="27">
        <v>500.00000000004263</v>
      </c>
      <c r="I53" s="20"/>
    </row>
    <row r="54" spans="1:9" x14ac:dyDescent="0.3">
      <c r="A54" s="20"/>
      <c r="B54" s="22">
        <v>41366</v>
      </c>
      <c r="C54" s="23" t="s">
        <v>23</v>
      </c>
      <c r="D54" s="23" t="s">
        <v>29</v>
      </c>
      <c r="E54" s="26">
        <v>407</v>
      </c>
      <c r="F54" s="26">
        <v>404</v>
      </c>
      <c r="G54" s="25">
        <v>1000</v>
      </c>
      <c r="H54" s="27">
        <v>3000</v>
      </c>
      <c r="I54" s="20"/>
    </row>
    <row r="55" spans="1:9" x14ac:dyDescent="0.3">
      <c r="A55" s="20"/>
      <c r="B55" s="22">
        <v>41367</v>
      </c>
      <c r="C55" s="23" t="s">
        <v>23</v>
      </c>
      <c r="D55" s="23" t="s">
        <v>28</v>
      </c>
      <c r="E55" s="26">
        <v>101</v>
      </c>
      <c r="F55" s="26">
        <v>100.45</v>
      </c>
      <c r="G55" s="25">
        <v>5000</v>
      </c>
      <c r="H55" s="27">
        <v>2749.9999999999859</v>
      </c>
      <c r="I55" s="20"/>
    </row>
    <row r="56" spans="1:9" x14ac:dyDescent="0.3">
      <c r="A56" s="20"/>
      <c r="B56" s="22">
        <v>41368</v>
      </c>
      <c r="C56" s="23" t="s">
        <v>23</v>
      </c>
      <c r="D56" s="23" t="s">
        <v>28</v>
      </c>
      <c r="E56" s="26">
        <v>100.6</v>
      </c>
      <c r="F56" s="26">
        <v>101.1</v>
      </c>
      <c r="G56" s="25">
        <v>5000</v>
      </c>
      <c r="H56" s="27">
        <v>-2500</v>
      </c>
      <c r="I56" s="20"/>
    </row>
    <row r="57" spans="1:9" x14ac:dyDescent="0.3">
      <c r="A57" s="20"/>
      <c r="B57" s="22">
        <v>41369</v>
      </c>
      <c r="C57" s="23" t="s">
        <v>23</v>
      </c>
      <c r="D57" s="23" t="s">
        <v>29</v>
      </c>
      <c r="E57" s="26">
        <v>408</v>
      </c>
      <c r="F57" s="26">
        <v>406</v>
      </c>
      <c r="G57" s="25">
        <v>1000</v>
      </c>
      <c r="H57" s="27">
        <v>2000</v>
      </c>
      <c r="I57" s="20"/>
    </row>
    <row r="58" spans="1:9" x14ac:dyDescent="0.3">
      <c r="A58" s="20"/>
      <c r="B58" s="22">
        <v>41372</v>
      </c>
      <c r="C58" s="23" t="s">
        <v>23</v>
      </c>
      <c r="D58" s="23" t="s">
        <v>29</v>
      </c>
      <c r="E58" s="26">
        <v>408.5</v>
      </c>
      <c r="F58" s="26">
        <v>408</v>
      </c>
      <c r="G58" s="25">
        <v>1000</v>
      </c>
      <c r="H58" s="27">
        <v>500</v>
      </c>
      <c r="I58" s="20"/>
    </row>
    <row r="59" spans="1:9" x14ac:dyDescent="0.3">
      <c r="A59" s="20"/>
      <c r="B59" s="22">
        <v>41373</v>
      </c>
      <c r="C59" s="23" t="s">
        <v>16</v>
      </c>
      <c r="D59" s="24" t="s">
        <v>27</v>
      </c>
      <c r="E59" s="26">
        <v>112.4</v>
      </c>
      <c r="F59" s="29">
        <v>113.35</v>
      </c>
      <c r="G59" s="25">
        <v>5000</v>
      </c>
      <c r="H59" s="27">
        <v>4749.9999999999436</v>
      </c>
      <c r="I59" s="20"/>
    </row>
    <row r="60" spans="1:9" x14ac:dyDescent="0.3">
      <c r="A60" s="20"/>
      <c r="B60" s="22">
        <v>41374</v>
      </c>
      <c r="C60" s="23" t="s">
        <v>16</v>
      </c>
      <c r="D60" s="24" t="s">
        <v>27</v>
      </c>
      <c r="E60" s="26">
        <v>114</v>
      </c>
      <c r="F60" s="29">
        <v>114.45</v>
      </c>
      <c r="G60" s="25">
        <v>5000</v>
      </c>
      <c r="H60" s="27">
        <v>2250.0000000000141</v>
      </c>
      <c r="I60" s="20"/>
    </row>
    <row r="61" spans="1:9" x14ac:dyDescent="0.3">
      <c r="A61" s="20"/>
      <c r="B61" s="22">
        <v>41375</v>
      </c>
      <c r="C61" s="23" t="s">
        <v>23</v>
      </c>
      <c r="D61" s="23" t="s">
        <v>28</v>
      </c>
      <c r="E61" s="26">
        <v>102.7</v>
      </c>
      <c r="F61" s="26">
        <v>101.7</v>
      </c>
      <c r="G61" s="25">
        <v>5000</v>
      </c>
      <c r="H61" s="27">
        <v>5000</v>
      </c>
      <c r="I61" s="20"/>
    </row>
    <row r="62" spans="1:9" x14ac:dyDescent="0.3">
      <c r="A62" s="20"/>
      <c r="B62" s="22">
        <v>41376</v>
      </c>
      <c r="C62" s="23" t="s">
        <v>23</v>
      </c>
      <c r="D62" s="24" t="s">
        <v>27</v>
      </c>
      <c r="E62" s="26">
        <v>113</v>
      </c>
      <c r="F62" s="29">
        <v>112</v>
      </c>
      <c r="G62" s="25">
        <v>5000</v>
      </c>
      <c r="H62" s="27">
        <v>5000</v>
      </c>
      <c r="I62" s="20"/>
    </row>
    <row r="63" spans="1:9" x14ac:dyDescent="0.3">
      <c r="A63" s="20"/>
      <c r="B63" s="22">
        <v>41379</v>
      </c>
      <c r="C63" s="23" t="s">
        <v>16</v>
      </c>
      <c r="D63" s="23" t="s">
        <v>29</v>
      </c>
      <c r="E63" s="26">
        <v>396.6</v>
      </c>
      <c r="F63" s="29">
        <v>399.75</v>
      </c>
      <c r="G63" s="25">
        <v>1000</v>
      </c>
      <c r="H63" s="27">
        <v>3149.9999999999773</v>
      </c>
      <c r="I63" s="20"/>
    </row>
    <row r="64" spans="1:9" x14ac:dyDescent="0.3">
      <c r="A64" s="20"/>
      <c r="B64" s="22">
        <v>41380</v>
      </c>
      <c r="C64" s="23" t="s">
        <v>23</v>
      </c>
      <c r="D64" s="24" t="s">
        <v>27</v>
      </c>
      <c r="E64" s="26">
        <v>110.9</v>
      </c>
      <c r="F64" s="26">
        <v>110.25</v>
      </c>
      <c r="G64" s="25">
        <v>5000</v>
      </c>
      <c r="H64" s="27">
        <v>3250.0000000000282</v>
      </c>
      <c r="I64" s="20"/>
    </row>
    <row r="65" spans="1:9" x14ac:dyDescent="0.3">
      <c r="A65" s="20"/>
      <c r="B65" s="22">
        <v>41381</v>
      </c>
      <c r="C65" s="23" t="s">
        <v>16</v>
      </c>
      <c r="D65" s="24" t="s">
        <v>27</v>
      </c>
      <c r="E65" s="26">
        <v>110.7</v>
      </c>
      <c r="F65" s="29">
        <v>110.1</v>
      </c>
      <c r="G65" s="25">
        <v>5000</v>
      </c>
      <c r="H65" s="27">
        <v>-3000.0000000000427</v>
      </c>
      <c r="I65" s="20"/>
    </row>
    <row r="66" spans="1:9" x14ac:dyDescent="0.3">
      <c r="A66" s="20"/>
      <c r="B66" s="22">
        <v>41382</v>
      </c>
      <c r="C66" s="23" t="s">
        <v>16</v>
      </c>
      <c r="D66" s="24" t="s">
        <v>27</v>
      </c>
      <c r="E66" s="26">
        <v>108.1</v>
      </c>
      <c r="F66" s="29">
        <v>108.65</v>
      </c>
      <c r="G66" s="25">
        <v>5000</v>
      </c>
      <c r="H66" s="27">
        <v>2750.0000000000568</v>
      </c>
      <c r="I66" s="20"/>
    </row>
    <row r="67" spans="1:9" x14ac:dyDescent="0.3">
      <c r="A67" s="20"/>
      <c r="B67" s="22">
        <v>41386</v>
      </c>
      <c r="C67" s="23" t="s">
        <v>16</v>
      </c>
      <c r="D67" s="24" t="s">
        <v>27</v>
      </c>
      <c r="E67" s="26">
        <v>109.2</v>
      </c>
      <c r="F67" s="29">
        <v>109.8</v>
      </c>
      <c r="G67" s="25">
        <v>5000</v>
      </c>
      <c r="H67" s="27">
        <v>2999.9999999999718</v>
      </c>
      <c r="I67" s="20"/>
    </row>
    <row r="68" spans="1:9" x14ac:dyDescent="0.3">
      <c r="A68" s="20"/>
      <c r="B68" s="22">
        <v>41387</v>
      </c>
      <c r="C68" s="23" t="s">
        <v>23</v>
      </c>
      <c r="D68" s="23" t="s">
        <v>29</v>
      </c>
      <c r="E68" s="26">
        <v>371.5</v>
      </c>
      <c r="F68" s="26">
        <v>369.5</v>
      </c>
      <c r="G68" s="25">
        <v>1000</v>
      </c>
      <c r="H68" s="27">
        <v>2000</v>
      </c>
      <c r="I68" s="20"/>
    </row>
    <row r="69" spans="1:9" x14ac:dyDescent="0.3">
      <c r="A69" s="20"/>
      <c r="B69" s="22">
        <v>41388</v>
      </c>
      <c r="C69" s="23" t="s">
        <v>23</v>
      </c>
      <c r="D69" s="24" t="s">
        <v>27</v>
      </c>
      <c r="E69" s="26">
        <v>109.3</v>
      </c>
      <c r="F69" s="29">
        <v>109.7</v>
      </c>
      <c r="G69" s="25">
        <v>5000</v>
      </c>
      <c r="H69" s="27">
        <v>-2000.0000000000284</v>
      </c>
      <c r="I69" s="20"/>
    </row>
    <row r="70" spans="1:9" x14ac:dyDescent="0.3">
      <c r="A70" s="20"/>
      <c r="B70" s="22">
        <v>41389</v>
      </c>
      <c r="C70" s="23" t="s">
        <v>16</v>
      </c>
      <c r="D70" s="24" t="s">
        <v>27</v>
      </c>
      <c r="E70" s="26">
        <v>109.8</v>
      </c>
      <c r="F70" s="29">
        <v>110.8</v>
      </c>
      <c r="G70" s="25">
        <v>5000</v>
      </c>
      <c r="H70" s="27">
        <v>5000</v>
      </c>
      <c r="I70" s="20"/>
    </row>
    <row r="71" spans="1:9" x14ac:dyDescent="0.3">
      <c r="A71" s="20"/>
      <c r="B71" s="22">
        <v>41390</v>
      </c>
      <c r="C71" s="23" t="s">
        <v>16</v>
      </c>
      <c r="D71" s="24" t="s">
        <v>28</v>
      </c>
      <c r="E71" s="26">
        <v>102.3</v>
      </c>
      <c r="F71" s="29">
        <v>102.85</v>
      </c>
      <c r="G71" s="25">
        <v>5000</v>
      </c>
      <c r="H71" s="27">
        <v>2749.9999999999859</v>
      </c>
      <c r="I71" s="20"/>
    </row>
    <row r="72" spans="1:9" x14ac:dyDescent="0.3">
      <c r="A72" s="20"/>
      <c r="B72" s="22">
        <v>41393</v>
      </c>
      <c r="C72" s="23" t="s">
        <v>16</v>
      </c>
      <c r="D72" s="23" t="s">
        <v>29</v>
      </c>
      <c r="E72" s="26">
        <v>381.2</v>
      </c>
      <c r="F72" s="26">
        <v>384.5</v>
      </c>
      <c r="G72" s="25">
        <v>1000</v>
      </c>
      <c r="H72" s="27">
        <v>3300.0000000000114</v>
      </c>
      <c r="I72" s="20"/>
    </row>
    <row r="73" spans="1:9" x14ac:dyDescent="0.3">
      <c r="A73" s="20"/>
      <c r="B73" s="22">
        <v>41394</v>
      </c>
      <c r="C73" s="23" t="s">
        <v>16</v>
      </c>
      <c r="D73" s="23" t="s">
        <v>29</v>
      </c>
      <c r="E73" s="26">
        <v>385.5</v>
      </c>
      <c r="F73" s="26">
        <v>383</v>
      </c>
      <c r="G73" s="25">
        <v>1000</v>
      </c>
      <c r="H73" s="27">
        <v>-2500</v>
      </c>
      <c r="I73" s="20"/>
    </row>
    <row r="74" spans="1:9" x14ac:dyDescent="0.3">
      <c r="A74" s="20"/>
      <c r="B74" s="27"/>
      <c r="C74" s="27"/>
      <c r="D74" s="27"/>
      <c r="E74" s="27"/>
      <c r="F74" s="27"/>
      <c r="G74" s="27"/>
      <c r="H74" s="30">
        <v>40950</v>
      </c>
      <c r="I74" s="20"/>
    </row>
    <row r="75" spans="1:9" x14ac:dyDescent="0.3">
      <c r="A75" s="20"/>
      <c r="B75" s="18"/>
      <c r="C75" s="18"/>
      <c r="D75" s="18"/>
      <c r="E75" s="18"/>
      <c r="F75" s="18"/>
      <c r="G75" s="18"/>
      <c r="H75" s="18"/>
      <c r="I75" s="20"/>
    </row>
    <row r="76" spans="1:9" x14ac:dyDescent="0.3">
      <c r="A76" s="20"/>
      <c r="B76" s="18"/>
      <c r="C76" s="18"/>
      <c r="D76" s="18"/>
      <c r="E76" s="18"/>
      <c r="F76" s="18"/>
      <c r="G76" s="18"/>
      <c r="H76" s="18"/>
      <c r="I76" s="20"/>
    </row>
    <row r="77" spans="1:9" x14ac:dyDescent="0.3">
      <c r="A77" s="20"/>
      <c r="B77" s="18"/>
      <c r="C77" s="18"/>
      <c r="D77" s="18"/>
      <c r="E77" s="18"/>
      <c r="F77" s="18"/>
      <c r="G77" s="18"/>
      <c r="H77" s="18"/>
      <c r="I77" s="20"/>
    </row>
    <row r="78" spans="1:9" x14ac:dyDescent="0.3">
      <c r="A78" s="20"/>
      <c r="B78" s="18"/>
      <c r="C78" s="18"/>
      <c r="D78" s="18"/>
      <c r="E78" s="18"/>
      <c r="F78" s="18"/>
      <c r="G78" s="18"/>
      <c r="H78" s="18"/>
      <c r="I78" s="20"/>
    </row>
    <row r="79" spans="1:9" x14ac:dyDescent="0.3">
      <c r="A79" s="20"/>
      <c r="B79" s="18"/>
      <c r="C79" s="18"/>
      <c r="D79" s="18"/>
      <c r="E79" s="18"/>
      <c r="F79" s="18"/>
      <c r="G79" s="18"/>
      <c r="H79" s="18"/>
      <c r="I79" s="20"/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400-000000000000}"/>
  </hyperlinks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81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3">
        <v>42736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42737</v>
      </c>
      <c r="C6" s="135" t="s">
        <v>23</v>
      </c>
      <c r="D6" s="135" t="s">
        <v>24</v>
      </c>
      <c r="E6" s="135">
        <v>27530</v>
      </c>
      <c r="F6" s="135">
        <v>27550</v>
      </c>
      <c r="G6" s="135">
        <v>-20</v>
      </c>
      <c r="H6" s="135">
        <v>100</v>
      </c>
      <c r="I6" s="135">
        <v>-2000</v>
      </c>
      <c r="J6" s="17"/>
      <c r="K6" s="71"/>
    </row>
    <row r="7" spans="1:15" x14ac:dyDescent="0.3">
      <c r="A7" s="17"/>
      <c r="B7" s="134">
        <v>42738</v>
      </c>
      <c r="C7" s="135" t="s">
        <v>23</v>
      </c>
      <c r="D7" s="135" t="s">
        <v>24</v>
      </c>
      <c r="E7" s="135">
        <v>27600</v>
      </c>
      <c r="F7" s="135">
        <v>27460</v>
      </c>
      <c r="G7" s="135">
        <v>140</v>
      </c>
      <c r="H7" s="135">
        <v>100</v>
      </c>
      <c r="I7" s="135">
        <v>14000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42739</v>
      </c>
      <c r="C8" s="151" t="s">
        <v>23</v>
      </c>
      <c r="D8" s="151" t="s">
        <v>24</v>
      </c>
      <c r="E8" s="151">
        <v>27730</v>
      </c>
      <c r="F8" s="151">
        <v>27680</v>
      </c>
      <c r="G8" s="151">
        <v>50</v>
      </c>
      <c r="H8" s="151">
        <v>100</v>
      </c>
      <c r="I8" s="135">
        <v>5000</v>
      </c>
      <c r="J8" s="17"/>
      <c r="K8" s="71" t="s">
        <v>257</v>
      </c>
      <c r="L8" s="165" t="s">
        <v>553</v>
      </c>
      <c r="M8" s="101" t="s">
        <v>298</v>
      </c>
      <c r="N8" s="101" t="s">
        <v>266</v>
      </c>
      <c r="O8" s="101"/>
    </row>
    <row r="9" spans="1:15" x14ac:dyDescent="0.3">
      <c r="A9" s="17"/>
      <c r="B9" s="134">
        <v>42740</v>
      </c>
      <c r="C9" s="151" t="s">
        <v>23</v>
      </c>
      <c r="D9" s="151" t="s">
        <v>24</v>
      </c>
      <c r="E9" s="151">
        <v>27900</v>
      </c>
      <c r="F9" s="151">
        <v>27800</v>
      </c>
      <c r="G9" s="151">
        <v>100</v>
      </c>
      <c r="H9" s="151">
        <v>100</v>
      </c>
      <c r="I9" s="135">
        <v>10000</v>
      </c>
      <c r="J9" s="17"/>
      <c r="K9" s="71" t="s">
        <v>258</v>
      </c>
      <c r="L9" s="165" t="s">
        <v>260</v>
      </c>
      <c r="M9" s="101" t="s">
        <v>267</v>
      </c>
      <c r="N9" s="101" t="s">
        <v>266</v>
      </c>
      <c r="O9" s="101"/>
    </row>
    <row r="10" spans="1:15" x14ac:dyDescent="0.3">
      <c r="A10" s="17"/>
      <c r="B10" s="134">
        <v>42741</v>
      </c>
      <c r="C10" s="151" t="s">
        <v>23</v>
      </c>
      <c r="D10" s="151" t="s">
        <v>24</v>
      </c>
      <c r="E10" s="151">
        <v>27870</v>
      </c>
      <c r="F10" s="151">
        <v>27970</v>
      </c>
      <c r="G10" s="151">
        <v>-100</v>
      </c>
      <c r="H10" s="151">
        <v>100</v>
      </c>
      <c r="I10" s="135">
        <v>-10000</v>
      </c>
      <c r="J10" s="17"/>
      <c r="K10" s="71" t="s">
        <v>259</v>
      </c>
      <c r="L10" s="165" t="s">
        <v>553</v>
      </c>
      <c r="M10" s="101" t="s">
        <v>392</v>
      </c>
      <c r="N10" s="101" t="s">
        <v>522</v>
      </c>
      <c r="O10" s="101"/>
    </row>
    <row r="11" spans="1:15" x14ac:dyDescent="0.3">
      <c r="A11" s="17"/>
      <c r="B11" s="134">
        <v>42744</v>
      </c>
      <c r="C11" s="135" t="s">
        <v>23</v>
      </c>
      <c r="D11" s="135" t="s">
        <v>24</v>
      </c>
      <c r="E11" s="135">
        <v>27920</v>
      </c>
      <c r="F11" s="135">
        <v>27940</v>
      </c>
      <c r="G11" s="135">
        <v>-20</v>
      </c>
      <c r="H11" s="135">
        <v>100</v>
      </c>
      <c r="I11" s="135">
        <v>-2000</v>
      </c>
      <c r="J11" s="17"/>
      <c r="K11" s="71" t="s">
        <v>300</v>
      </c>
      <c r="L11" s="104" t="s">
        <v>858</v>
      </c>
      <c r="M11" s="104" t="s">
        <v>438</v>
      </c>
      <c r="N11" s="104" t="s">
        <v>298</v>
      </c>
      <c r="O11" s="104"/>
    </row>
    <row r="12" spans="1:15" x14ac:dyDescent="0.3">
      <c r="A12" s="17"/>
      <c r="B12" s="134">
        <v>42745</v>
      </c>
      <c r="C12" s="135" t="s">
        <v>23</v>
      </c>
      <c r="D12" s="135" t="s">
        <v>24</v>
      </c>
      <c r="E12" s="135">
        <v>28090</v>
      </c>
      <c r="F12" s="135">
        <v>28030</v>
      </c>
      <c r="G12" s="135">
        <v>60</v>
      </c>
      <c r="H12" s="135">
        <v>100</v>
      </c>
      <c r="I12" s="135">
        <v>6000</v>
      </c>
      <c r="J12" s="17"/>
    </row>
    <row r="13" spans="1:15" x14ac:dyDescent="0.3">
      <c r="A13" s="17"/>
      <c r="B13" s="134">
        <v>42746</v>
      </c>
      <c r="C13" s="135" t="s">
        <v>23</v>
      </c>
      <c r="D13" s="135" t="s">
        <v>24</v>
      </c>
      <c r="E13" s="135">
        <v>28280</v>
      </c>
      <c r="F13" s="135">
        <v>28100</v>
      </c>
      <c r="G13" s="135">
        <v>180</v>
      </c>
      <c r="H13" s="135">
        <v>100</v>
      </c>
      <c r="I13" s="135">
        <v>18000</v>
      </c>
      <c r="J13" s="17"/>
      <c r="K13" s="71"/>
    </row>
    <row r="14" spans="1:15" x14ac:dyDescent="0.3">
      <c r="A14" s="17"/>
      <c r="B14" s="134">
        <v>42747</v>
      </c>
      <c r="C14" s="135" t="s">
        <v>23</v>
      </c>
      <c r="D14" s="135" t="s">
        <v>24</v>
      </c>
      <c r="E14" s="135">
        <v>28410</v>
      </c>
      <c r="F14" s="135">
        <v>28510</v>
      </c>
      <c r="G14" s="135">
        <v>-100</v>
      </c>
      <c r="H14" s="135">
        <v>100</v>
      </c>
      <c r="I14" s="135">
        <v>-10000</v>
      </c>
      <c r="J14" s="17"/>
      <c r="K14" s="132"/>
      <c r="L14" s="127" t="s">
        <v>832</v>
      </c>
      <c r="M14" s="128"/>
      <c r="N14" s="133" t="s">
        <v>859</v>
      </c>
    </row>
    <row r="15" spans="1:15" x14ac:dyDescent="0.3">
      <c r="A15" s="17"/>
      <c r="B15" s="134">
        <v>42748</v>
      </c>
      <c r="C15" s="135" t="s">
        <v>23</v>
      </c>
      <c r="D15" s="135" t="s">
        <v>24</v>
      </c>
      <c r="E15" s="135">
        <v>28380</v>
      </c>
      <c r="F15" s="135">
        <v>28280</v>
      </c>
      <c r="G15" s="135">
        <v>100</v>
      </c>
      <c r="H15" s="135">
        <v>100</v>
      </c>
      <c r="I15" s="135">
        <v>10000</v>
      </c>
      <c r="J15" s="17"/>
      <c r="K15" s="71"/>
    </row>
    <row r="16" spans="1:15" x14ac:dyDescent="0.3">
      <c r="A16" s="17"/>
      <c r="B16" s="134">
        <v>42751</v>
      </c>
      <c r="C16" s="135" t="s">
        <v>23</v>
      </c>
      <c r="D16" s="135" t="s">
        <v>24</v>
      </c>
      <c r="E16" s="135">
        <v>28600</v>
      </c>
      <c r="F16" s="135">
        <v>28500</v>
      </c>
      <c r="G16" s="135">
        <v>100</v>
      </c>
      <c r="H16" s="135">
        <v>100</v>
      </c>
      <c r="I16" s="135">
        <v>10000</v>
      </c>
      <c r="J16" s="17"/>
      <c r="K16" s="71"/>
    </row>
    <row r="17" spans="1:11" x14ac:dyDescent="0.3">
      <c r="A17" s="17"/>
      <c r="B17" s="134">
        <v>42752</v>
      </c>
      <c r="C17" s="135" t="s">
        <v>16</v>
      </c>
      <c r="D17" s="135" t="s">
        <v>24</v>
      </c>
      <c r="E17" s="135">
        <v>28710</v>
      </c>
      <c r="F17" s="135">
        <v>28770</v>
      </c>
      <c r="G17" s="135">
        <v>60</v>
      </c>
      <c r="H17" s="135">
        <v>100</v>
      </c>
      <c r="I17" s="135">
        <v>6000</v>
      </c>
      <c r="J17" s="17"/>
      <c r="K17" s="71"/>
    </row>
    <row r="18" spans="1:11" x14ac:dyDescent="0.3">
      <c r="A18" s="17"/>
      <c r="B18" s="134">
        <v>42753</v>
      </c>
      <c r="C18" s="135" t="s">
        <v>23</v>
      </c>
      <c r="D18" s="135" t="s">
        <v>24</v>
      </c>
      <c r="E18" s="135">
        <v>28770</v>
      </c>
      <c r="F18" s="135">
        <v>28760</v>
      </c>
      <c r="G18" s="135">
        <v>10</v>
      </c>
      <c r="H18" s="135">
        <v>100</v>
      </c>
      <c r="I18" s="135">
        <v>1000</v>
      </c>
      <c r="J18" s="17"/>
      <c r="K18" s="71"/>
    </row>
    <row r="19" spans="1:11" x14ac:dyDescent="0.3">
      <c r="A19" s="17"/>
      <c r="B19" s="134">
        <v>42754</v>
      </c>
      <c r="C19" s="135" t="s">
        <v>23</v>
      </c>
      <c r="D19" s="135" t="s">
        <v>24</v>
      </c>
      <c r="E19" s="135">
        <v>28570</v>
      </c>
      <c r="F19" s="135">
        <v>28470</v>
      </c>
      <c r="G19" s="135">
        <v>100</v>
      </c>
      <c r="H19" s="135">
        <v>100</v>
      </c>
      <c r="I19" s="135">
        <v>10000</v>
      </c>
      <c r="J19" s="17"/>
      <c r="K19" s="71"/>
    </row>
    <row r="20" spans="1:11" x14ac:dyDescent="0.3">
      <c r="A20" s="17"/>
      <c r="B20" s="134">
        <v>42755</v>
      </c>
      <c r="C20" s="135" t="s">
        <v>23</v>
      </c>
      <c r="D20" s="135" t="s">
        <v>24</v>
      </c>
      <c r="E20" s="135">
        <v>28660</v>
      </c>
      <c r="F20" s="135">
        <v>28560</v>
      </c>
      <c r="G20" s="135">
        <v>100</v>
      </c>
      <c r="H20" s="135">
        <v>100</v>
      </c>
      <c r="I20" s="135">
        <v>10000</v>
      </c>
      <c r="J20" s="17"/>
      <c r="K20" s="71"/>
    </row>
    <row r="21" spans="1:11" x14ac:dyDescent="0.3">
      <c r="A21" s="17"/>
      <c r="B21" s="134">
        <v>42758</v>
      </c>
      <c r="C21" s="135" t="s">
        <v>23</v>
      </c>
      <c r="D21" s="135" t="s">
        <v>24</v>
      </c>
      <c r="E21" s="135">
        <v>28770</v>
      </c>
      <c r="F21" s="135">
        <v>28800</v>
      </c>
      <c r="G21" s="135">
        <v>-30</v>
      </c>
      <c r="H21" s="135">
        <v>100</v>
      </c>
      <c r="I21" s="135">
        <v>-3000</v>
      </c>
      <c r="J21" s="17"/>
      <c r="K21" s="71"/>
    </row>
    <row r="22" spans="1:11" x14ac:dyDescent="0.3">
      <c r="A22" s="17"/>
      <c r="B22" s="134">
        <v>42759</v>
      </c>
      <c r="C22" s="135" t="s">
        <v>23</v>
      </c>
      <c r="D22" s="135" t="s">
        <v>24</v>
      </c>
      <c r="E22" s="135">
        <v>28740</v>
      </c>
      <c r="F22" s="135">
        <v>28700</v>
      </c>
      <c r="G22" s="135">
        <v>40</v>
      </c>
      <c r="H22" s="135">
        <v>100</v>
      </c>
      <c r="I22" s="135">
        <v>4000</v>
      </c>
      <c r="J22" s="17"/>
      <c r="K22" s="71"/>
    </row>
    <row r="23" spans="1:11" x14ac:dyDescent="0.3">
      <c r="A23" s="17"/>
      <c r="B23" s="134">
        <v>42760</v>
      </c>
      <c r="C23" s="135" t="s">
        <v>23</v>
      </c>
      <c r="D23" s="135" t="s">
        <v>24</v>
      </c>
      <c r="E23" s="135">
        <v>28590</v>
      </c>
      <c r="F23" s="135">
        <v>28390</v>
      </c>
      <c r="G23" s="135">
        <v>200</v>
      </c>
      <c r="H23" s="135">
        <v>100</v>
      </c>
      <c r="I23" s="135">
        <v>20000</v>
      </c>
      <c r="J23" s="17"/>
      <c r="K23" s="71"/>
    </row>
    <row r="24" spans="1:11" x14ac:dyDescent="0.3">
      <c r="A24" s="17"/>
      <c r="B24" s="134">
        <v>42762</v>
      </c>
      <c r="C24" s="135" t="s">
        <v>23</v>
      </c>
      <c r="D24" s="135" t="s">
        <v>24</v>
      </c>
      <c r="E24" s="135">
        <v>28170</v>
      </c>
      <c r="F24" s="135">
        <v>28090</v>
      </c>
      <c r="G24" s="135">
        <v>80</v>
      </c>
      <c r="H24" s="135">
        <v>100</v>
      </c>
      <c r="I24" s="135">
        <v>8000</v>
      </c>
      <c r="J24" s="17"/>
      <c r="K24" s="71"/>
    </row>
    <row r="25" spans="1:11" x14ac:dyDescent="0.3">
      <c r="A25" s="17"/>
      <c r="B25" s="134">
        <v>42765</v>
      </c>
      <c r="C25" s="135" t="s">
        <v>23</v>
      </c>
      <c r="D25" s="135" t="s">
        <v>24</v>
      </c>
      <c r="E25" s="135">
        <v>28400</v>
      </c>
      <c r="F25" s="135">
        <v>28340</v>
      </c>
      <c r="G25" s="135">
        <v>60</v>
      </c>
      <c r="H25" s="135">
        <v>100</v>
      </c>
      <c r="I25" s="135">
        <v>6000</v>
      </c>
      <c r="J25" s="17"/>
      <c r="K25" s="71"/>
    </row>
    <row r="26" spans="1:11" x14ac:dyDescent="0.3">
      <c r="A26" s="17"/>
      <c r="B26" s="134">
        <v>42766</v>
      </c>
      <c r="C26" s="135" t="s">
        <v>23</v>
      </c>
      <c r="D26" s="135" t="s">
        <v>24</v>
      </c>
      <c r="E26" s="135">
        <v>28680</v>
      </c>
      <c r="F26" s="135">
        <v>28610</v>
      </c>
      <c r="G26" s="135">
        <v>70</v>
      </c>
      <c r="H26" s="135">
        <v>100</v>
      </c>
      <c r="I26" s="135">
        <v>7000</v>
      </c>
      <c r="J26" s="17"/>
      <c r="K26" s="71"/>
    </row>
    <row r="27" spans="1:11" x14ac:dyDescent="0.3">
      <c r="A27" s="17"/>
      <c r="B27" s="134"/>
      <c r="C27" s="135"/>
      <c r="D27" s="135"/>
      <c r="E27" s="135"/>
      <c r="F27" s="135"/>
      <c r="G27" s="135"/>
      <c r="H27" s="135"/>
      <c r="I27" s="135"/>
      <c r="J27" s="17"/>
      <c r="K27" s="71"/>
    </row>
    <row r="28" spans="1:11" ht="17.399999999999999" x14ac:dyDescent="0.3">
      <c r="A28" s="17"/>
      <c r="C28" s="157"/>
      <c r="D28" s="156"/>
      <c r="E28" s="158"/>
      <c r="F28" s="157"/>
      <c r="G28" s="157"/>
      <c r="H28" s="157"/>
      <c r="I28" s="106">
        <v>118000</v>
      </c>
      <c r="J28" s="17"/>
    </row>
    <row r="29" spans="1:11" x14ac:dyDescent="0.3">
      <c r="A29" s="17"/>
      <c r="C29" s="157"/>
      <c r="D29" s="158"/>
      <c r="E29" s="158"/>
      <c r="F29" s="157"/>
      <c r="G29" s="157"/>
      <c r="H29" s="157"/>
      <c r="I29" s="157"/>
      <c r="J29" s="17"/>
    </row>
    <row r="30" spans="1:11" x14ac:dyDescent="0.3">
      <c r="A30" s="17"/>
      <c r="B30" s="164" t="s">
        <v>789</v>
      </c>
      <c r="C30" s="159"/>
      <c r="D30" s="160"/>
      <c r="E30" s="159"/>
      <c r="F30" s="159"/>
      <c r="G30" s="159"/>
      <c r="H30" s="159"/>
      <c r="I30" s="159"/>
      <c r="J30" s="17"/>
    </row>
    <row r="31" spans="1:11" x14ac:dyDescent="0.3">
      <c r="A31" s="17"/>
      <c r="B31" s="134">
        <v>42738</v>
      </c>
      <c r="C31" s="135" t="s">
        <v>23</v>
      </c>
      <c r="D31" s="135" t="s">
        <v>25</v>
      </c>
      <c r="E31" s="135">
        <v>3760</v>
      </c>
      <c r="F31" s="135">
        <v>3685</v>
      </c>
      <c r="G31" s="135">
        <v>75</v>
      </c>
      <c r="H31" s="135">
        <v>100</v>
      </c>
      <c r="I31" s="135">
        <v>7500</v>
      </c>
      <c r="J31" s="17"/>
    </row>
    <row r="32" spans="1:11" x14ac:dyDescent="0.3">
      <c r="A32" s="17"/>
      <c r="B32" s="134">
        <v>42739</v>
      </c>
      <c r="C32" s="135" t="s">
        <v>23</v>
      </c>
      <c r="D32" s="135" t="s">
        <v>25</v>
      </c>
      <c r="E32" s="135">
        <v>3605</v>
      </c>
      <c r="F32" s="135">
        <v>3565</v>
      </c>
      <c r="G32" s="135">
        <v>40</v>
      </c>
      <c r="H32" s="135">
        <v>100</v>
      </c>
      <c r="I32" s="135">
        <v>4000</v>
      </c>
      <c r="J32" s="17"/>
    </row>
    <row r="33" spans="1:10" x14ac:dyDescent="0.3">
      <c r="A33" s="17"/>
      <c r="B33" s="134">
        <v>42740</v>
      </c>
      <c r="C33" s="135" t="s">
        <v>23</v>
      </c>
      <c r="D33" s="135" t="s">
        <v>25</v>
      </c>
      <c r="E33" s="135">
        <v>3645</v>
      </c>
      <c r="F33" s="135">
        <v>3610</v>
      </c>
      <c r="G33" s="135">
        <v>35</v>
      </c>
      <c r="H33" s="135">
        <v>100</v>
      </c>
      <c r="I33" s="135">
        <v>3500</v>
      </c>
      <c r="J33" s="17"/>
    </row>
    <row r="34" spans="1:10" x14ac:dyDescent="0.3">
      <c r="A34" s="17"/>
      <c r="B34" s="134">
        <v>42740</v>
      </c>
      <c r="C34" s="135" t="s">
        <v>23</v>
      </c>
      <c r="D34" s="135" t="s">
        <v>26</v>
      </c>
      <c r="E34" s="135">
        <v>224</v>
      </c>
      <c r="F34" s="135">
        <v>217</v>
      </c>
      <c r="G34" s="135">
        <v>7</v>
      </c>
      <c r="H34" s="135">
        <v>1250</v>
      </c>
      <c r="I34" s="135">
        <v>8750</v>
      </c>
      <c r="J34" s="17"/>
    </row>
    <row r="35" spans="1:10" x14ac:dyDescent="0.3">
      <c r="A35" s="17"/>
      <c r="B35" s="134">
        <v>42741</v>
      </c>
      <c r="C35" s="135" t="s">
        <v>23</v>
      </c>
      <c r="D35" s="135" t="s">
        <v>25</v>
      </c>
      <c r="E35" s="135">
        <v>3690</v>
      </c>
      <c r="F35" s="135">
        <v>3650</v>
      </c>
      <c r="G35" s="135">
        <v>40</v>
      </c>
      <c r="H35" s="135">
        <v>100</v>
      </c>
      <c r="I35" s="135">
        <v>4000</v>
      </c>
      <c r="J35" s="17"/>
    </row>
    <row r="36" spans="1:10" x14ac:dyDescent="0.3">
      <c r="A36" s="17"/>
      <c r="B36" s="134">
        <v>42744</v>
      </c>
      <c r="C36" s="135" t="s">
        <v>23</v>
      </c>
      <c r="D36" s="135" t="s">
        <v>25</v>
      </c>
      <c r="E36" s="135">
        <v>3665</v>
      </c>
      <c r="F36" s="135">
        <v>3590</v>
      </c>
      <c r="G36" s="135">
        <v>75</v>
      </c>
      <c r="H36" s="135">
        <v>100</v>
      </c>
      <c r="I36" s="135">
        <v>7500</v>
      </c>
      <c r="J36" s="17"/>
    </row>
    <row r="37" spans="1:10" x14ac:dyDescent="0.3">
      <c r="A37" s="17"/>
      <c r="B37" s="134">
        <v>42745</v>
      </c>
      <c r="C37" s="135" t="s">
        <v>23</v>
      </c>
      <c r="D37" s="135" t="s">
        <v>25</v>
      </c>
      <c r="E37" s="135">
        <v>3565</v>
      </c>
      <c r="F37" s="135">
        <v>3500</v>
      </c>
      <c r="G37" s="135">
        <v>65</v>
      </c>
      <c r="H37" s="135">
        <v>100</v>
      </c>
      <c r="I37" s="135">
        <v>6500</v>
      </c>
      <c r="J37" s="17"/>
    </row>
    <row r="38" spans="1:10" x14ac:dyDescent="0.3">
      <c r="A38" s="17"/>
      <c r="B38" s="134">
        <v>42746</v>
      </c>
      <c r="C38" s="135" t="s">
        <v>23</v>
      </c>
      <c r="D38" s="135" t="s">
        <v>25</v>
      </c>
      <c r="E38" s="135">
        <v>3510</v>
      </c>
      <c r="F38" s="135">
        <v>3490</v>
      </c>
      <c r="G38" s="135">
        <v>20</v>
      </c>
      <c r="H38" s="135">
        <v>100</v>
      </c>
      <c r="I38" s="135">
        <v>2000</v>
      </c>
      <c r="J38" s="17"/>
    </row>
    <row r="39" spans="1:10" x14ac:dyDescent="0.3">
      <c r="A39" s="17"/>
      <c r="B39" s="134">
        <v>42747</v>
      </c>
      <c r="C39" s="135" t="s">
        <v>23</v>
      </c>
      <c r="D39" s="135" t="s">
        <v>25</v>
      </c>
      <c r="E39" s="135">
        <v>3560</v>
      </c>
      <c r="F39" s="135">
        <v>3595</v>
      </c>
      <c r="G39" s="135">
        <v>-35</v>
      </c>
      <c r="H39" s="135">
        <v>100</v>
      </c>
      <c r="I39" s="135">
        <v>-3500</v>
      </c>
      <c r="J39" s="17"/>
    </row>
    <row r="40" spans="1:10" x14ac:dyDescent="0.3">
      <c r="A40" s="17"/>
      <c r="B40" s="134">
        <v>42748</v>
      </c>
      <c r="C40" s="135" t="s">
        <v>23</v>
      </c>
      <c r="D40" s="135" t="s">
        <v>25</v>
      </c>
      <c r="E40" s="135">
        <v>3590</v>
      </c>
      <c r="F40" s="135">
        <v>3575</v>
      </c>
      <c r="G40" s="135">
        <v>15</v>
      </c>
      <c r="H40" s="135">
        <v>100</v>
      </c>
      <c r="I40" s="135">
        <v>1500</v>
      </c>
      <c r="J40" s="17"/>
    </row>
    <row r="41" spans="1:10" x14ac:dyDescent="0.3">
      <c r="A41" s="17"/>
      <c r="B41" s="134">
        <v>42751</v>
      </c>
      <c r="C41" s="135" t="s">
        <v>23</v>
      </c>
      <c r="D41" s="135" t="s">
        <v>25</v>
      </c>
      <c r="E41" s="135">
        <v>3570</v>
      </c>
      <c r="F41" s="135">
        <v>3555</v>
      </c>
      <c r="G41" s="135">
        <v>15</v>
      </c>
      <c r="H41" s="135">
        <v>100</v>
      </c>
      <c r="I41" s="135">
        <v>1500</v>
      </c>
      <c r="J41" s="17"/>
    </row>
    <row r="42" spans="1:10" x14ac:dyDescent="0.3">
      <c r="A42" s="17"/>
      <c r="B42" s="134">
        <v>42752</v>
      </c>
      <c r="C42" s="135" t="s">
        <v>23</v>
      </c>
      <c r="D42" s="135" t="s">
        <v>25</v>
      </c>
      <c r="E42" s="135">
        <v>3580</v>
      </c>
      <c r="F42" s="135">
        <v>3620</v>
      </c>
      <c r="G42" s="135">
        <v>-40</v>
      </c>
      <c r="H42" s="135">
        <v>100</v>
      </c>
      <c r="I42" s="135">
        <v>-4000</v>
      </c>
      <c r="J42" s="17"/>
    </row>
    <row r="43" spans="1:10" x14ac:dyDescent="0.3">
      <c r="A43" s="17"/>
      <c r="B43" s="134">
        <v>42752</v>
      </c>
      <c r="C43" s="135" t="s">
        <v>23</v>
      </c>
      <c r="D43" s="135" t="s">
        <v>26</v>
      </c>
      <c r="E43" s="135">
        <v>235</v>
      </c>
      <c r="F43" s="135">
        <v>229.5</v>
      </c>
      <c r="G43" s="135">
        <v>5.5</v>
      </c>
      <c r="H43" s="135">
        <v>1250</v>
      </c>
      <c r="I43" s="135">
        <v>6875</v>
      </c>
      <c r="J43" s="17"/>
    </row>
    <row r="44" spans="1:10" x14ac:dyDescent="0.3">
      <c r="A44" s="17"/>
      <c r="B44" s="134">
        <v>42753</v>
      </c>
      <c r="C44" s="135" t="s">
        <v>23</v>
      </c>
      <c r="D44" s="135" t="s">
        <v>25</v>
      </c>
      <c r="E44" s="135">
        <v>3530</v>
      </c>
      <c r="F44" s="135">
        <v>3490</v>
      </c>
      <c r="G44" s="135">
        <v>40</v>
      </c>
      <c r="H44" s="135">
        <v>100</v>
      </c>
      <c r="I44" s="135">
        <v>4000</v>
      </c>
      <c r="J44" s="17"/>
    </row>
    <row r="45" spans="1:10" x14ac:dyDescent="0.3">
      <c r="A45" s="17"/>
      <c r="B45" s="134">
        <v>42754</v>
      </c>
      <c r="C45" s="135" t="s">
        <v>23</v>
      </c>
      <c r="D45" s="135" t="s">
        <v>25</v>
      </c>
      <c r="E45" s="135">
        <v>3505</v>
      </c>
      <c r="F45" s="135">
        <v>3540</v>
      </c>
      <c r="G45" s="135">
        <v>-35</v>
      </c>
      <c r="H45" s="135">
        <v>100</v>
      </c>
      <c r="I45" s="135">
        <v>-3500</v>
      </c>
      <c r="J45" s="17"/>
    </row>
    <row r="46" spans="1:10" x14ac:dyDescent="0.3">
      <c r="A46" s="17"/>
      <c r="B46" s="134">
        <v>42755</v>
      </c>
      <c r="C46" s="135" t="s">
        <v>23</v>
      </c>
      <c r="D46" s="135" t="s">
        <v>25</v>
      </c>
      <c r="E46" s="135">
        <v>3610</v>
      </c>
      <c r="F46" s="135">
        <v>3650</v>
      </c>
      <c r="G46" s="135">
        <v>-40</v>
      </c>
      <c r="H46" s="135">
        <v>100</v>
      </c>
      <c r="I46" s="135">
        <v>-4000</v>
      </c>
      <c r="J46" s="17"/>
    </row>
    <row r="47" spans="1:10" x14ac:dyDescent="0.3">
      <c r="A47" s="17"/>
      <c r="B47" s="134">
        <v>42758</v>
      </c>
      <c r="C47" s="135" t="s">
        <v>23</v>
      </c>
      <c r="D47" s="135" t="s">
        <v>25</v>
      </c>
      <c r="E47" s="135">
        <v>3620</v>
      </c>
      <c r="F47" s="135">
        <v>3575</v>
      </c>
      <c r="G47" s="135">
        <v>45</v>
      </c>
      <c r="H47" s="135">
        <v>100</v>
      </c>
      <c r="I47" s="135">
        <v>4500</v>
      </c>
      <c r="J47" s="17"/>
    </row>
    <row r="48" spans="1:10" x14ac:dyDescent="0.3">
      <c r="A48" s="17"/>
      <c r="B48" s="134">
        <v>42759</v>
      </c>
      <c r="C48" s="135" t="s">
        <v>23</v>
      </c>
      <c r="D48" s="135" t="s">
        <v>25</v>
      </c>
      <c r="E48" s="135">
        <v>3630</v>
      </c>
      <c r="F48" s="135">
        <v>3605</v>
      </c>
      <c r="G48" s="135">
        <v>25</v>
      </c>
      <c r="H48" s="135">
        <v>100</v>
      </c>
      <c r="I48" s="135">
        <v>2500</v>
      </c>
      <c r="J48" s="17"/>
    </row>
    <row r="49" spans="1:10" x14ac:dyDescent="0.3">
      <c r="A49" s="17"/>
      <c r="B49" s="134">
        <v>42760</v>
      </c>
      <c r="C49" s="135" t="s">
        <v>23</v>
      </c>
      <c r="D49" s="135" t="s">
        <v>25</v>
      </c>
      <c r="E49" s="135">
        <v>3615</v>
      </c>
      <c r="F49" s="135">
        <v>3595</v>
      </c>
      <c r="G49" s="135">
        <v>20</v>
      </c>
      <c r="H49" s="135">
        <v>100</v>
      </c>
      <c r="I49" s="135">
        <v>2000</v>
      </c>
      <c r="J49" s="17"/>
    </row>
    <row r="50" spans="1:10" x14ac:dyDescent="0.3">
      <c r="A50" s="17"/>
      <c r="B50" s="134">
        <v>42762</v>
      </c>
      <c r="C50" s="135" t="s">
        <v>23</v>
      </c>
      <c r="D50" s="135" t="s">
        <v>25</v>
      </c>
      <c r="E50" s="135">
        <v>3660</v>
      </c>
      <c r="F50" s="135">
        <v>3595</v>
      </c>
      <c r="G50" s="135">
        <v>65</v>
      </c>
      <c r="H50" s="135">
        <v>100</v>
      </c>
      <c r="I50" s="135">
        <v>6500</v>
      </c>
      <c r="J50" s="17"/>
    </row>
    <row r="51" spans="1:10" x14ac:dyDescent="0.3">
      <c r="A51" s="17"/>
      <c r="B51" s="134">
        <v>42765</v>
      </c>
      <c r="C51" s="135" t="s">
        <v>23</v>
      </c>
      <c r="D51" s="135" t="s">
        <v>25</v>
      </c>
      <c r="E51" s="135">
        <v>3615</v>
      </c>
      <c r="F51" s="135">
        <v>3575</v>
      </c>
      <c r="G51" s="135">
        <v>40</v>
      </c>
      <c r="H51" s="135">
        <v>100</v>
      </c>
      <c r="I51" s="135">
        <v>4000</v>
      </c>
      <c r="J51" s="17"/>
    </row>
    <row r="52" spans="1:10" x14ac:dyDescent="0.3">
      <c r="A52" s="17"/>
      <c r="B52" s="134">
        <v>42766</v>
      </c>
      <c r="C52" s="135" t="s">
        <v>23</v>
      </c>
      <c r="D52" s="135" t="s">
        <v>25</v>
      </c>
      <c r="E52" s="135">
        <v>3565</v>
      </c>
      <c r="F52" s="135">
        <v>3600</v>
      </c>
      <c r="G52" s="135">
        <v>-40</v>
      </c>
      <c r="H52" s="135">
        <v>100</v>
      </c>
      <c r="I52" s="135">
        <v>-4000</v>
      </c>
      <c r="J52" s="17"/>
    </row>
    <row r="53" spans="1:10" x14ac:dyDescent="0.3">
      <c r="A53" s="17"/>
      <c r="C53" s="135"/>
      <c r="D53" s="135"/>
      <c r="E53" s="135"/>
      <c r="F53" s="135"/>
      <c r="G53" s="135"/>
      <c r="H53" s="135"/>
      <c r="I53" s="135"/>
      <c r="J53" s="17"/>
    </row>
    <row r="54" spans="1:10" ht="18" x14ac:dyDescent="0.35">
      <c r="A54" s="142"/>
      <c r="B54" s="134"/>
      <c r="C54" s="137"/>
      <c r="D54" s="167"/>
      <c r="E54" s="137"/>
      <c r="F54" s="137"/>
      <c r="G54" s="137"/>
      <c r="H54" s="168"/>
      <c r="I54" s="106">
        <v>58125</v>
      </c>
      <c r="J54" s="17"/>
    </row>
    <row r="55" spans="1:10" x14ac:dyDescent="0.3">
      <c r="A55" s="17"/>
      <c r="B55" s="71"/>
      <c r="C55" s="157"/>
      <c r="D55" s="158"/>
      <c r="E55" s="157"/>
      <c r="F55" s="157"/>
      <c r="G55" s="157"/>
      <c r="H55" s="157"/>
      <c r="I55" s="157"/>
      <c r="J55" s="17"/>
    </row>
    <row r="56" spans="1:10" x14ac:dyDescent="0.3">
      <c r="A56" s="17"/>
      <c r="B56" s="164" t="s">
        <v>788</v>
      </c>
      <c r="C56" s="159"/>
      <c r="D56" s="160"/>
      <c r="E56" s="159"/>
      <c r="F56" s="159"/>
      <c r="G56" s="159"/>
      <c r="H56" s="159"/>
      <c r="I56" s="64"/>
      <c r="J56" s="17"/>
    </row>
    <row r="57" spans="1:10" x14ac:dyDescent="0.3">
      <c r="A57" s="17"/>
      <c r="B57" s="134">
        <v>42737</v>
      </c>
      <c r="C57" s="135" t="s">
        <v>23</v>
      </c>
      <c r="D57" s="135" t="s">
        <v>29</v>
      </c>
      <c r="E57" s="135">
        <v>378</v>
      </c>
      <c r="F57" s="135">
        <v>377.7</v>
      </c>
      <c r="G57" s="135">
        <v>0.3</v>
      </c>
      <c r="H57" s="135">
        <v>1000</v>
      </c>
      <c r="I57" s="135">
        <v>300</v>
      </c>
      <c r="J57" s="17"/>
    </row>
    <row r="58" spans="1:10" x14ac:dyDescent="0.3">
      <c r="A58" s="17"/>
      <c r="B58" s="134">
        <v>42738</v>
      </c>
      <c r="C58" s="135" t="s">
        <v>23</v>
      </c>
      <c r="D58" s="135" t="s">
        <v>29</v>
      </c>
      <c r="E58" s="135">
        <v>382</v>
      </c>
      <c r="F58" s="135">
        <v>378</v>
      </c>
      <c r="G58" s="135">
        <v>4</v>
      </c>
      <c r="H58" s="135">
        <v>1000</v>
      </c>
      <c r="I58" s="135">
        <v>4000</v>
      </c>
      <c r="J58" s="17"/>
    </row>
    <row r="59" spans="1:10" x14ac:dyDescent="0.3">
      <c r="A59" s="17"/>
      <c r="B59" s="134">
        <v>42739</v>
      </c>
      <c r="C59" s="135" t="s">
        <v>23</v>
      </c>
      <c r="D59" s="135" t="s">
        <v>29</v>
      </c>
      <c r="E59" s="135">
        <v>378</v>
      </c>
      <c r="F59" s="135">
        <v>382</v>
      </c>
      <c r="G59" s="135">
        <v>-4</v>
      </c>
      <c r="H59" s="135">
        <v>1000</v>
      </c>
      <c r="I59" s="135">
        <v>-4000</v>
      </c>
      <c r="J59" s="131"/>
    </row>
    <row r="60" spans="1:10" x14ac:dyDescent="0.3">
      <c r="A60" s="131"/>
      <c r="B60" s="134">
        <v>42740</v>
      </c>
      <c r="C60" s="135" t="s">
        <v>23</v>
      </c>
      <c r="D60" s="135" t="s">
        <v>29</v>
      </c>
      <c r="E60" s="135">
        <v>385</v>
      </c>
      <c r="F60" s="135">
        <v>380</v>
      </c>
      <c r="G60" s="135">
        <v>5</v>
      </c>
      <c r="H60" s="135">
        <v>1000</v>
      </c>
      <c r="I60" s="135">
        <v>5000</v>
      </c>
      <c r="J60" s="131"/>
    </row>
    <row r="61" spans="1:10" x14ac:dyDescent="0.3">
      <c r="A61" s="131"/>
      <c r="B61" s="134">
        <v>42741</v>
      </c>
      <c r="C61" s="135" t="s">
        <v>23</v>
      </c>
      <c r="D61" s="135" t="s">
        <v>29</v>
      </c>
      <c r="E61" s="135">
        <v>380.5</v>
      </c>
      <c r="F61" s="135">
        <v>378.5</v>
      </c>
      <c r="G61" s="135">
        <v>2</v>
      </c>
      <c r="H61" s="135">
        <v>1000</v>
      </c>
      <c r="I61" s="135">
        <v>2000</v>
      </c>
      <c r="J61" s="131"/>
    </row>
    <row r="62" spans="1:10" x14ac:dyDescent="0.3">
      <c r="A62" s="131"/>
      <c r="B62" s="134">
        <v>42744</v>
      </c>
      <c r="C62" s="135" t="s">
        <v>23</v>
      </c>
      <c r="D62" s="135" t="s">
        <v>29</v>
      </c>
      <c r="E62" s="135">
        <v>384.5</v>
      </c>
      <c r="F62" s="135">
        <v>380.5</v>
      </c>
      <c r="G62" s="135">
        <v>4</v>
      </c>
      <c r="H62" s="135">
        <v>1000</v>
      </c>
      <c r="I62" s="135">
        <v>4000</v>
      </c>
      <c r="J62" s="131"/>
    </row>
    <row r="63" spans="1:10" x14ac:dyDescent="0.3">
      <c r="A63" s="131"/>
      <c r="B63" s="134">
        <v>42745</v>
      </c>
      <c r="C63" s="135" t="s">
        <v>23</v>
      </c>
      <c r="D63" s="135" t="s">
        <v>29</v>
      </c>
      <c r="E63" s="135">
        <v>387.5</v>
      </c>
      <c r="F63" s="135">
        <v>391.5</v>
      </c>
      <c r="G63" s="135">
        <v>-4</v>
      </c>
      <c r="H63" s="135">
        <v>1000</v>
      </c>
      <c r="I63" s="135">
        <v>-4000</v>
      </c>
      <c r="J63" s="131"/>
    </row>
    <row r="64" spans="1:10" x14ac:dyDescent="0.3">
      <c r="A64" s="131"/>
      <c r="B64" s="134">
        <v>42746</v>
      </c>
      <c r="C64" s="135" t="s">
        <v>23</v>
      </c>
      <c r="D64" s="135" t="s">
        <v>29</v>
      </c>
      <c r="E64" s="135">
        <v>395</v>
      </c>
      <c r="F64" s="135">
        <v>394</v>
      </c>
      <c r="G64" s="135">
        <v>1</v>
      </c>
      <c r="H64" s="135">
        <v>1000</v>
      </c>
      <c r="I64" s="135">
        <v>1000</v>
      </c>
      <c r="J64" s="131"/>
    </row>
    <row r="65" spans="1:10" x14ac:dyDescent="0.3">
      <c r="A65" s="131"/>
      <c r="B65" s="134">
        <v>42747</v>
      </c>
      <c r="C65" s="135" t="s">
        <v>23</v>
      </c>
      <c r="D65" s="135" t="s">
        <v>29</v>
      </c>
      <c r="E65" s="135">
        <v>398</v>
      </c>
      <c r="F65" s="135">
        <v>394</v>
      </c>
      <c r="G65" s="135">
        <v>4</v>
      </c>
      <c r="H65" s="135">
        <v>1000</v>
      </c>
      <c r="I65" s="135">
        <v>4000</v>
      </c>
      <c r="J65" s="131"/>
    </row>
    <row r="66" spans="1:10" x14ac:dyDescent="0.3">
      <c r="A66" s="131"/>
      <c r="B66" s="134">
        <v>42748</v>
      </c>
      <c r="C66" s="135" t="s">
        <v>23</v>
      </c>
      <c r="D66" s="135" t="s">
        <v>29</v>
      </c>
      <c r="E66" s="135">
        <v>400</v>
      </c>
      <c r="F66" s="135">
        <v>404</v>
      </c>
      <c r="G66" s="135">
        <v>-4</v>
      </c>
      <c r="H66" s="135">
        <v>1000</v>
      </c>
      <c r="I66" s="135">
        <v>-4000</v>
      </c>
      <c r="J66" s="131"/>
    </row>
    <row r="67" spans="1:10" x14ac:dyDescent="0.3">
      <c r="A67" s="131"/>
      <c r="B67" s="134">
        <v>42751</v>
      </c>
      <c r="C67" s="135" t="s">
        <v>23</v>
      </c>
      <c r="D67" s="135" t="s">
        <v>35</v>
      </c>
      <c r="E67" s="135">
        <v>704</v>
      </c>
      <c r="F67" s="135">
        <v>699</v>
      </c>
      <c r="G67" s="135">
        <v>5</v>
      </c>
      <c r="H67" s="135">
        <v>250</v>
      </c>
      <c r="I67" s="135">
        <v>1250</v>
      </c>
      <c r="J67" s="131"/>
    </row>
    <row r="68" spans="1:10" x14ac:dyDescent="0.3">
      <c r="A68" s="131"/>
      <c r="B68" s="134">
        <v>42752</v>
      </c>
      <c r="C68" s="135" t="s">
        <v>23</v>
      </c>
      <c r="D68" s="135" t="s">
        <v>35</v>
      </c>
      <c r="E68" s="135">
        <v>690</v>
      </c>
      <c r="F68" s="135">
        <v>700</v>
      </c>
      <c r="G68" s="135">
        <v>-10</v>
      </c>
      <c r="H68" s="135">
        <v>250</v>
      </c>
      <c r="I68" s="135">
        <v>-2500</v>
      </c>
      <c r="J68" s="131"/>
    </row>
    <row r="69" spans="1:10" x14ac:dyDescent="0.3">
      <c r="A69" s="131"/>
      <c r="B69" s="134">
        <v>42753</v>
      </c>
      <c r="C69" s="135" t="s">
        <v>16</v>
      </c>
      <c r="D69" s="135" t="s">
        <v>56</v>
      </c>
      <c r="E69" s="135">
        <v>123</v>
      </c>
      <c r="F69" s="135">
        <v>122.7</v>
      </c>
      <c r="G69" s="135">
        <v>-0.3</v>
      </c>
      <c r="H69" s="135">
        <v>5000</v>
      </c>
      <c r="I69" s="135">
        <v>-1500</v>
      </c>
      <c r="J69" s="131"/>
    </row>
    <row r="70" spans="1:10" x14ac:dyDescent="0.3">
      <c r="A70" s="131"/>
      <c r="B70" s="134">
        <v>42754</v>
      </c>
      <c r="C70" s="135" t="s">
        <v>23</v>
      </c>
      <c r="D70" s="135" t="s">
        <v>29</v>
      </c>
      <c r="E70" s="135">
        <v>394</v>
      </c>
      <c r="F70" s="135">
        <v>390</v>
      </c>
      <c r="G70" s="135">
        <v>4</v>
      </c>
      <c r="H70" s="135">
        <v>1000</v>
      </c>
      <c r="I70" s="135">
        <v>4000</v>
      </c>
      <c r="J70" s="131"/>
    </row>
    <row r="71" spans="1:10" x14ac:dyDescent="0.3">
      <c r="A71" s="131"/>
      <c r="B71" s="134">
        <v>42755</v>
      </c>
      <c r="C71" s="135" t="s">
        <v>23</v>
      </c>
      <c r="D71" s="135" t="s">
        <v>35</v>
      </c>
      <c r="E71" s="135">
        <v>667</v>
      </c>
      <c r="F71" s="135">
        <v>666</v>
      </c>
      <c r="G71" s="135">
        <v>1</v>
      </c>
      <c r="H71" s="135">
        <v>250</v>
      </c>
      <c r="I71" s="135">
        <v>250</v>
      </c>
      <c r="J71" s="131"/>
    </row>
    <row r="72" spans="1:10" x14ac:dyDescent="0.3">
      <c r="A72" s="131"/>
      <c r="B72" s="134">
        <v>42758</v>
      </c>
      <c r="C72" s="135" t="s">
        <v>23</v>
      </c>
      <c r="D72" s="135" t="s">
        <v>29</v>
      </c>
      <c r="E72" s="135">
        <v>397</v>
      </c>
      <c r="F72" s="135">
        <v>394.8</v>
      </c>
      <c r="G72" s="135">
        <v>2.2000000000000002</v>
      </c>
      <c r="H72" s="135">
        <v>1000</v>
      </c>
      <c r="I72" s="135">
        <v>2200</v>
      </c>
      <c r="J72" s="131"/>
    </row>
    <row r="73" spans="1:10" x14ac:dyDescent="0.3">
      <c r="A73" s="131"/>
      <c r="B73" s="134">
        <v>42759</v>
      </c>
      <c r="C73" s="135" t="s">
        <v>23</v>
      </c>
      <c r="D73" s="135" t="s">
        <v>29</v>
      </c>
      <c r="E73" s="135">
        <v>402</v>
      </c>
      <c r="F73" s="135">
        <v>406</v>
      </c>
      <c r="G73" s="135">
        <v>-4</v>
      </c>
      <c r="H73" s="135">
        <v>1000</v>
      </c>
      <c r="I73" s="135">
        <v>-4000</v>
      </c>
      <c r="J73" s="131"/>
    </row>
    <row r="74" spans="1:10" x14ac:dyDescent="0.3">
      <c r="A74" s="131"/>
      <c r="B74" s="134">
        <v>42760</v>
      </c>
      <c r="C74" s="135" t="s">
        <v>23</v>
      </c>
      <c r="D74" s="135" t="s">
        <v>35</v>
      </c>
      <c r="E74" s="135">
        <v>657</v>
      </c>
      <c r="F74" s="135">
        <v>650</v>
      </c>
      <c r="G74" s="135">
        <v>7</v>
      </c>
      <c r="H74" s="135">
        <v>500</v>
      </c>
      <c r="I74" s="135">
        <v>3500</v>
      </c>
      <c r="J74" s="131"/>
    </row>
    <row r="75" spans="1:10" x14ac:dyDescent="0.3">
      <c r="A75" s="131"/>
      <c r="B75" s="134">
        <v>42762</v>
      </c>
      <c r="C75" s="135" t="s">
        <v>23</v>
      </c>
      <c r="D75" s="135" t="s">
        <v>28</v>
      </c>
      <c r="E75" s="135">
        <v>187</v>
      </c>
      <c r="F75" s="135">
        <v>185.6</v>
      </c>
      <c r="G75" s="135">
        <v>1.4</v>
      </c>
      <c r="H75" s="135">
        <v>5000</v>
      </c>
      <c r="I75" s="135">
        <v>7000</v>
      </c>
      <c r="J75" s="131"/>
    </row>
    <row r="76" spans="1:10" x14ac:dyDescent="0.3">
      <c r="A76" s="131"/>
      <c r="B76" s="134">
        <v>42765</v>
      </c>
      <c r="C76" s="135" t="s">
        <v>23</v>
      </c>
      <c r="D76" s="135" t="s">
        <v>56</v>
      </c>
      <c r="E76" s="135">
        <v>123.4</v>
      </c>
      <c r="F76" s="135">
        <v>122</v>
      </c>
      <c r="G76" s="135">
        <v>1.4</v>
      </c>
      <c r="H76" s="135">
        <v>5000</v>
      </c>
      <c r="I76" s="135">
        <v>7000</v>
      </c>
      <c r="J76" s="131"/>
    </row>
    <row r="77" spans="1:10" s="135" customFormat="1" ht="13.8" x14ac:dyDescent="0.25">
      <c r="A77" s="174"/>
      <c r="B77" s="134">
        <v>42766</v>
      </c>
      <c r="C77" s="135" t="s">
        <v>23</v>
      </c>
      <c r="D77" s="135" t="s">
        <v>56</v>
      </c>
      <c r="E77" s="135">
        <v>122.8</v>
      </c>
      <c r="F77" s="135">
        <v>122.3</v>
      </c>
      <c r="G77" s="135">
        <v>0.5</v>
      </c>
      <c r="H77" s="157">
        <v>5000</v>
      </c>
      <c r="I77" s="135">
        <v>2500</v>
      </c>
      <c r="J77" s="174"/>
    </row>
    <row r="78" spans="1:10" x14ac:dyDescent="0.3">
      <c r="A78" s="131"/>
      <c r="J78" s="131"/>
    </row>
    <row r="79" spans="1:10" s="173" customFormat="1" ht="18" x14ac:dyDescent="0.35">
      <c r="A79" s="146"/>
      <c r="I79" s="138">
        <v>28000</v>
      </c>
      <c r="J79" s="146"/>
    </row>
    <row r="80" spans="1:10" x14ac:dyDescent="0.3">
      <c r="A80" s="131"/>
      <c r="J80" s="131"/>
    </row>
    <row r="81" spans="1:10" x14ac:dyDescent="0.3">
      <c r="A81" s="131"/>
      <c r="J81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1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80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3">
        <v>42767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42767</v>
      </c>
      <c r="C6" s="135" t="s">
        <v>16</v>
      </c>
      <c r="D6" s="135" t="s">
        <v>24</v>
      </c>
      <c r="E6" s="135">
        <v>28920</v>
      </c>
      <c r="F6" s="135">
        <v>28820</v>
      </c>
      <c r="G6" s="135">
        <v>-100</v>
      </c>
      <c r="H6" s="135">
        <v>100</v>
      </c>
      <c r="I6" s="135">
        <v>-10000</v>
      </c>
      <c r="J6" s="17"/>
      <c r="K6" s="71"/>
    </row>
    <row r="7" spans="1:15" x14ac:dyDescent="0.3">
      <c r="A7" s="17"/>
      <c r="B7" s="134">
        <v>42768</v>
      </c>
      <c r="C7" s="135" t="s">
        <v>140</v>
      </c>
      <c r="D7" s="135" t="s">
        <v>24</v>
      </c>
      <c r="E7" s="135">
        <v>28900</v>
      </c>
      <c r="F7" s="135">
        <v>29000</v>
      </c>
      <c r="G7" s="135">
        <v>-100</v>
      </c>
      <c r="H7" s="135">
        <v>100</v>
      </c>
      <c r="I7" s="135">
        <v>-10000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42769</v>
      </c>
      <c r="C8" s="151" t="s">
        <v>140</v>
      </c>
      <c r="D8" s="151" t="s">
        <v>24</v>
      </c>
      <c r="E8" s="151">
        <v>28880</v>
      </c>
      <c r="F8" s="151">
        <v>28750</v>
      </c>
      <c r="G8" s="151">
        <v>130</v>
      </c>
      <c r="H8" s="151">
        <v>100</v>
      </c>
      <c r="I8" s="135">
        <v>13000</v>
      </c>
      <c r="J8" s="17"/>
      <c r="K8" s="71" t="s">
        <v>257</v>
      </c>
      <c r="L8" s="165" t="s">
        <v>263</v>
      </c>
      <c r="M8" s="101" t="s">
        <v>270</v>
      </c>
      <c r="N8" s="101" t="s">
        <v>436</v>
      </c>
      <c r="O8" s="75">
        <v>0</v>
      </c>
    </row>
    <row r="9" spans="1:15" x14ac:dyDescent="0.3">
      <c r="A9" s="17"/>
      <c r="B9" s="134">
        <v>42772</v>
      </c>
      <c r="C9" s="151" t="s">
        <v>140</v>
      </c>
      <c r="D9" s="151" t="s">
        <v>24</v>
      </c>
      <c r="E9" s="151">
        <v>29030</v>
      </c>
      <c r="F9" s="151">
        <v>29130</v>
      </c>
      <c r="G9" s="151">
        <v>-100</v>
      </c>
      <c r="H9" s="151">
        <v>100</v>
      </c>
      <c r="I9" s="135">
        <v>-10000</v>
      </c>
      <c r="J9" s="17"/>
      <c r="K9" s="71" t="s">
        <v>258</v>
      </c>
      <c r="L9" s="165" t="s">
        <v>621</v>
      </c>
      <c r="M9" s="101" t="s">
        <v>260</v>
      </c>
      <c r="N9" s="101" t="s">
        <v>299</v>
      </c>
      <c r="O9" s="75">
        <v>0</v>
      </c>
    </row>
    <row r="10" spans="1:15" x14ac:dyDescent="0.3">
      <c r="A10" s="17"/>
      <c r="B10" s="134">
        <v>42773</v>
      </c>
      <c r="C10" s="151" t="s">
        <v>140</v>
      </c>
      <c r="D10" s="151" t="s">
        <v>24</v>
      </c>
      <c r="E10" s="151">
        <v>29260</v>
      </c>
      <c r="F10" s="151">
        <v>29190</v>
      </c>
      <c r="G10" s="151">
        <v>70</v>
      </c>
      <c r="H10" s="151">
        <v>100</v>
      </c>
      <c r="I10" s="135">
        <v>7000</v>
      </c>
      <c r="J10" s="17"/>
      <c r="K10" s="71" t="s">
        <v>259</v>
      </c>
      <c r="L10" s="165" t="s">
        <v>263</v>
      </c>
      <c r="M10" s="101" t="s">
        <v>298</v>
      </c>
      <c r="N10" s="101" t="s">
        <v>299</v>
      </c>
      <c r="O10" s="75">
        <v>0</v>
      </c>
    </row>
    <row r="11" spans="1:15" x14ac:dyDescent="0.3">
      <c r="A11" s="17"/>
      <c r="B11" s="134">
        <v>42774</v>
      </c>
      <c r="C11" s="135" t="s">
        <v>140</v>
      </c>
      <c r="D11" s="135" t="s">
        <v>24</v>
      </c>
      <c r="E11" s="135">
        <v>29380</v>
      </c>
      <c r="F11" s="135">
        <v>29280</v>
      </c>
      <c r="G11" s="135">
        <v>100</v>
      </c>
      <c r="H11" s="135">
        <v>100</v>
      </c>
      <c r="I11" s="135">
        <v>10000</v>
      </c>
      <c r="J11" s="17"/>
      <c r="K11" s="71" t="s">
        <v>300</v>
      </c>
      <c r="L11" s="104" t="s">
        <v>738</v>
      </c>
      <c r="M11" s="104" t="s">
        <v>520</v>
      </c>
      <c r="N11" s="104" t="s">
        <v>291</v>
      </c>
      <c r="O11" s="172">
        <v>0</v>
      </c>
    </row>
    <row r="12" spans="1:15" x14ac:dyDescent="0.3">
      <c r="A12" s="17"/>
      <c r="B12" s="134">
        <v>42775</v>
      </c>
      <c r="C12" s="135" t="s">
        <v>140</v>
      </c>
      <c r="D12" s="135" t="s">
        <v>24</v>
      </c>
      <c r="E12" s="135">
        <v>29340</v>
      </c>
      <c r="F12" s="135">
        <v>29140</v>
      </c>
      <c r="G12" s="135">
        <v>200</v>
      </c>
      <c r="H12" s="135">
        <v>100</v>
      </c>
      <c r="I12" s="135">
        <v>20000</v>
      </c>
      <c r="J12" s="17"/>
    </row>
    <row r="13" spans="1:15" x14ac:dyDescent="0.3">
      <c r="A13" s="17"/>
      <c r="B13" s="134">
        <v>42776</v>
      </c>
      <c r="C13" s="135" t="s">
        <v>140</v>
      </c>
      <c r="D13" s="135" t="s">
        <v>24</v>
      </c>
      <c r="E13" s="135">
        <v>28980</v>
      </c>
      <c r="F13" s="135">
        <v>29080</v>
      </c>
      <c r="G13" s="135">
        <v>-100</v>
      </c>
      <c r="H13" s="135">
        <v>100</v>
      </c>
      <c r="I13" s="135">
        <v>-10000</v>
      </c>
      <c r="J13" s="17"/>
      <c r="K13" s="71"/>
    </row>
    <row r="14" spans="1:15" x14ac:dyDescent="0.3">
      <c r="A14" s="17"/>
      <c r="B14" s="134">
        <v>42779</v>
      </c>
      <c r="C14" s="135" t="s">
        <v>140</v>
      </c>
      <c r="D14" s="135" t="s">
        <v>24</v>
      </c>
      <c r="E14" s="135">
        <v>29260</v>
      </c>
      <c r="F14" s="135">
        <v>29060</v>
      </c>
      <c r="G14" s="135">
        <v>200</v>
      </c>
      <c r="H14" s="135">
        <v>100</v>
      </c>
      <c r="I14" s="135">
        <v>20000</v>
      </c>
      <c r="J14" s="17"/>
      <c r="K14" s="132"/>
      <c r="L14" s="127" t="s">
        <v>832</v>
      </c>
      <c r="M14" s="128"/>
      <c r="N14" s="133" t="s">
        <v>836</v>
      </c>
    </row>
    <row r="15" spans="1:15" x14ac:dyDescent="0.3">
      <c r="A15" s="17"/>
      <c r="B15" s="134">
        <v>42780</v>
      </c>
      <c r="C15" s="135" t="s">
        <v>140</v>
      </c>
      <c r="D15" s="135" t="s">
        <v>24</v>
      </c>
      <c r="E15" s="135">
        <v>29140</v>
      </c>
      <c r="F15" s="135">
        <v>29990</v>
      </c>
      <c r="G15" s="135">
        <v>150</v>
      </c>
      <c r="H15" s="135">
        <v>100</v>
      </c>
      <c r="I15" s="135">
        <v>15000</v>
      </c>
      <c r="J15" s="17"/>
      <c r="K15" s="71"/>
    </row>
    <row r="16" spans="1:15" x14ac:dyDescent="0.3">
      <c r="A16" s="17"/>
      <c r="B16" s="134">
        <v>42781</v>
      </c>
      <c r="C16" s="135" t="s">
        <v>140</v>
      </c>
      <c r="D16" s="135" t="s">
        <v>24</v>
      </c>
      <c r="E16" s="135">
        <v>29030</v>
      </c>
      <c r="F16" s="135">
        <v>28890</v>
      </c>
      <c r="G16" s="135">
        <v>140</v>
      </c>
      <c r="H16" s="135">
        <v>100</v>
      </c>
      <c r="I16" s="135">
        <v>14000</v>
      </c>
      <c r="J16" s="17"/>
      <c r="K16" s="71"/>
    </row>
    <row r="17" spans="1:11" x14ac:dyDescent="0.3">
      <c r="A17" s="17"/>
      <c r="B17" s="134">
        <v>42782</v>
      </c>
      <c r="C17" s="135" t="s">
        <v>140</v>
      </c>
      <c r="D17" s="135" t="s">
        <v>24</v>
      </c>
      <c r="E17" s="135">
        <v>29220</v>
      </c>
      <c r="F17" s="135">
        <v>29320</v>
      </c>
      <c r="G17" s="135">
        <v>-100</v>
      </c>
      <c r="H17" s="135">
        <v>100</v>
      </c>
      <c r="I17" s="135">
        <v>-10000</v>
      </c>
      <c r="J17" s="17"/>
      <c r="K17" s="71"/>
    </row>
    <row r="18" spans="1:11" x14ac:dyDescent="0.3">
      <c r="A18" s="17"/>
      <c r="B18" s="134">
        <v>42783</v>
      </c>
      <c r="C18" s="135" t="s">
        <v>140</v>
      </c>
      <c r="D18" s="135" t="s">
        <v>24</v>
      </c>
      <c r="E18" s="135">
        <v>29350</v>
      </c>
      <c r="F18" s="135">
        <v>29420</v>
      </c>
      <c r="G18" s="135">
        <v>-70</v>
      </c>
      <c r="H18" s="135">
        <v>100</v>
      </c>
      <c r="I18" s="135">
        <v>-7000</v>
      </c>
      <c r="J18" s="17"/>
      <c r="K18" s="71"/>
    </row>
    <row r="19" spans="1:11" x14ac:dyDescent="0.3">
      <c r="A19" s="17"/>
      <c r="B19" s="134">
        <v>42786</v>
      </c>
      <c r="C19" s="135" t="s">
        <v>140</v>
      </c>
      <c r="D19" s="135" t="s">
        <v>24</v>
      </c>
      <c r="E19" s="135">
        <v>29260</v>
      </c>
      <c r="F19" s="135">
        <v>29160</v>
      </c>
      <c r="G19" s="135">
        <v>100</v>
      </c>
      <c r="H19" s="135">
        <v>100</v>
      </c>
      <c r="I19" s="135">
        <v>10000</v>
      </c>
      <c r="J19" s="17"/>
      <c r="K19" s="71"/>
    </row>
    <row r="20" spans="1:11" x14ac:dyDescent="0.3">
      <c r="A20" s="17"/>
      <c r="B20" s="134">
        <v>42787</v>
      </c>
      <c r="C20" s="135" t="s">
        <v>140</v>
      </c>
      <c r="D20" s="135" t="s">
        <v>24</v>
      </c>
      <c r="E20" s="135">
        <v>29220</v>
      </c>
      <c r="F20" s="135">
        <v>29080</v>
      </c>
      <c r="G20" s="135">
        <v>140</v>
      </c>
      <c r="H20" s="135">
        <v>100</v>
      </c>
      <c r="I20" s="135">
        <v>14000</v>
      </c>
      <c r="J20" s="17"/>
      <c r="K20" s="71"/>
    </row>
    <row r="21" spans="1:11" x14ac:dyDescent="0.3">
      <c r="A21" s="17"/>
      <c r="B21" s="134">
        <v>42788</v>
      </c>
      <c r="C21" s="135" t="s">
        <v>140</v>
      </c>
      <c r="D21" s="135" t="s">
        <v>24</v>
      </c>
      <c r="E21" s="135">
        <v>29250</v>
      </c>
      <c r="F21" s="135">
        <v>29180</v>
      </c>
      <c r="G21" s="135">
        <v>70</v>
      </c>
      <c r="H21" s="135">
        <v>100</v>
      </c>
      <c r="I21" s="135">
        <v>7000</v>
      </c>
      <c r="J21" s="17"/>
      <c r="K21" s="71"/>
    </row>
    <row r="22" spans="1:11" x14ac:dyDescent="0.3">
      <c r="A22" s="17"/>
      <c r="B22" s="134">
        <v>42789</v>
      </c>
      <c r="C22" s="135" t="s">
        <v>140</v>
      </c>
      <c r="D22" s="135" t="s">
        <v>24</v>
      </c>
      <c r="E22" s="135">
        <v>29270</v>
      </c>
      <c r="F22" s="135">
        <v>29370</v>
      </c>
      <c r="G22" s="135">
        <v>-100</v>
      </c>
      <c r="H22" s="135">
        <v>100</v>
      </c>
      <c r="I22" s="135">
        <v>-10000</v>
      </c>
      <c r="J22" s="17"/>
      <c r="K22" s="71"/>
    </row>
    <row r="23" spans="1:11" x14ac:dyDescent="0.3">
      <c r="A23" s="17"/>
      <c r="B23" s="134">
        <v>42793</v>
      </c>
      <c r="C23" s="135" t="s">
        <v>140</v>
      </c>
      <c r="D23" s="135" t="s">
        <v>24</v>
      </c>
      <c r="E23" s="135">
        <v>29600</v>
      </c>
      <c r="F23" s="135">
        <v>29700</v>
      </c>
      <c r="G23" s="135">
        <v>-100</v>
      </c>
      <c r="H23" s="135">
        <v>100</v>
      </c>
      <c r="I23" s="135">
        <v>-10000</v>
      </c>
      <c r="J23" s="17"/>
      <c r="K23" s="71"/>
    </row>
    <row r="24" spans="1:11" x14ac:dyDescent="0.3">
      <c r="A24" s="17"/>
      <c r="B24" s="134">
        <v>42794</v>
      </c>
      <c r="C24" s="135" t="s">
        <v>140</v>
      </c>
      <c r="D24" s="135" t="s">
        <v>24</v>
      </c>
      <c r="E24" s="135">
        <v>29540</v>
      </c>
      <c r="F24" s="135">
        <v>29440</v>
      </c>
      <c r="G24" s="135">
        <v>100</v>
      </c>
      <c r="H24" s="135">
        <v>100</v>
      </c>
      <c r="I24" s="135">
        <v>10000</v>
      </c>
      <c r="J24" s="17"/>
      <c r="K24" s="71"/>
    </row>
    <row r="25" spans="1:11" x14ac:dyDescent="0.3">
      <c r="A25" s="17"/>
      <c r="C25" s="135"/>
      <c r="D25" s="135"/>
      <c r="E25" s="135"/>
      <c r="F25" s="135"/>
      <c r="G25" s="135"/>
      <c r="H25" s="135"/>
      <c r="I25" s="135"/>
      <c r="J25" s="17"/>
      <c r="K25" s="71"/>
    </row>
    <row r="26" spans="1:11" ht="17.399999999999999" x14ac:dyDescent="0.3">
      <c r="A26" s="17"/>
      <c r="C26" s="157"/>
      <c r="D26" s="156"/>
      <c r="E26" s="158"/>
      <c r="F26" s="157"/>
      <c r="G26" s="157"/>
      <c r="H26" s="157"/>
      <c r="I26" s="106">
        <v>63000</v>
      </c>
      <c r="J26" s="17"/>
    </row>
    <row r="27" spans="1:11" x14ac:dyDescent="0.3">
      <c r="A27" s="17"/>
      <c r="C27" s="157"/>
      <c r="D27" s="158"/>
      <c r="E27" s="158"/>
      <c r="F27" s="157"/>
      <c r="G27" s="157"/>
      <c r="H27" s="157"/>
      <c r="I27" s="157"/>
      <c r="J27" s="17"/>
    </row>
    <row r="28" spans="1:11" x14ac:dyDescent="0.3">
      <c r="A28" s="17"/>
      <c r="B28" s="164" t="s">
        <v>789</v>
      </c>
      <c r="C28" s="159"/>
      <c r="D28" s="160"/>
      <c r="E28" s="159"/>
      <c r="F28" s="159"/>
      <c r="G28" s="159"/>
      <c r="H28" s="159"/>
      <c r="I28" s="159"/>
      <c r="J28" s="17"/>
    </row>
    <row r="29" spans="1:11" x14ac:dyDescent="0.3">
      <c r="A29" s="17"/>
      <c r="B29" s="134">
        <v>42767</v>
      </c>
      <c r="C29" s="135" t="s">
        <v>23</v>
      </c>
      <c r="D29" s="135" t="s">
        <v>25</v>
      </c>
      <c r="E29" s="135">
        <v>3580</v>
      </c>
      <c r="F29" s="135">
        <v>3620</v>
      </c>
      <c r="G29" s="135">
        <v>-40</v>
      </c>
      <c r="H29" s="135">
        <v>100</v>
      </c>
      <c r="I29" s="135">
        <v>-4000</v>
      </c>
      <c r="J29" s="17"/>
    </row>
    <row r="30" spans="1:11" x14ac:dyDescent="0.3">
      <c r="A30" s="17"/>
      <c r="B30" s="134">
        <v>42768</v>
      </c>
      <c r="C30" s="135" t="s">
        <v>16</v>
      </c>
      <c r="D30" s="135" t="s">
        <v>25</v>
      </c>
      <c r="E30" s="135">
        <v>3625</v>
      </c>
      <c r="F30" s="135">
        <v>3662</v>
      </c>
      <c r="G30" s="135">
        <v>37</v>
      </c>
      <c r="H30" s="135">
        <v>100</v>
      </c>
      <c r="I30" s="135">
        <v>3700</v>
      </c>
      <c r="J30" s="17"/>
    </row>
    <row r="31" spans="1:11" x14ac:dyDescent="0.3">
      <c r="A31" s="17"/>
      <c r="B31" s="134">
        <v>42768</v>
      </c>
      <c r="C31" s="135" t="s">
        <v>23</v>
      </c>
      <c r="D31" s="135" t="s">
        <v>848</v>
      </c>
      <c r="E31" s="135">
        <v>213</v>
      </c>
      <c r="F31" s="135">
        <v>212</v>
      </c>
      <c r="G31" s="135">
        <v>1</v>
      </c>
      <c r="H31" s="135">
        <v>1250</v>
      </c>
      <c r="I31" s="135">
        <v>1250</v>
      </c>
      <c r="J31" s="17"/>
    </row>
    <row r="32" spans="1:11" x14ac:dyDescent="0.3">
      <c r="A32" s="17"/>
      <c r="B32" s="134">
        <v>42769</v>
      </c>
      <c r="C32" s="135" t="s">
        <v>23</v>
      </c>
      <c r="D32" s="135" t="s">
        <v>25</v>
      </c>
      <c r="E32" s="135">
        <v>3645</v>
      </c>
      <c r="F32" s="135">
        <v>3600</v>
      </c>
      <c r="G32" s="135">
        <v>45</v>
      </c>
      <c r="H32" s="135">
        <v>100</v>
      </c>
      <c r="I32" s="135">
        <v>4500</v>
      </c>
      <c r="J32" s="17"/>
    </row>
    <row r="33" spans="1:10" x14ac:dyDescent="0.3">
      <c r="A33" s="17"/>
      <c r="B33" s="134">
        <v>42772</v>
      </c>
      <c r="C33" s="135" t="s">
        <v>23</v>
      </c>
      <c r="D33" s="135" t="s">
        <v>25</v>
      </c>
      <c r="E33" s="135">
        <v>3630</v>
      </c>
      <c r="F33" s="135">
        <v>3590</v>
      </c>
      <c r="G33" s="135">
        <v>40</v>
      </c>
      <c r="H33" s="135">
        <v>100</v>
      </c>
      <c r="I33" s="135">
        <v>4000</v>
      </c>
      <c r="J33" s="17"/>
    </row>
    <row r="34" spans="1:10" x14ac:dyDescent="0.3">
      <c r="A34" s="17"/>
      <c r="B34" s="134">
        <v>42773</v>
      </c>
      <c r="C34" s="135" t="s">
        <v>23</v>
      </c>
      <c r="D34" s="135" t="s">
        <v>25</v>
      </c>
      <c r="E34" s="135">
        <v>3570</v>
      </c>
      <c r="F34" s="135">
        <v>3500</v>
      </c>
      <c r="G34" s="135">
        <v>70</v>
      </c>
      <c r="H34" s="135">
        <v>100</v>
      </c>
      <c r="I34" s="135">
        <v>7000</v>
      </c>
      <c r="J34" s="17"/>
    </row>
    <row r="35" spans="1:10" x14ac:dyDescent="0.3">
      <c r="A35" s="17"/>
      <c r="B35" s="134">
        <v>42774</v>
      </c>
      <c r="C35" s="135" t="s">
        <v>23</v>
      </c>
      <c r="D35" s="135" t="s">
        <v>25</v>
      </c>
      <c r="E35" s="135">
        <v>3485</v>
      </c>
      <c r="F35" s="135">
        <v>3460</v>
      </c>
      <c r="G35" s="135">
        <v>25</v>
      </c>
      <c r="H35" s="135">
        <v>100</v>
      </c>
      <c r="I35" s="135">
        <v>2500</v>
      </c>
      <c r="J35" s="17"/>
    </row>
    <row r="36" spans="1:10" x14ac:dyDescent="0.3">
      <c r="A36" s="17"/>
      <c r="B36" s="134">
        <v>42774</v>
      </c>
      <c r="C36" s="135" t="s">
        <v>23</v>
      </c>
      <c r="D36" s="135" t="s">
        <v>26</v>
      </c>
      <c r="E36" s="135">
        <v>208.5</v>
      </c>
      <c r="F36" s="135">
        <v>206.3</v>
      </c>
      <c r="G36" s="135">
        <v>2.2000000000000002</v>
      </c>
      <c r="H36" s="135">
        <v>1250</v>
      </c>
      <c r="I36" s="135">
        <v>2750</v>
      </c>
      <c r="J36" s="17"/>
    </row>
    <row r="37" spans="1:10" x14ac:dyDescent="0.3">
      <c r="A37" s="17"/>
      <c r="B37" s="134">
        <v>42775</v>
      </c>
      <c r="C37" s="135" t="s">
        <v>23</v>
      </c>
      <c r="D37" s="135" t="s">
        <v>25</v>
      </c>
      <c r="E37" s="135">
        <v>3540</v>
      </c>
      <c r="F37" s="135">
        <v>3523</v>
      </c>
      <c r="G37" s="135">
        <v>17</v>
      </c>
      <c r="H37" s="135">
        <v>100</v>
      </c>
      <c r="I37" s="135">
        <v>1700</v>
      </c>
      <c r="J37" s="17"/>
    </row>
    <row r="38" spans="1:10" x14ac:dyDescent="0.3">
      <c r="A38" s="17"/>
      <c r="B38" s="134">
        <v>42776</v>
      </c>
      <c r="C38" s="135" t="s">
        <v>23</v>
      </c>
      <c r="D38" s="135" t="s">
        <v>25</v>
      </c>
      <c r="E38" s="135">
        <v>3560</v>
      </c>
      <c r="F38" s="135">
        <v>3595</v>
      </c>
      <c r="G38" s="135">
        <v>-35</v>
      </c>
      <c r="H38" s="135">
        <v>100</v>
      </c>
      <c r="I38" s="135">
        <v>-3500</v>
      </c>
      <c r="J38" s="17"/>
    </row>
    <row r="39" spans="1:10" x14ac:dyDescent="0.3">
      <c r="A39" s="17"/>
      <c r="B39" s="134">
        <v>42776</v>
      </c>
      <c r="C39" s="135" t="s">
        <v>23</v>
      </c>
      <c r="D39" s="135" t="s">
        <v>26</v>
      </c>
      <c r="E39" s="135">
        <v>203</v>
      </c>
      <c r="F39" s="135">
        <v>201.5</v>
      </c>
      <c r="G39" s="135">
        <v>1.5</v>
      </c>
      <c r="H39" s="135">
        <v>1250</v>
      </c>
      <c r="I39" s="135">
        <v>1875</v>
      </c>
      <c r="J39" s="17"/>
    </row>
    <row r="40" spans="1:10" x14ac:dyDescent="0.3">
      <c r="A40" s="17"/>
      <c r="B40" s="134">
        <v>42779</v>
      </c>
      <c r="C40" s="135" t="s">
        <v>23</v>
      </c>
      <c r="D40" s="135" t="s">
        <v>25</v>
      </c>
      <c r="E40" s="135">
        <v>3595</v>
      </c>
      <c r="F40" s="135">
        <v>3540</v>
      </c>
      <c r="G40" s="135">
        <v>55</v>
      </c>
      <c r="H40" s="135">
        <v>100</v>
      </c>
      <c r="I40" s="135">
        <v>5500</v>
      </c>
      <c r="J40" s="17"/>
    </row>
    <row r="41" spans="1:10" x14ac:dyDescent="0.3">
      <c r="A41" s="17"/>
      <c r="B41" s="134">
        <v>42780</v>
      </c>
      <c r="C41" s="135" t="s">
        <v>23</v>
      </c>
      <c r="D41" s="135" t="s">
        <v>25</v>
      </c>
      <c r="E41" s="135">
        <v>3575</v>
      </c>
      <c r="F41" s="135">
        <v>3555</v>
      </c>
      <c r="G41" s="135">
        <v>20</v>
      </c>
      <c r="H41" s="135">
        <v>100</v>
      </c>
      <c r="I41" s="135">
        <v>2000</v>
      </c>
      <c r="J41" s="17"/>
    </row>
    <row r="42" spans="1:10" x14ac:dyDescent="0.3">
      <c r="A42" s="17"/>
      <c r="B42" s="134">
        <v>42781</v>
      </c>
      <c r="C42" s="135" t="s">
        <v>23</v>
      </c>
      <c r="D42" s="135" t="s">
        <v>25</v>
      </c>
      <c r="E42" s="135">
        <v>3545</v>
      </c>
      <c r="F42" s="135">
        <v>3540</v>
      </c>
      <c r="G42" s="135">
        <v>5</v>
      </c>
      <c r="H42" s="135">
        <v>100</v>
      </c>
      <c r="I42" s="135">
        <v>500</v>
      </c>
      <c r="J42" s="17"/>
    </row>
    <row r="43" spans="1:10" x14ac:dyDescent="0.3">
      <c r="A43" s="17"/>
      <c r="B43" s="134">
        <v>42782</v>
      </c>
      <c r="C43" s="135" t="s">
        <v>23</v>
      </c>
      <c r="D43" s="135" t="s">
        <v>25</v>
      </c>
      <c r="E43" s="135">
        <v>3560</v>
      </c>
      <c r="F43" s="135">
        <v>3540</v>
      </c>
      <c r="G43" s="135">
        <v>20</v>
      </c>
      <c r="H43" s="135">
        <v>100</v>
      </c>
      <c r="I43" s="135">
        <v>2000</v>
      </c>
      <c r="J43" s="17"/>
    </row>
    <row r="44" spans="1:10" x14ac:dyDescent="0.3">
      <c r="A44" s="17"/>
      <c r="B44" s="134">
        <v>42783</v>
      </c>
      <c r="C44" s="135" t="s">
        <v>23</v>
      </c>
      <c r="D44" s="135" t="s">
        <v>25</v>
      </c>
      <c r="E44" s="135">
        <v>3580</v>
      </c>
      <c r="F44" s="135">
        <v>3552</v>
      </c>
      <c r="G44" s="135">
        <v>28</v>
      </c>
      <c r="H44" s="135">
        <v>100</v>
      </c>
      <c r="I44" s="135">
        <v>2800</v>
      </c>
      <c r="J44" s="17"/>
    </row>
    <row r="45" spans="1:10" x14ac:dyDescent="0.3">
      <c r="A45" s="17"/>
      <c r="B45" s="134">
        <v>42786</v>
      </c>
      <c r="C45" s="135" t="s">
        <v>23</v>
      </c>
      <c r="D45" s="135" t="s">
        <v>25</v>
      </c>
      <c r="E45" s="135">
        <v>3630</v>
      </c>
      <c r="F45" s="135">
        <v>3620</v>
      </c>
      <c r="G45" s="135">
        <v>10</v>
      </c>
      <c r="H45" s="135">
        <v>100</v>
      </c>
      <c r="I45" s="135">
        <v>1000</v>
      </c>
      <c r="J45" s="17"/>
    </row>
    <row r="46" spans="1:10" x14ac:dyDescent="0.3">
      <c r="A46" s="17"/>
      <c r="B46" s="134">
        <v>42787</v>
      </c>
      <c r="C46" s="135" t="s">
        <v>23</v>
      </c>
      <c r="D46" s="135" t="s">
        <v>25</v>
      </c>
      <c r="E46" s="135">
        <v>3675</v>
      </c>
      <c r="F46" s="135">
        <v>3648</v>
      </c>
      <c r="G46" s="135">
        <v>27</v>
      </c>
      <c r="H46" s="135">
        <v>100</v>
      </c>
      <c r="I46" s="135">
        <v>2700</v>
      </c>
      <c r="J46" s="17"/>
    </row>
    <row r="47" spans="1:10" x14ac:dyDescent="0.3">
      <c r="A47" s="17"/>
      <c r="B47" s="134">
        <v>42788</v>
      </c>
      <c r="C47" s="135" t="s">
        <v>23</v>
      </c>
      <c r="D47" s="135" t="s">
        <v>25</v>
      </c>
      <c r="E47" s="135">
        <v>3635</v>
      </c>
      <c r="F47" s="135">
        <v>3590</v>
      </c>
      <c r="G47" s="135">
        <v>45</v>
      </c>
      <c r="H47" s="135">
        <v>100</v>
      </c>
      <c r="I47" s="135">
        <v>4500</v>
      </c>
      <c r="J47" s="17"/>
    </row>
    <row r="48" spans="1:10" x14ac:dyDescent="0.3">
      <c r="A48" s="17"/>
      <c r="B48" s="134">
        <v>42789</v>
      </c>
      <c r="C48" s="135" t="s">
        <v>23</v>
      </c>
      <c r="D48" s="135" t="s">
        <v>25</v>
      </c>
      <c r="E48" s="135">
        <v>3645</v>
      </c>
      <c r="F48" s="135">
        <v>3665</v>
      </c>
      <c r="G48" s="135">
        <v>-20</v>
      </c>
      <c r="H48" s="135">
        <v>100</v>
      </c>
      <c r="I48" s="135">
        <v>-2000</v>
      </c>
      <c r="J48" s="17"/>
    </row>
    <row r="49" spans="1:10" x14ac:dyDescent="0.3">
      <c r="A49" s="17"/>
      <c r="B49" s="134">
        <v>42789</v>
      </c>
      <c r="C49" s="135" t="s">
        <v>16</v>
      </c>
      <c r="D49" s="135" t="s">
        <v>26</v>
      </c>
      <c r="E49" s="135">
        <v>178.5</v>
      </c>
      <c r="F49" s="135">
        <v>180.5</v>
      </c>
      <c r="G49" s="135">
        <v>2</v>
      </c>
      <c r="H49" s="135">
        <v>1250</v>
      </c>
      <c r="I49" s="135">
        <v>2500</v>
      </c>
      <c r="J49" s="17"/>
    </row>
    <row r="50" spans="1:10" x14ac:dyDescent="0.3">
      <c r="A50" s="17"/>
      <c r="B50" s="134">
        <v>42793</v>
      </c>
      <c r="C50" s="135" t="s">
        <v>23</v>
      </c>
      <c r="D50" s="135" t="s">
        <v>25</v>
      </c>
      <c r="E50" s="135">
        <v>3650</v>
      </c>
      <c r="F50" s="135">
        <v>3620</v>
      </c>
      <c r="G50" s="135">
        <v>30</v>
      </c>
      <c r="H50" s="135">
        <v>100</v>
      </c>
      <c r="I50" s="135">
        <v>3000</v>
      </c>
      <c r="J50" s="17"/>
    </row>
    <row r="51" spans="1:10" x14ac:dyDescent="0.3">
      <c r="A51" s="17"/>
      <c r="B51" s="134">
        <v>42793</v>
      </c>
      <c r="C51" s="135" t="s">
        <v>23</v>
      </c>
      <c r="D51" s="135" t="s">
        <v>26</v>
      </c>
      <c r="E51" s="135">
        <v>180</v>
      </c>
      <c r="F51" s="135">
        <v>178.3</v>
      </c>
      <c r="G51" s="135">
        <v>1.7</v>
      </c>
      <c r="H51" s="135">
        <v>1250</v>
      </c>
      <c r="I51" s="135">
        <v>2125</v>
      </c>
      <c r="J51" s="17"/>
    </row>
    <row r="52" spans="1:10" x14ac:dyDescent="0.3">
      <c r="A52" s="17"/>
      <c r="B52" s="134">
        <v>42794</v>
      </c>
      <c r="C52" s="135" t="s">
        <v>23</v>
      </c>
      <c r="D52" s="135" t="s">
        <v>25</v>
      </c>
      <c r="E52" s="135">
        <v>3618</v>
      </c>
      <c r="F52" s="135">
        <v>3565</v>
      </c>
      <c r="G52" s="135">
        <v>53</v>
      </c>
      <c r="H52" s="135">
        <v>100</v>
      </c>
      <c r="I52" s="135">
        <v>5300</v>
      </c>
      <c r="J52" s="17"/>
    </row>
    <row r="53" spans="1:10" x14ac:dyDescent="0.3">
      <c r="A53" s="17"/>
      <c r="B53" s="134">
        <v>42794</v>
      </c>
      <c r="C53" s="135" t="s">
        <v>23</v>
      </c>
      <c r="D53" s="135" t="s">
        <v>26</v>
      </c>
      <c r="E53" s="135">
        <v>179</v>
      </c>
      <c r="F53" s="135">
        <v>178</v>
      </c>
      <c r="G53" s="135">
        <v>1</v>
      </c>
      <c r="H53" s="135">
        <v>1250</v>
      </c>
      <c r="I53" s="135">
        <v>1250</v>
      </c>
      <c r="J53" s="17"/>
    </row>
    <row r="54" spans="1:10" x14ac:dyDescent="0.3">
      <c r="A54" s="17"/>
      <c r="C54" s="135"/>
      <c r="D54" s="135"/>
      <c r="E54" s="135"/>
      <c r="F54" s="135"/>
      <c r="G54" s="135"/>
      <c r="H54" s="135"/>
      <c r="I54" s="135"/>
      <c r="J54" s="17"/>
    </row>
    <row r="55" spans="1:10" ht="18" x14ac:dyDescent="0.35">
      <c r="A55" s="142"/>
      <c r="B55" s="134"/>
      <c r="C55" s="137"/>
      <c r="D55" s="167"/>
      <c r="E55" s="137"/>
      <c r="F55" s="137"/>
      <c r="G55" s="137"/>
      <c r="H55" s="168"/>
      <c r="I55" s="106">
        <v>54950</v>
      </c>
      <c r="J55" s="17"/>
    </row>
    <row r="56" spans="1:10" x14ac:dyDescent="0.3">
      <c r="A56" s="17"/>
      <c r="B56" s="71"/>
      <c r="C56" s="157"/>
      <c r="D56" s="158"/>
      <c r="E56" s="157"/>
      <c r="F56" s="157"/>
      <c r="G56" s="157"/>
      <c r="H56" s="157"/>
      <c r="I56" s="157"/>
      <c r="J56" s="17"/>
    </row>
    <row r="57" spans="1:10" x14ac:dyDescent="0.3">
      <c r="A57" s="17"/>
      <c r="B57" s="164" t="s">
        <v>788</v>
      </c>
      <c r="C57" s="159"/>
      <c r="D57" s="160"/>
      <c r="E57" s="159"/>
      <c r="F57" s="159"/>
      <c r="G57" s="159"/>
      <c r="H57" s="159"/>
      <c r="I57" s="64"/>
      <c r="J57" s="17"/>
    </row>
    <row r="58" spans="1:10" x14ac:dyDescent="0.3">
      <c r="A58" s="17"/>
      <c r="B58" s="134">
        <v>42767</v>
      </c>
      <c r="C58" s="135" t="s">
        <v>23</v>
      </c>
      <c r="D58" s="135" t="s">
        <v>56</v>
      </c>
      <c r="E58" s="135">
        <v>122.4</v>
      </c>
      <c r="F58" s="135">
        <v>121.7</v>
      </c>
      <c r="G58" s="135">
        <v>0.7</v>
      </c>
      <c r="H58" s="135">
        <v>5000</v>
      </c>
      <c r="I58" s="135">
        <v>3500</v>
      </c>
      <c r="J58" s="17"/>
    </row>
    <row r="59" spans="1:10" x14ac:dyDescent="0.3">
      <c r="A59" s="17"/>
      <c r="B59" s="134">
        <v>42768</v>
      </c>
      <c r="C59" s="135" t="s">
        <v>16</v>
      </c>
      <c r="D59" s="135" t="s">
        <v>28</v>
      </c>
      <c r="E59" s="135">
        <v>193.4</v>
      </c>
      <c r="F59" s="135">
        <v>193.8</v>
      </c>
      <c r="G59" s="135">
        <v>0.4</v>
      </c>
      <c r="H59" s="135">
        <v>5000</v>
      </c>
      <c r="I59" s="135">
        <v>2000</v>
      </c>
      <c r="J59" s="17"/>
    </row>
    <row r="60" spans="1:10" x14ac:dyDescent="0.3">
      <c r="A60" s="17"/>
      <c r="B60" s="134">
        <v>42769</v>
      </c>
      <c r="C60" s="135" t="s">
        <v>23</v>
      </c>
      <c r="D60" s="135" t="s">
        <v>28</v>
      </c>
      <c r="E60" s="135">
        <v>187.7</v>
      </c>
      <c r="F60" s="135">
        <v>186</v>
      </c>
      <c r="G60" s="135">
        <v>1.7</v>
      </c>
      <c r="H60" s="135">
        <v>5000</v>
      </c>
      <c r="I60" s="135">
        <v>8500</v>
      </c>
      <c r="J60" s="131"/>
    </row>
    <row r="61" spans="1:10" x14ac:dyDescent="0.3">
      <c r="A61" s="131"/>
      <c r="B61" s="134">
        <v>42772</v>
      </c>
      <c r="C61" s="135" t="s">
        <v>23</v>
      </c>
      <c r="D61" s="135" t="s">
        <v>56</v>
      </c>
      <c r="E61" s="135">
        <v>122.2</v>
      </c>
      <c r="F61" s="135">
        <v>123.2</v>
      </c>
      <c r="G61" s="135">
        <v>-1</v>
      </c>
      <c r="H61" s="135">
        <v>5000</v>
      </c>
      <c r="I61" s="135">
        <v>-5000</v>
      </c>
      <c r="J61" s="131"/>
    </row>
    <row r="62" spans="1:10" x14ac:dyDescent="0.3">
      <c r="A62" s="131"/>
      <c r="B62" s="134">
        <v>42773</v>
      </c>
      <c r="C62" s="135" t="s">
        <v>23</v>
      </c>
      <c r="D62" s="135" t="s">
        <v>56</v>
      </c>
      <c r="E62" s="135">
        <v>122.6</v>
      </c>
      <c r="F62" s="135">
        <v>122.8</v>
      </c>
      <c r="G62" s="135">
        <v>-0.2</v>
      </c>
      <c r="H62" s="135">
        <v>5000</v>
      </c>
      <c r="I62" s="135">
        <v>-1000</v>
      </c>
      <c r="J62" s="131"/>
    </row>
    <row r="63" spans="1:10" x14ac:dyDescent="0.3">
      <c r="A63" s="131"/>
      <c r="B63" s="134">
        <v>42774</v>
      </c>
      <c r="C63" s="135" t="s">
        <v>23</v>
      </c>
      <c r="D63" s="135" t="s">
        <v>29</v>
      </c>
      <c r="E63" s="135">
        <v>396</v>
      </c>
      <c r="F63" s="135">
        <v>394.3</v>
      </c>
      <c r="G63" s="135">
        <v>1.7</v>
      </c>
      <c r="H63" s="135">
        <v>1000</v>
      </c>
      <c r="I63" s="135">
        <v>1700</v>
      </c>
      <c r="J63" s="131"/>
    </row>
    <row r="64" spans="1:10" x14ac:dyDescent="0.3">
      <c r="A64" s="131"/>
      <c r="B64" s="134">
        <v>42775</v>
      </c>
      <c r="C64" s="135" t="s">
        <v>16</v>
      </c>
      <c r="D64" s="135" t="s">
        <v>28</v>
      </c>
      <c r="E64" s="135">
        <v>190.5</v>
      </c>
      <c r="F64" s="135">
        <v>191.5</v>
      </c>
      <c r="G64" s="135">
        <v>1</v>
      </c>
      <c r="H64" s="135">
        <v>5000</v>
      </c>
      <c r="I64" s="135">
        <v>5000</v>
      </c>
      <c r="J64" s="131"/>
    </row>
    <row r="65" spans="1:10" x14ac:dyDescent="0.3">
      <c r="A65" s="131"/>
      <c r="B65" s="134">
        <v>42776</v>
      </c>
      <c r="C65" s="135" t="s">
        <v>16</v>
      </c>
      <c r="D65" s="135" t="s">
        <v>28</v>
      </c>
      <c r="E65" s="135">
        <v>192.3</v>
      </c>
      <c r="F65" s="135">
        <v>194.3</v>
      </c>
      <c r="G65" s="135">
        <v>2</v>
      </c>
      <c r="H65" s="135">
        <v>5000</v>
      </c>
      <c r="I65" s="135">
        <v>10000</v>
      </c>
      <c r="J65" s="131"/>
    </row>
    <row r="66" spans="1:10" x14ac:dyDescent="0.3">
      <c r="A66" s="131"/>
      <c r="B66" s="134">
        <v>42779</v>
      </c>
      <c r="C66" s="135" t="s">
        <v>23</v>
      </c>
      <c r="D66" s="135" t="s">
        <v>29</v>
      </c>
      <c r="E66" s="135">
        <v>412</v>
      </c>
      <c r="F66" s="135">
        <v>410</v>
      </c>
      <c r="G66" s="135">
        <v>2</v>
      </c>
      <c r="H66" s="135">
        <v>1000</v>
      </c>
      <c r="I66" s="135">
        <v>2000</v>
      </c>
      <c r="J66" s="131"/>
    </row>
    <row r="67" spans="1:10" x14ac:dyDescent="0.3">
      <c r="A67" s="131"/>
      <c r="B67" s="134">
        <v>42780</v>
      </c>
      <c r="C67" s="135" t="s">
        <v>16</v>
      </c>
      <c r="D67" s="135" t="s">
        <v>28</v>
      </c>
      <c r="E67" s="135">
        <v>197.6</v>
      </c>
      <c r="F67" s="135">
        <v>196.6</v>
      </c>
      <c r="G67" s="135">
        <v>-1</v>
      </c>
      <c r="H67" s="135">
        <v>5000</v>
      </c>
      <c r="I67" s="135">
        <v>-5000</v>
      </c>
      <c r="J67" s="131"/>
    </row>
    <row r="68" spans="1:10" x14ac:dyDescent="0.3">
      <c r="A68" s="131"/>
      <c r="B68" s="134">
        <v>42781</v>
      </c>
      <c r="C68" s="135" t="s">
        <v>23</v>
      </c>
      <c r="D68" s="135" t="s">
        <v>28</v>
      </c>
      <c r="E68" s="135">
        <v>193.5</v>
      </c>
      <c r="F68" s="135">
        <v>191.5</v>
      </c>
      <c r="G68" s="135">
        <v>2</v>
      </c>
      <c r="H68" s="135">
        <v>5000</v>
      </c>
      <c r="I68" s="135">
        <v>10000</v>
      </c>
      <c r="J68" s="131"/>
    </row>
    <row r="69" spans="1:10" x14ac:dyDescent="0.3">
      <c r="A69" s="131"/>
      <c r="B69" s="134">
        <v>42782</v>
      </c>
      <c r="C69" s="135" t="s">
        <v>23</v>
      </c>
      <c r="D69" s="135" t="s">
        <v>28</v>
      </c>
      <c r="E69" s="135">
        <v>192.2</v>
      </c>
      <c r="F69" s="135">
        <v>189.8</v>
      </c>
      <c r="G69" s="135">
        <v>1.4</v>
      </c>
      <c r="H69" s="135">
        <v>5000</v>
      </c>
      <c r="I69" s="135">
        <v>7000</v>
      </c>
      <c r="J69" s="131"/>
    </row>
    <row r="70" spans="1:10" x14ac:dyDescent="0.3">
      <c r="A70" s="131"/>
      <c r="B70" s="134">
        <v>42783</v>
      </c>
      <c r="C70" s="135" t="s">
        <v>23</v>
      </c>
      <c r="D70" s="135" t="s">
        <v>28</v>
      </c>
      <c r="E70" s="135">
        <v>190.6</v>
      </c>
      <c r="F70" s="135">
        <v>188.6</v>
      </c>
      <c r="G70" s="135">
        <v>2</v>
      </c>
      <c r="H70" s="135">
        <v>5000</v>
      </c>
      <c r="I70" s="135">
        <v>10000</v>
      </c>
      <c r="J70" s="131"/>
    </row>
    <row r="71" spans="1:10" x14ac:dyDescent="0.3">
      <c r="A71" s="131"/>
      <c r="B71" s="134">
        <v>42786</v>
      </c>
      <c r="C71" s="135" t="s">
        <v>16</v>
      </c>
      <c r="D71" s="135" t="s">
        <v>28</v>
      </c>
      <c r="E71" s="135">
        <v>188.2</v>
      </c>
      <c r="F71" s="135">
        <v>190.2</v>
      </c>
      <c r="G71" s="135">
        <v>2</v>
      </c>
      <c r="H71" s="135">
        <v>5000</v>
      </c>
      <c r="I71" s="135">
        <v>10000</v>
      </c>
      <c r="J71" s="131"/>
    </row>
    <row r="72" spans="1:10" x14ac:dyDescent="0.3">
      <c r="A72" s="131"/>
      <c r="B72" s="134">
        <v>42787</v>
      </c>
      <c r="C72" s="135" t="s">
        <v>16</v>
      </c>
      <c r="D72" s="135" t="s">
        <v>28</v>
      </c>
      <c r="E72" s="135">
        <v>192.4</v>
      </c>
      <c r="F72" s="135">
        <v>194</v>
      </c>
      <c r="G72" s="135">
        <v>1.6</v>
      </c>
      <c r="H72" s="135">
        <v>5000</v>
      </c>
      <c r="I72" s="135">
        <v>8000</v>
      </c>
      <c r="J72" s="131"/>
    </row>
    <row r="73" spans="1:10" x14ac:dyDescent="0.3">
      <c r="A73" s="131"/>
      <c r="B73" s="134">
        <v>42788</v>
      </c>
      <c r="C73" s="135" t="s">
        <v>16</v>
      </c>
      <c r="D73" s="135" t="s">
        <v>28</v>
      </c>
      <c r="E73" s="135">
        <v>190.3</v>
      </c>
      <c r="F73" s="135">
        <v>192.3</v>
      </c>
      <c r="G73" s="135">
        <v>2</v>
      </c>
      <c r="H73" s="135">
        <v>5000</v>
      </c>
      <c r="I73" s="135">
        <v>10000</v>
      </c>
      <c r="J73" s="131"/>
    </row>
    <row r="74" spans="1:10" x14ac:dyDescent="0.3">
      <c r="A74" s="131"/>
      <c r="B74" s="134">
        <v>42789</v>
      </c>
      <c r="C74" s="135" t="s">
        <v>16</v>
      </c>
      <c r="D74" s="135" t="s">
        <v>28</v>
      </c>
      <c r="E74" s="135">
        <v>189.2</v>
      </c>
      <c r="F74" s="135">
        <v>189.7</v>
      </c>
      <c r="G74" s="135">
        <v>0.5</v>
      </c>
      <c r="H74" s="135">
        <v>5000</v>
      </c>
      <c r="I74" s="135">
        <v>2500</v>
      </c>
      <c r="J74" s="131"/>
    </row>
    <row r="75" spans="1:10" x14ac:dyDescent="0.3">
      <c r="A75" s="131"/>
      <c r="B75" s="134">
        <v>42793</v>
      </c>
      <c r="C75" s="135" t="s">
        <v>16</v>
      </c>
      <c r="D75" s="135" t="s">
        <v>28</v>
      </c>
      <c r="E75" s="135">
        <v>187.2</v>
      </c>
      <c r="F75" s="135">
        <v>188.2</v>
      </c>
      <c r="G75" s="135">
        <v>1</v>
      </c>
      <c r="H75" s="135">
        <v>5000</v>
      </c>
      <c r="I75" s="135">
        <v>5000</v>
      </c>
      <c r="J75" s="131"/>
    </row>
    <row r="76" spans="1:10" x14ac:dyDescent="0.3">
      <c r="A76" s="131"/>
      <c r="B76" s="134">
        <v>42794</v>
      </c>
      <c r="C76" s="135" t="s">
        <v>16</v>
      </c>
      <c r="D76" s="135" t="s">
        <v>28</v>
      </c>
      <c r="E76" s="135">
        <v>187.8</v>
      </c>
      <c r="F76" s="135">
        <v>189.2</v>
      </c>
      <c r="G76" s="135">
        <v>1.4</v>
      </c>
      <c r="H76" s="135">
        <v>5000</v>
      </c>
      <c r="I76" s="135">
        <v>7000</v>
      </c>
      <c r="J76" s="131"/>
    </row>
    <row r="77" spans="1:10" x14ac:dyDescent="0.3">
      <c r="A77" s="131"/>
      <c r="J77" s="131"/>
    </row>
    <row r="78" spans="1:10" s="173" customFormat="1" ht="18" x14ac:dyDescent="0.35">
      <c r="A78" s="146"/>
      <c r="I78" s="138">
        <v>91200</v>
      </c>
      <c r="J78" s="146"/>
    </row>
    <row r="79" spans="1:10" x14ac:dyDescent="0.3">
      <c r="A79" s="131"/>
      <c r="J79" s="131"/>
    </row>
    <row r="80" spans="1:10" x14ac:dyDescent="0.3">
      <c r="A80" s="131"/>
      <c r="J80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2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87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10.33203125" style="75" customWidth="1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3">
        <v>42795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42795</v>
      </c>
      <c r="C6" s="135" t="s">
        <v>23</v>
      </c>
      <c r="D6" s="135" t="s">
        <v>24</v>
      </c>
      <c r="E6" s="135">
        <v>29400</v>
      </c>
      <c r="F6" s="135">
        <v>20300</v>
      </c>
      <c r="G6" s="135">
        <v>100</v>
      </c>
      <c r="H6" s="135">
        <v>100</v>
      </c>
      <c r="I6" s="135">
        <v>10000</v>
      </c>
      <c r="J6" s="17"/>
      <c r="K6" s="71"/>
    </row>
    <row r="7" spans="1:15" x14ac:dyDescent="0.3">
      <c r="A7" s="17"/>
      <c r="B7" s="134">
        <v>42796</v>
      </c>
      <c r="C7" s="135" t="s">
        <v>23</v>
      </c>
      <c r="D7" s="135" t="s">
        <v>24</v>
      </c>
      <c r="E7" s="135">
        <v>29370</v>
      </c>
      <c r="F7" s="135">
        <v>29170</v>
      </c>
      <c r="G7" s="135">
        <v>100</v>
      </c>
      <c r="H7" s="135">
        <v>100</v>
      </c>
      <c r="I7" s="135">
        <v>20000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42797</v>
      </c>
      <c r="C8" s="151" t="s">
        <v>23</v>
      </c>
      <c r="D8" s="151" t="s">
        <v>24</v>
      </c>
      <c r="E8" s="151">
        <v>29120</v>
      </c>
      <c r="F8" s="151">
        <v>28980</v>
      </c>
      <c r="G8" s="151">
        <v>140</v>
      </c>
      <c r="H8" s="151">
        <v>100</v>
      </c>
      <c r="I8" s="135">
        <v>14000</v>
      </c>
      <c r="J8" s="17"/>
      <c r="K8" s="175" t="s">
        <v>257</v>
      </c>
      <c r="L8" s="165" t="s">
        <v>260</v>
      </c>
      <c r="M8" s="101" t="s">
        <v>265</v>
      </c>
      <c r="N8" s="101" t="s">
        <v>290</v>
      </c>
      <c r="O8" s="75">
        <v>3</v>
      </c>
    </row>
    <row r="9" spans="1:15" x14ac:dyDescent="0.3">
      <c r="A9" s="17"/>
      <c r="B9" s="134">
        <v>42800</v>
      </c>
      <c r="C9" s="151" t="s">
        <v>23</v>
      </c>
      <c r="D9" s="151" t="s">
        <v>24</v>
      </c>
      <c r="E9" s="151">
        <v>29160</v>
      </c>
      <c r="F9" s="151">
        <v>28960</v>
      </c>
      <c r="G9" s="151">
        <v>200</v>
      </c>
      <c r="H9" s="151">
        <v>100</v>
      </c>
      <c r="I9" s="135">
        <v>20000</v>
      </c>
      <c r="J9" s="17"/>
      <c r="K9" s="175" t="s">
        <v>258</v>
      </c>
      <c r="L9" s="165" t="s">
        <v>622</v>
      </c>
      <c r="M9" s="101" t="s">
        <v>491</v>
      </c>
      <c r="N9" s="101" t="s">
        <v>299</v>
      </c>
      <c r="O9" s="75">
        <v>1</v>
      </c>
    </row>
    <row r="10" spans="1:15" x14ac:dyDescent="0.3">
      <c r="A10" s="17"/>
      <c r="B10" s="134">
        <v>42801</v>
      </c>
      <c r="C10" s="151" t="s">
        <v>23</v>
      </c>
      <c r="D10" s="151" t="s">
        <v>24</v>
      </c>
      <c r="E10" s="151">
        <v>28950</v>
      </c>
      <c r="F10" s="151">
        <v>28750</v>
      </c>
      <c r="G10" s="151">
        <v>200</v>
      </c>
      <c r="H10" s="151">
        <v>100</v>
      </c>
      <c r="I10" s="135">
        <v>20000</v>
      </c>
      <c r="J10" s="17"/>
      <c r="K10" s="175" t="s">
        <v>259</v>
      </c>
      <c r="L10" s="165" t="s">
        <v>860</v>
      </c>
      <c r="M10" s="101" t="s">
        <v>265</v>
      </c>
      <c r="N10" s="101" t="s">
        <v>302</v>
      </c>
      <c r="O10" s="75">
        <v>1</v>
      </c>
    </row>
    <row r="11" spans="1:15" x14ac:dyDescent="0.3">
      <c r="A11" s="17"/>
      <c r="B11" s="134">
        <v>42802</v>
      </c>
      <c r="C11" s="135" t="s">
        <v>23</v>
      </c>
      <c r="D11" s="135" t="s">
        <v>24</v>
      </c>
      <c r="E11" s="135">
        <v>28750</v>
      </c>
      <c r="F11" s="135">
        <v>28590</v>
      </c>
      <c r="G11" s="135">
        <v>160</v>
      </c>
      <c r="H11" s="135">
        <v>100</v>
      </c>
      <c r="I11" s="135">
        <v>16000</v>
      </c>
      <c r="J11" s="17"/>
      <c r="K11" s="175" t="s">
        <v>300</v>
      </c>
      <c r="L11" s="104" t="s">
        <v>861</v>
      </c>
      <c r="M11" s="104" t="s">
        <v>624</v>
      </c>
      <c r="N11" s="104" t="s">
        <v>270</v>
      </c>
      <c r="O11" s="172">
        <v>5</v>
      </c>
    </row>
    <row r="12" spans="1:15" x14ac:dyDescent="0.3">
      <c r="A12" s="17"/>
      <c r="B12" s="134">
        <v>42803</v>
      </c>
      <c r="C12" s="135" t="s">
        <v>23</v>
      </c>
      <c r="D12" s="135" t="s">
        <v>24</v>
      </c>
      <c r="E12" s="135">
        <v>28520</v>
      </c>
      <c r="F12" s="135">
        <v>28420</v>
      </c>
      <c r="G12" s="135">
        <v>100</v>
      </c>
      <c r="H12" s="135">
        <v>100</v>
      </c>
      <c r="I12" s="135">
        <v>10000</v>
      </c>
      <c r="J12" s="17"/>
    </row>
    <row r="13" spans="1:15" x14ac:dyDescent="0.3">
      <c r="A13" s="17"/>
      <c r="B13" s="134">
        <v>42804</v>
      </c>
      <c r="C13" s="135" t="s">
        <v>23</v>
      </c>
      <c r="D13" s="135" t="s">
        <v>24</v>
      </c>
      <c r="E13" s="135">
        <v>28340</v>
      </c>
      <c r="F13" s="135">
        <v>28275</v>
      </c>
      <c r="G13" s="135">
        <v>65</v>
      </c>
      <c r="H13" s="135">
        <v>100</v>
      </c>
      <c r="I13" s="135">
        <v>6500</v>
      </c>
      <c r="J13" s="17"/>
      <c r="K13" s="71"/>
    </row>
    <row r="14" spans="1:15" x14ac:dyDescent="0.3">
      <c r="A14" s="17"/>
      <c r="B14" s="134">
        <v>42808</v>
      </c>
      <c r="C14" s="135" t="s">
        <v>23</v>
      </c>
      <c r="D14" s="135" t="s">
        <v>24</v>
      </c>
      <c r="E14" s="135">
        <v>28220</v>
      </c>
      <c r="F14" s="135">
        <v>28070</v>
      </c>
      <c r="G14" s="135">
        <v>150</v>
      </c>
      <c r="H14" s="135">
        <v>100</v>
      </c>
      <c r="I14" s="135">
        <v>15000</v>
      </c>
      <c r="J14" s="17"/>
      <c r="K14" s="132"/>
      <c r="L14" s="127" t="s">
        <v>832</v>
      </c>
      <c r="M14" s="128"/>
      <c r="N14" s="133" t="s">
        <v>836</v>
      </c>
    </row>
    <row r="15" spans="1:15" x14ac:dyDescent="0.3">
      <c r="A15" s="17"/>
      <c r="B15" s="134">
        <v>42809</v>
      </c>
      <c r="C15" s="135" t="s">
        <v>23</v>
      </c>
      <c r="D15" s="135" t="s">
        <v>24</v>
      </c>
      <c r="E15" s="135">
        <v>27990</v>
      </c>
      <c r="F15" s="135">
        <v>27930</v>
      </c>
      <c r="G15" s="135">
        <v>60</v>
      </c>
      <c r="H15" s="135">
        <v>100</v>
      </c>
      <c r="I15" s="135">
        <v>6000</v>
      </c>
      <c r="J15" s="17"/>
      <c r="K15" s="71"/>
    </row>
    <row r="16" spans="1:15" x14ac:dyDescent="0.3">
      <c r="A16" s="17"/>
      <c r="B16" s="134">
        <v>42810</v>
      </c>
      <c r="C16" s="135" t="s">
        <v>23</v>
      </c>
      <c r="D16" s="135" t="s">
        <v>24</v>
      </c>
      <c r="E16" s="135">
        <v>28450</v>
      </c>
      <c r="F16" s="135">
        <v>28385</v>
      </c>
      <c r="G16" s="135">
        <v>65</v>
      </c>
      <c r="H16" s="135">
        <v>100</v>
      </c>
      <c r="I16" s="135">
        <v>6500</v>
      </c>
      <c r="J16" s="17"/>
      <c r="K16" s="71"/>
    </row>
    <row r="17" spans="1:15" x14ac:dyDescent="0.3">
      <c r="A17" s="17"/>
      <c r="B17" s="134">
        <v>42811</v>
      </c>
      <c r="C17" s="135" t="s">
        <v>23</v>
      </c>
      <c r="D17" s="135" t="s">
        <v>24</v>
      </c>
      <c r="E17" s="135">
        <v>28480</v>
      </c>
      <c r="F17" s="135">
        <v>28480</v>
      </c>
      <c r="G17" s="135">
        <v>0</v>
      </c>
      <c r="H17" s="135">
        <v>100</v>
      </c>
      <c r="I17" s="135">
        <v>0</v>
      </c>
      <c r="J17" s="17"/>
      <c r="K17" s="71"/>
    </row>
    <row r="18" spans="1:15" x14ac:dyDescent="0.3">
      <c r="A18" s="17"/>
      <c r="B18" s="134">
        <v>42814</v>
      </c>
      <c r="C18" s="135" t="s">
        <v>23</v>
      </c>
      <c r="D18" s="135" t="s">
        <v>24</v>
      </c>
      <c r="E18" s="135">
        <v>28590</v>
      </c>
      <c r="F18" s="135">
        <v>28490</v>
      </c>
      <c r="G18" s="135">
        <v>100</v>
      </c>
      <c r="H18" s="135">
        <v>100</v>
      </c>
      <c r="I18" s="135">
        <v>10000</v>
      </c>
      <c r="J18" s="17"/>
      <c r="K18" s="71"/>
    </row>
    <row r="19" spans="1:15" x14ac:dyDescent="0.3">
      <c r="A19" s="17"/>
      <c r="B19" s="134">
        <v>42815</v>
      </c>
      <c r="C19" s="135" t="s">
        <v>23</v>
      </c>
      <c r="D19" s="135" t="s">
        <v>24</v>
      </c>
      <c r="E19" s="135">
        <v>28420</v>
      </c>
      <c r="F19" s="135">
        <v>28520</v>
      </c>
      <c r="G19" s="135">
        <v>-100</v>
      </c>
      <c r="H19" s="135">
        <v>100</v>
      </c>
      <c r="I19" s="135">
        <v>-10000</v>
      </c>
      <c r="J19" s="17"/>
      <c r="K19" s="71"/>
      <c r="O19" s="75" t="s">
        <v>862</v>
      </c>
    </row>
    <row r="20" spans="1:15" x14ac:dyDescent="0.3">
      <c r="A20" s="17"/>
      <c r="B20" s="134">
        <v>42816</v>
      </c>
      <c r="C20" s="135" t="s">
        <v>23</v>
      </c>
      <c r="D20" s="135" t="s">
        <v>24</v>
      </c>
      <c r="E20" s="135">
        <v>28860</v>
      </c>
      <c r="F20" s="135">
        <v>28860</v>
      </c>
      <c r="G20" s="135">
        <v>0</v>
      </c>
      <c r="H20" s="135">
        <v>100</v>
      </c>
      <c r="I20" s="135">
        <v>0</v>
      </c>
      <c r="J20" s="17"/>
      <c r="K20" s="71"/>
    </row>
    <row r="21" spans="1:15" x14ac:dyDescent="0.3">
      <c r="A21" s="17"/>
      <c r="B21" s="134">
        <v>42817</v>
      </c>
      <c r="C21" s="135" t="s">
        <v>23</v>
      </c>
      <c r="D21" s="135" t="s">
        <v>24</v>
      </c>
      <c r="E21" s="135">
        <v>28870</v>
      </c>
      <c r="F21" s="135">
        <v>28770</v>
      </c>
      <c r="G21" s="135">
        <v>100</v>
      </c>
      <c r="H21" s="135">
        <v>100</v>
      </c>
      <c r="I21" s="135">
        <v>10000</v>
      </c>
      <c r="J21" s="17"/>
      <c r="K21" s="71"/>
    </row>
    <row r="22" spans="1:15" x14ac:dyDescent="0.3">
      <c r="A22" s="17"/>
      <c r="B22" s="134">
        <v>42818</v>
      </c>
      <c r="C22" s="135" t="s">
        <v>23</v>
      </c>
      <c r="D22" s="135" t="s">
        <v>24</v>
      </c>
      <c r="E22" s="135">
        <v>28770</v>
      </c>
      <c r="F22" s="135">
        <v>28780</v>
      </c>
      <c r="G22" s="135">
        <v>-10</v>
      </c>
      <c r="H22" s="135">
        <v>100</v>
      </c>
      <c r="I22" s="135">
        <v>-1000</v>
      </c>
      <c r="J22" s="17"/>
      <c r="K22" s="71"/>
    </row>
    <row r="23" spans="1:15" x14ac:dyDescent="0.3">
      <c r="A23" s="17"/>
      <c r="B23" s="134">
        <v>42821</v>
      </c>
      <c r="C23" s="135" t="s">
        <v>23</v>
      </c>
      <c r="D23" s="135" t="s">
        <v>24</v>
      </c>
      <c r="E23" s="135">
        <v>28920</v>
      </c>
      <c r="F23" s="135">
        <v>28770</v>
      </c>
      <c r="G23" s="135">
        <v>150</v>
      </c>
      <c r="H23" s="135">
        <v>100</v>
      </c>
      <c r="I23" s="135">
        <v>15000</v>
      </c>
      <c r="J23" s="17"/>
      <c r="K23" s="71"/>
    </row>
    <row r="24" spans="1:15" x14ac:dyDescent="0.3">
      <c r="A24" s="17"/>
      <c r="B24" s="134">
        <v>42822</v>
      </c>
      <c r="C24" s="135" t="s">
        <v>23</v>
      </c>
      <c r="D24" s="135" t="s">
        <v>24</v>
      </c>
      <c r="E24" s="135">
        <v>28830</v>
      </c>
      <c r="F24" s="135">
        <v>28800</v>
      </c>
      <c r="G24" s="135">
        <v>30</v>
      </c>
      <c r="H24" s="135">
        <v>100</v>
      </c>
      <c r="I24" s="135">
        <v>3000</v>
      </c>
      <c r="J24" s="17"/>
      <c r="K24" s="71"/>
    </row>
    <row r="25" spans="1:15" x14ac:dyDescent="0.3">
      <c r="A25" s="17"/>
      <c r="B25" s="134">
        <v>42823</v>
      </c>
      <c r="C25" s="135" t="s">
        <v>23</v>
      </c>
      <c r="D25" s="135" t="s">
        <v>24</v>
      </c>
      <c r="E25" s="135">
        <v>28710</v>
      </c>
      <c r="F25" s="135">
        <v>28660</v>
      </c>
      <c r="G25" s="135">
        <v>50</v>
      </c>
      <c r="H25" s="135">
        <v>100</v>
      </c>
      <c r="I25" s="135">
        <v>5000</v>
      </c>
      <c r="J25" s="17"/>
      <c r="K25" s="71"/>
    </row>
    <row r="26" spans="1:15" x14ac:dyDescent="0.3">
      <c r="A26" s="17"/>
      <c r="B26" s="134">
        <v>42824</v>
      </c>
      <c r="C26" s="135" t="s">
        <v>23</v>
      </c>
      <c r="D26" s="135" t="s">
        <v>24</v>
      </c>
      <c r="E26" s="135">
        <v>28700</v>
      </c>
      <c r="F26" s="135">
        <v>28540</v>
      </c>
      <c r="G26" s="135">
        <v>160</v>
      </c>
      <c r="H26" s="135">
        <v>100</v>
      </c>
      <c r="I26" s="135">
        <v>16000</v>
      </c>
      <c r="J26" s="17"/>
      <c r="K26" s="71"/>
    </row>
    <row r="27" spans="1:15" ht="16.5" customHeight="1" x14ac:dyDescent="0.3">
      <c r="A27" s="17"/>
      <c r="B27" s="134">
        <v>42825</v>
      </c>
      <c r="C27" s="135" t="s">
        <v>23</v>
      </c>
      <c r="D27" s="135" t="s">
        <v>24</v>
      </c>
      <c r="E27" s="135">
        <v>28520</v>
      </c>
      <c r="F27" s="177">
        <v>28460</v>
      </c>
      <c r="G27" s="177">
        <v>60</v>
      </c>
      <c r="H27" s="177">
        <v>100</v>
      </c>
      <c r="I27" s="135">
        <v>6000</v>
      </c>
      <c r="J27" s="17"/>
    </row>
    <row r="28" spans="1:15" ht="17.399999999999999" x14ac:dyDescent="0.3">
      <c r="A28" s="17"/>
      <c r="C28" s="157"/>
      <c r="D28" s="156"/>
      <c r="E28" s="158"/>
      <c r="F28" s="157"/>
      <c r="G28" s="157"/>
      <c r="H28" s="157"/>
      <c r="I28" s="138">
        <v>198000</v>
      </c>
      <c r="J28" s="17"/>
    </row>
    <row r="29" spans="1:15" x14ac:dyDescent="0.3">
      <c r="A29" s="17"/>
      <c r="C29" s="157"/>
      <c r="D29" s="158"/>
      <c r="E29" s="158"/>
      <c r="F29" s="157"/>
      <c r="G29" s="157"/>
      <c r="H29" s="157"/>
      <c r="I29" s="157"/>
      <c r="J29" s="17"/>
    </row>
    <row r="30" spans="1:15" x14ac:dyDescent="0.3">
      <c r="A30" s="17"/>
      <c r="B30" s="164" t="s">
        <v>789</v>
      </c>
      <c r="C30" s="159"/>
      <c r="D30" s="160"/>
      <c r="E30" s="159"/>
      <c r="F30" s="159"/>
      <c r="G30" s="159"/>
      <c r="H30" s="159"/>
      <c r="I30" s="159"/>
      <c r="J30" s="17"/>
    </row>
    <row r="31" spans="1:15" x14ac:dyDescent="0.3">
      <c r="A31" s="17"/>
      <c r="B31" s="134">
        <v>42795</v>
      </c>
      <c r="C31" s="135" t="s">
        <v>23</v>
      </c>
      <c r="D31" s="135" t="s">
        <v>25</v>
      </c>
      <c r="E31" s="135">
        <v>3615</v>
      </c>
      <c r="F31" s="135">
        <v>3640</v>
      </c>
      <c r="G31" s="135">
        <v>-25</v>
      </c>
      <c r="H31" s="135">
        <v>100</v>
      </c>
      <c r="I31" s="135">
        <v>-2500</v>
      </c>
      <c r="J31" s="17"/>
    </row>
    <row r="32" spans="1:15" x14ac:dyDescent="0.3">
      <c r="A32" s="17"/>
      <c r="B32" s="134">
        <v>42796</v>
      </c>
      <c r="C32" s="135" t="s">
        <v>23</v>
      </c>
      <c r="D32" s="135" t="s">
        <v>25</v>
      </c>
      <c r="E32" s="135">
        <v>3595</v>
      </c>
      <c r="F32" s="135">
        <v>3545</v>
      </c>
      <c r="G32" s="135">
        <v>50</v>
      </c>
      <c r="H32" s="135">
        <v>100</v>
      </c>
      <c r="I32" s="135">
        <v>5000</v>
      </c>
      <c r="J32" s="17"/>
    </row>
    <row r="33" spans="1:10" x14ac:dyDescent="0.3">
      <c r="A33" s="17"/>
      <c r="B33" s="134">
        <v>42797</v>
      </c>
      <c r="C33" s="135" t="s">
        <v>23</v>
      </c>
      <c r="D33" s="135" t="s">
        <v>25</v>
      </c>
      <c r="E33" s="135">
        <v>3540</v>
      </c>
      <c r="F33" s="135">
        <v>3520</v>
      </c>
      <c r="G33" s="135">
        <v>20</v>
      </c>
      <c r="H33" s="135">
        <v>100</v>
      </c>
      <c r="I33" s="135">
        <v>2000</v>
      </c>
      <c r="J33" s="17"/>
    </row>
    <row r="34" spans="1:10" x14ac:dyDescent="0.3">
      <c r="A34" s="17"/>
      <c r="B34" s="134">
        <v>42800</v>
      </c>
      <c r="C34" s="135" t="s">
        <v>23</v>
      </c>
      <c r="D34" s="135" t="s">
        <v>25</v>
      </c>
      <c r="E34" s="135">
        <v>3545</v>
      </c>
      <c r="F34" s="135">
        <v>3540</v>
      </c>
      <c r="G34" s="135">
        <v>5</v>
      </c>
      <c r="H34" s="135">
        <v>100</v>
      </c>
      <c r="I34" s="135">
        <v>500</v>
      </c>
      <c r="J34" s="17"/>
    </row>
    <row r="35" spans="1:10" x14ac:dyDescent="0.3">
      <c r="A35" s="17"/>
      <c r="B35" s="134">
        <v>42801</v>
      </c>
      <c r="C35" s="135" t="s">
        <v>23</v>
      </c>
      <c r="D35" s="135" t="s">
        <v>25</v>
      </c>
      <c r="E35" s="135">
        <v>3565</v>
      </c>
      <c r="F35" s="135">
        <v>3555</v>
      </c>
      <c r="G35" s="135">
        <v>10</v>
      </c>
      <c r="H35" s="135">
        <v>100</v>
      </c>
      <c r="I35" s="135">
        <v>1000</v>
      </c>
      <c r="J35" s="17"/>
    </row>
    <row r="36" spans="1:10" x14ac:dyDescent="0.3">
      <c r="A36" s="17"/>
      <c r="B36" s="134">
        <v>42801</v>
      </c>
      <c r="C36" s="135" t="s">
        <v>23</v>
      </c>
      <c r="D36" s="135" t="s">
        <v>863</v>
      </c>
      <c r="E36" s="135">
        <v>191</v>
      </c>
      <c r="F36" s="135">
        <v>189</v>
      </c>
      <c r="G36" s="135">
        <v>2</v>
      </c>
      <c r="H36" s="135">
        <v>1250</v>
      </c>
      <c r="I36" s="135">
        <v>2500</v>
      </c>
      <c r="J36" s="17"/>
    </row>
    <row r="37" spans="1:10" x14ac:dyDescent="0.3">
      <c r="A37" s="17"/>
      <c r="B37" s="134">
        <v>42802</v>
      </c>
      <c r="C37" s="135" t="s">
        <v>23</v>
      </c>
      <c r="D37" s="135" t="s">
        <v>25</v>
      </c>
      <c r="E37" s="135">
        <v>3520</v>
      </c>
      <c r="F37" s="135">
        <v>3490</v>
      </c>
      <c r="G37" s="135">
        <v>-30</v>
      </c>
      <c r="H37" s="135">
        <v>100</v>
      </c>
      <c r="I37" s="135">
        <v>-3000</v>
      </c>
      <c r="J37" s="17"/>
    </row>
    <row r="38" spans="1:10" x14ac:dyDescent="0.3">
      <c r="A38" s="17"/>
      <c r="B38" s="134">
        <v>42803</v>
      </c>
      <c r="C38" s="135" t="s">
        <v>23</v>
      </c>
      <c r="D38" s="135" t="s">
        <v>25</v>
      </c>
      <c r="E38" s="135">
        <v>3385</v>
      </c>
      <c r="F38" s="135">
        <v>3310</v>
      </c>
      <c r="G38" s="135">
        <v>75</v>
      </c>
      <c r="H38" s="135">
        <v>100</v>
      </c>
      <c r="I38" s="135">
        <v>7500</v>
      </c>
      <c r="J38" s="17"/>
    </row>
    <row r="39" spans="1:10" x14ac:dyDescent="0.3">
      <c r="A39" s="17"/>
      <c r="B39" s="134">
        <v>42804</v>
      </c>
      <c r="C39" s="135" t="s">
        <v>23</v>
      </c>
      <c r="D39" s="135" t="s">
        <v>25</v>
      </c>
      <c r="E39" s="135">
        <v>3305</v>
      </c>
      <c r="F39" s="135">
        <v>3230</v>
      </c>
      <c r="G39" s="135">
        <v>75</v>
      </c>
      <c r="H39" s="135">
        <v>100</v>
      </c>
      <c r="I39" s="135">
        <v>7500</v>
      </c>
      <c r="J39" s="17"/>
    </row>
    <row r="40" spans="1:10" x14ac:dyDescent="0.3">
      <c r="A40" s="17"/>
      <c r="B40" s="134">
        <v>42808</v>
      </c>
      <c r="C40" s="135" t="s">
        <v>23</v>
      </c>
      <c r="D40" s="135" t="s">
        <v>25</v>
      </c>
      <c r="E40" s="135">
        <v>3210</v>
      </c>
      <c r="F40" s="135">
        <v>3140</v>
      </c>
      <c r="G40" s="135">
        <v>70</v>
      </c>
      <c r="H40" s="135">
        <v>100</v>
      </c>
      <c r="I40" s="135">
        <v>7000</v>
      </c>
      <c r="J40" s="17"/>
    </row>
    <row r="41" spans="1:10" x14ac:dyDescent="0.3">
      <c r="A41" s="17"/>
      <c r="B41" s="134">
        <v>42809</v>
      </c>
      <c r="C41" s="135" t="s">
        <v>23</v>
      </c>
      <c r="D41" s="135" t="s">
        <v>25</v>
      </c>
      <c r="E41" s="135">
        <v>3190</v>
      </c>
      <c r="F41" s="135">
        <v>3170</v>
      </c>
      <c r="G41" s="135">
        <v>20</v>
      </c>
      <c r="H41" s="135">
        <v>100</v>
      </c>
      <c r="I41" s="135">
        <v>2000</v>
      </c>
      <c r="J41" s="17"/>
    </row>
    <row r="42" spans="1:10" x14ac:dyDescent="0.3">
      <c r="A42" s="17"/>
      <c r="B42" s="134">
        <v>42810</v>
      </c>
      <c r="C42" s="135" t="s">
        <v>23</v>
      </c>
      <c r="D42" s="135" t="s">
        <v>25</v>
      </c>
      <c r="E42" s="135">
        <v>3245</v>
      </c>
      <c r="F42" s="135">
        <v>3185</v>
      </c>
      <c r="G42" s="135">
        <v>60</v>
      </c>
      <c r="H42" s="135">
        <v>100</v>
      </c>
      <c r="I42" s="135">
        <v>6000</v>
      </c>
      <c r="J42" s="17"/>
    </row>
    <row r="43" spans="1:10" x14ac:dyDescent="0.3">
      <c r="A43" s="17"/>
      <c r="B43" s="134">
        <v>42811</v>
      </c>
      <c r="C43" s="135" t="s">
        <v>23</v>
      </c>
      <c r="D43" s="135" t="s">
        <v>25</v>
      </c>
      <c r="E43" s="135">
        <v>3205</v>
      </c>
      <c r="F43" s="135">
        <v>3185</v>
      </c>
      <c r="G43" s="135">
        <v>20</v>
      </c>
      <c r="H43" s="135">
        <v>100</v>
      </c>
      <c r="I43" s="135">
        <v>2000</v>
      </c>
      <c r="J43" s="17"/>
    </row>
    <row r="44" spans="1:10" x14ac:dyDescent="0.3">
      <c r="A44" s="17"/>
      <c r="B44" s="134">
        <v>42814</v>
      </c>
      <c r="C44" s="135" t="s">
        <v>23</v>
      </c>
      <c r="D44" s="135" t="s">
        <v>25</v>
      </c>
      <c r="E44" s="135">
        <v>3175</v>
      </c>
      <c r="F44" s="135">
        <v>3130</v>
      </c>
      <c r="G44" s="135">
        <v>45</v>
      </c>
      <c r="H44" s="135">
        <v>100</v>
      </c>
      <c r="I44" s="135">
        <v>4500</v>
      </c>
      <c r="J44" s="17"/>
    </row>
    <row r="45" spans="1:10" x14ac:dyDescent="0.3">
      <c r="A45" s="17"/>
      <c r="B45" s="134">
        <v>42815</v>
      </c>
      <c r="C45" s="135" t="s">
        <v>23</v>
      </c>
      <c r="D45" s="135" t="s">
        <v>25</v>
      </c>
      <c r="E45" s="135">
        <v>3240</v>
      </c>
      <c r="F45" s="135">
        <v>3185</v>
      </c>
      <c r="G45" s="135">
        <v>55</v>
      </c>
      <c r="H45" s="135">
        <v>100</v>
      </c>
      <c r="I45" s="135">
        <v>5500</v>
      </c>
      <c r="J45" s="17"/>
    </row>
    <row r="46" spans="1:10" x14ac:dyDescent="0.3">
      <c r="A46" s="17"/>
      <c r="B46" s="134">
        <v>42816</v>
      </c>
      <c r="C46" s="135" t="s">
        <v>23</v>
      </c>
      <c r="D46" s="135" t="s">
        <v>25</v>
      </c>
      <c r="E46" s="135">
        <v>3160</v>
      </c>
      <c r="F46" s="135">
        <v>3110</v>
      </c>
      <c r="G46" s="135">
        <v>50</v>
      </c>
      <c r="H46" s="135">
        <v>100</v>
      </c>
      <c r="I46" s="135">
        <v>5000</v>
      </c>
      <c r="J46" s="17"/>
    </row>
    <row r="47" spans="1:10" x14ac:dyDescent="0.3">
      <c r="A47" s="17"/>
      <c r="B47" s="134">
        <v>42817</v>
      </c>
      <c r="C47" s="135" t="s">
        <v>23</v>
      </c>
      <c r="D47" s="135" t="s">
        <v>25</v>
      </c>
      <c r="E47" s="135">
        <v>3180</v>
      </c>
      <c r="F47" s="135">
        <v>3135</v>
      </c>
      <c r="G47" s="135">
        <v>45</v>
      </c>
      <c r="H47" s="135">
        <v>100</v>
      </c>
      <c r="I47" s="135">
        <v>4500</v>
      </c>
      <c r="J47" s="17"/>
    </row>
    <row r="48" spans="1:10" x14ac:dyDescent="0.3">
      <c r="A48" s="17"/>
      <c r="B48" s="134">
        <v>42818</v>
      </c>
      <c r="C48" s="135" t="s">
        <v>23</v>
      </c>
      <c r="D48" s="135" t="s">
        <v>25</v>
      </c>
      <c r="E48" s="135">
        <v>3150</v>
      </c>
      <c r="F48" s="135">
        <v>3130</v>
      </c>
      <c r="G48" s="135">
        <v>20</v>
      </c>
      <c r="H48" s="135">
        <v>100</v>
      </c>
      <c r="I48" s="135">
        <v>2000</v>
      </c>
      <c r="J48" s="17"/>
    </row>
    <row r="49" spans="1:10" x14ac:dyDescent="0.3">
      <c r="A49" s="17"/>
      <c r="B49" s="134">
        <v>42821</v>
      </c>
      <c r="C49" s="135" t="s">
        <v>23</v>
      </c>
      <c r="D49" s="135" t="s">
        <v>25</v>
      </c>
      <c r="E49" s="135">
        <v>3115</v>
      </c>
      <c r="F49" s="135">
        <v>3080</v>
      </c>
      <c r="G49" s="135">
        <v>35</v>
      </c>
      <c r="H49" s="135">
        <v>100</v>
      </c>
      <c r="I49" s="135">
        <v>3500</v>
      </c>
      <c r="J49" s="17"/>
    </row>
    <row r="50" spans="1:10" x14ac:dyDescent="0.3">
      <c r="A50" s="17"/>
      <c r="B50" s="134">
        <v>42821</v>
      </c>
      <c r="C50" s="135" t="s">
        <v>23</v>
      </c>
      <c r="D50" s="135" t="s">
        <v>863</v>
      </c>
      <c r="E50" s="135">
        <v>202</v>
      </c>
      <c r="F50" s="135">
        <v>200</v>
      </c>
      <c r="G50" s="135">
        <v>2</v>
      </c>
      <c r="H50" s="135">
        <v>1250</v>
      </c>
      <c r="I50" s="135">
        <v>2500</v>
      </c>
      <c r="J50" s="17"/>
    </row>
    <row r="51" spans="1:10" x14ac:dyDescent="0.3">
      <c r="A51" s="17"/>
      <c r="B51" s="134">
        <v>42822</v>
      </c>
      <c r="C51" s="135" t="s">
        <v>23</v>
      </c>
      <c r="D51" s="135" t="s">
        <v>25</v>
      </c>
      <c r="E51" s="135">
        <v>3150</v>
      </c>
      <c r="F51" s="135">
        <v>3165</v>
      </c>
      <c r="G51" s="135">
        <v>-15</v>
      </c>
      <c r="H51" s="135">
        <v>100</v>
      </c>
      <c r="I51" s="135">
        <v>-1500</v>
      </c>
      <c r="J51" s="17"/>
    </row>
    <row r="52" spans="1:10" x14ac:dyDescent="0.3">
      <c r="A52" s="17"/>
      <c r="B52" s="134">
        <v>42823</v>
      </c>
      <c r="C52" s="135" t="s">
        <v>23</v>
      </c>
      <c r="D52" s="135" t="s">
        <v>25</v>
      </c>
      <c r="E52" s="135">
        <v>3180</v>
      </c>
      <c r="F52" s="135">
        <v>3155</v>
      </c>
      <c r="G52" s="135">
        <v>25</v>
      </c>
      <c r="H52" s="135">
        <v>100</v>
      </c>
      <c r="I52" s="135">
        <v>2500</v>
      </c>
      <c r="J52" s="17"/>
    </row>
    <row r="53" spans="1:10" x14ac:dyDescent="0.3">
      <c r="A53" s="17"/>
      <c r="B53" s="134">
        <v>42824</v>
      </c>
      <c r="C53" s="135" t="s">
        <v>23</v>
      </c>
      <c r="D53" s="135" t="s">
        <v>25</v>
      </c>
      <c r="E53" s="135">
        <v>3225</v>
      </c>
      <c r="F53" s="135">
        <v>3255</v>
      </c>
      <c r="G53" s="135">
        <v>-30</v>
      </c>
      <c r="H53" s="135">
        <v>100</v>
      </c>
      <c r="I53" s="135">
        <v>-3000</v>
      </c>
      <c r="J53" s="17"/>
    </row>
    <row r="54" spans="1:10" x14ac:dyDescent="0.3">
      <c r="A54" s="17"/>
      <c r="B54" s="134">
        <v>42825</v>
      </c>
      <c r="C54" s="135" t="s">
        <v>23</v>
      </c>
      <c r="D54" s="135" t="s">
        <v>25</v>
      </c>
      <c r="E54" s="135">
        <v>3265</v>
      </c>
      <c r="F54" s="135">
        <v>3250</v>
      </c>
      <c r="G54" s="135">
        <v>15</v>
      </c>
      <c r="H54" s="135">
        <v>100</v>
      </c>
      <c r="I54" s="135">
        <v>1500</v>
      </c>
      <c r="J54" s="17"/>
    </row>
    <row r="55" spans="1:10" ht="18" x14ac:dyDescent="0.35">
      <c r="A55" s="142"/>
      <c r="B55" s="134"/>
      <c r="C55" s="137"/>
      <c r="D55" s="167"/>
      <c r="E55" s="137"/>
      <c r="F55" s="137"/>
      <c r="G55" s="137"/>
      <c r="H55" s="168"/>
      <c r="I55" s="138">
        <v>64500</v>
      </c>
      <c r="J55" s="17"/>
    </row>
    <row r="56" spans="1:10" x14ac:dyDescent="0.3">
      <c r="A56" s="17"/>
      <c r="B56" s="71"/>
      <c r="C56" s="157"/>
      <c r="D56" s="158"/>
      <c r="E56" s="157"/>
      <c r="F56" s="157"/>
      <c r="G56" s="157"/>
      <c r="H56" s="157"/>
      <c r="I56" s="157"/>
      <c r="J56" s="17"/>
    </row>
    <row r="57" spans="1:10" x14ac:dyDescent="0.3">
      <c r="A57" s="17"/>
      <c r="B57" s="164" t="s">
        <v>788</v>
      </c>
      <c r="C57" s="159"/>
      <c r="D57" s="160"/>
      <c r="E57" s="159"/>
      <c r="F57" s="159"/>
      <c r="G57" s="159"/>
      <c r="H57" s="159"/>
      <c r="I57" s="64"/>
      <c r="J57" s="17"/>
    </row>
    <row r="58" spans="1:10" x14ac:dyDescent="0.3">
      <c r="A58" s="17"/>
      <c r="B58" s="134">
        <v>42795</v>
      </c>
      <c r="C58" s="135" t="s">
        <v>16</v>
      </c>
      <c r="D58" s="135" t="s">
        <v>28</v>
      </c>
      <c r="E58" s="135">
        <v>190.4</v>
      </c>
      <c r="F58" s="135">
        <v>192.4</v>
      </c>
      <c r="G58" s="135">
        <v>2</v>
      </c>
      <c r="H58" s="135">
        <v>5000</v>
      </c>
      <c r="I58" s="135">
        <v>10000</v>
      </c>
      <c r="J58" s="17"/>
    </row>
    <row r="59" spans="1:10" x14ac:dyDescent="0.3">
      <c r="A59" s="17"/>
      <c r="B59" s="134">
        <v>42796</v>
      </c>
      <c r="C59" s="135" t="s">
        <v>16</v>
      </c>
      <c r="D59" s="135" t="s">
        <v>28</v>
      </c>
      <c r="E59" s="135">
        <v>190.5</v>
      </c>
      <c r="F59" s="135">
        <v>189.5</v>
      </c>
      <c r="G59" s="135">
        <v>-1</v>
      </c>
      <c r="H59" s="135">
        <v>5000</v>
      </c>
      <c r="I59" s="135">
        <v>-5000</v>
      </c>
      <c r="J59" s="17"/>
    </row>
    <row r="60" spans="1:10" x14ac:dyDescent="0.3">
      <c r="A60" s="17"/>
      <c r="B60" s="134">
        <v>42797</v>
      </c>
      <c r="C60" s="135" t="s">
        <v>23</v>
      </c>
      <c r="D60" s="135" t="s">
        <v>28</v>
      </c>
      <c r="E60" s="135">
        <v>186.5</v>
      </c>
      <c r="F60" s="135">
        <v>187.5</v>
      </c>
      <c r="G60" s="135">
        <v>-1</v>
      </c>
      <c r="H60" s="135">
        <v>5000</v>
      </c>
      <c r="I60" s="135">
        <v>-5000</v>
      </c>
      <c r="J60" s="131"/>
    </row>
    <row r="61" spans="1:10" x14ac:dyDescent="0.3">
      <c r="A61" s="131"/>
      <c r="B61" s="134">
        <v>42800</v>
      </c>
      <c r="C61" s="135" t="s">
        <v>23</v>
      </c>
      <c r="D61" s="135" t="s">
        <v>28</v>
      </c>
      <c r="E61" s="135">
        <v>182.4</v>
      </c>
      <c r="F61" s="135">
        <v>181.4</v>
      </c>
      <c r="G61" s="135">
        <v>1</v>
      </c>
      <c r="H61" s="135">
        <v>5000</v>
      </c>
      <c r="I61" s="135">
        <v>5000</v>
      </c>
      <c r="J61" s="131"/>
    </row>
    <row r="62" spans="1:10" x14ac:dyDescent="0.3">
      <c r="A62" s="131"/>
      <c r="B62" s="134">
        <v>42801</v>
      </c>
      <c r="C62" s="135" t="s">
        <v>23</v>
      </c>
      <c r="D62" s="135" t="s">
        <v>28</v>
      </c>
      <c r="E62" s="135">
        <v>180.5</v>
      </c>
      <c r="F62" s="135">
        <v>179.1</v>
      </c>
      <c r="G62" s="135">
        <v>1.4</v>
      </c>
      <c r="H62" s="135">
        <v>5000</v>
      </c>
      <c r="I62" s="135">
        <v>7000</v>
      </c>
      <c r="J62" s="131"/>
    </row>
    <row r="63" spans="1:10" x14ac:dyDescent="0.3">
      <c r="A63" s="131"/>
      <c r="B63" s="134">
        <v>42802</v>
      </c>
      <c r="C63" s="135" t="s">
        <v>23</v>
      </c>
      <c r="D63" s="135" t="s">
        <v>28</v>
      </c>
      <c r="E63" s="135">
        <v>180</v>
      </c>
      <c r="F63" s="135">
        <v>179.5</v>
      </c>
      <c r="G63" s="135">
        <v>0.5</v>
      </c>
      <c r="H63" s="135">
        <v>5000</v>
      </c>
      <c r="I63" s="135">
        <v>2500</v>
      </c>
      <c r="J63" s="131"/>
    </row>
    <row r="64" spans="1:10" x14ac:dyDescent="0.3">
      <c r="A64" s="131"/>
      <c r="B64" s="134">
        <v>42803</v>
      </c>
      <c r="C64" s="135" t="s">
        <v>23</v>
      </c>
      <c r="D64" s="135" t="s">
        <v>28</v>
      </c>
      <c r="E64" s="135">
        <v>177</v>
      </c>
      <c r="F64" s="135">
        <v>178</v>
      </c>
      <c r="G64" s="135">
        <v>-1</v>
      </c>
      <c r="H64" s="135">
        <v>5000</v>
      </c>
      <c r="I64" s="135">
        <v>-5000</v>
      </c>
      <c r="J64" s="131"/>
    </row>
    <row r="65" spans="1:10" x14ac:dyDescent="0.3">
      <c r="A65" s="131"/>
      <c r="B65" s="134">
        <v>42804</v>
      </c>
      <c r="C65" s="135" t="s">
        <v>23</v>
      </c>
      <c r="D65" s="135" t="s">
        <v>29</v>
      </c>
      <c r="E65" s="135">
        <v>384</v>
      </c>
      <c r="F65" s="135">
        <v>381.5</v>
      </c>
      <c r="G65" s="135">
        <v>2.5</v>
      </c>
      <c r="H65" s="135">
        <v>1000</v>
      </c>
      <c r="I65" s="135">
        <v>2500</v>
      </c>
      <c r="J65" s="131"/>
    </row>
    <row r="66" spans="1:10" x14ac:dyDescent="0.3">
      <c r="A66" s="131"/>
      <c r="B66" s="134">
        <v>42808</v>
      </c>
      <c r="C66" s="135" t="s">
        <v>23</v>
      </c>
      <c r="D66" s="135" t="s">
        <v>28</v>
      </c>
      <c r="E66" s="135">
        <v>180.2</v>
      </c>
      <c r="F66" s="135">
        <v>178.2</v>
      </c>
      <c r="G66" s="135">
        <v>2</v>
      </c>
      <c r="H66" s="135">
        <v>5000</v>
      </c>
      <c r="I66" s="135">
        <v>10000</v>
      </c>
      <c r="J66" s="131"/>
    </row>
    <row r="67" spans="1:10" x14ac:dyDescent="0.3">
      <c r="A67" s="131"/>
      <c r="B67" s="134">
        <v>42809</v>
      </c>
      <c r="C67" s="135" t="s">
        <v>23</v>
      </c>
      <c r="D67" s="135" t="s">
        <v>28</v>
      </c>
      <c r="E67" s="135">
        <v>181.6</v>
      </c>
      <c r="F67" s="135">
        <v>182.6</v>
      </c>
      <c r="G67" s="135">
        <v>-1</v>
      </c>
      <c r="H67" s="135">
        <v>5000</v>
      </c>
      <c r="I67" s="135">
        <v>-5000</v>
      </c>
      <c r="J67" s="131"/>
    </row>
    <row r="68" spans="1:10" x14ac:dyDescent="0.3">
      <c r="A68" s="131"/>
      <c r="B68" s="134">
        <v>42810</v>
      </c>
      <c r="C68" s="135" t="s">
        <v>23</v>
      </c>
      <c r="D68" s="135" t="s">
        <v>28</v>
      </c>
      <c r="E68" s="135">
        <v>186</v>
      </c>
      <c r="F68" s="135">
        <v>185</v>
      </c>
      <c r="G68" s="135">
        <v>-1</v>
      </c>
      <c r="H68" s="135">
        <v>5000</v>
      </c>
      <c r="I68" s="135">
        <v>-5000</v>
      </c>
      <c r="J68" s="131"/>
    </row>
    <row r="69" spans="1:10" x14ac:dyDescent="0.3">
      <c r="A69" s="131"/>
      <c r="B69" s="134">
        <v>42810</v>
      </c>
      <c r="C69" s="135" t="s">
        <v>23</v>
      </c>
      <c r="D69" s="135" t="s">
        <v>864</v>
      </c>
      <c r="E69" s="135">
        <v>390.5</v>
      </c>
      <c r="F69" s="135">
        <v>388.3</v>
      </c>
      <c r="G69" s="135">
        <v>2.2000000000000002</v>
      </c>
      <c r="H69" s="135">
        <v>1000</v>
      </c>
      <c r="I69" s="135">
        <v>2200</v>
      </c>
      <c r="J69" s="131"/>
    </row>
    <row r="70" spans="1:10" x14ac:dyDescent="0.3">
      <c r="A70" s="131"/>
      <c r="B70" s="134">
        <v>42811</v>
      </c>
      <c r="C70" s="135" t="s">
        <v>16</v>
      </c>
      <c r="D70" s="135" t="s">
        <v>28</v>
      </c>
      <c r="E70" s="135">
        <v>185.4</v>
      </c>
      <c r="F70" s="135">
        <v>187.4</v>
      </c>
      <c r="G70" s="135">
        <v>2</v>
      </c>
      <c r="H70" s="135">
        <v>5000</v>
      </c>
      <c r="I70" s="135">
        <v>10000</v>
      </c>
      <c r="J70" s="131"/>
    </row>
    <row r="71" spans="1:10" x14ac:dyDescent="0.3">
      <c r="A71" s="131"/>
      <c r="B71" s="134">
        <v>42814</v>
      </c>
      <c r="C71" s="135" t="s">
        <v>16</v>
      </c>
      <c r="D71" s="135" t="s">
        <v>28</v>
      </c>
      <c r="E71" s="135">
        <v>187.3</v>
      </c>
      <c r="F71" s="135">
        <v>187.8</v>
      </c>
      <c r="G71" s="135">
        <v>0.5</v>
      </c>
      <c r="H71" s="135">
        <v>5000</v>
      </c>
      <c r="I71" s="135">
        <v>2500</v>
      </c>
      <c r="J71" s="131"/>
    </row>
    <row r="72" spans="1:10" x14ac:dyDescent="0.3">
      <c r="A72" s="131"/>
      <c r="B72" s="134">
        <v>42815</v>
      </c>
      <c r="C72" s="135" t="s">
        <v>23</v>
      </c>
      <c r="D72" s="135" t="s">
        <v>28</v>
      </c>
      <c r="E72" s="135">
        <v>186.9</v>
      </c>
      <c r="F72" s="135">
        <v>184.9</v>
      </c>
      <c r="G72" s="135">
        <v>2</v>
      </c>
      <c r="H72" s="135">
        <v>5000</v>
      </c>
      <c r="I72" s="135">
        <v>10000</v>
      </c>
      <c r="J72" s="131"/>
    </row>
    <row r="73" spans="1:10" x14ac:dyDescent="0.3">
      <c r="A73" s="131"/>
      <c r="B73" s="134">
        <v>42816</v>
      </c>
      <c r="C73" s="135" t="s">
        <v>23</v>
      </c>
      <c r="D73" s="135" t="s">
        <v>28</v>
      </c>
      <c r="E73" s="135">
        <v>183.5</v>
      </c>
      <c r="F73" s="135">
        <v>184.5</v>
      </c>
      <c r="G73" s="135">
        <v>-1</v>
      </c>
      <c r="H73" s="135">
        <v>5000</v>
      </c>
      <c r="I73" s="135">
        <v>-5000</v>
      </c>
      <c r="J73" s="131"/>
    </row>
    <row r="74" spans="1:10" x14ac:dyDescent="0.3">
      <c r="A74" s="131"/>
      <c r="B74" s="134">
        <v>42817</v>
      </c>
      <c r="C74" s="135" t="s">
        <v>16</v>
      </c>
      <c r="D74" s="135" t="s">
        <v>28</v>
      </c>
      <c r="E74" s="135">
        <v>186.2</v>
      </c>
      <c r="F74" s="135">
        <v>186.7</v>
      </c>
      <c r="G74" s="135">
        <v>0.5</v>
      </c>
      <c r="H74" s="135">
        <v>5000</v>
      </c>
      <c r="I74" s="135">
        <v>2500</v>
      </c>
      <c r="J74" s="131"/>
    </row>
    <row r="75" spans="1:10" x14ac:dyDescent="0.3">
      <c r="A75" s="131"/>
      <c r="B75" s="134">
        <v>42818</v>
      </c>
      <c r="C75" s="135" t="s">
        <v>23</v>
      </c>
      <c r="D75" s="135" t="s">
        <v>29</v>
      </c>
      <c r="E75" s="135">
        <v>382.5</v>
      </c>
      <c r="F75" s="135">
        <v>379.5</v>
      </c>
      <c r="G75" s="135">
        <v>3</v>
      </c>
      <c r="H75" s="135">
        <v>1000</v>
      </c>
      <c r="I75" s="135">
        <v>3000</v>
      </c>
      <c r="J75" s="131"/>
    </row>
    <row r="76" spans="1:10" x14ac:dyDescent="0.3">
      <c r="A76" s="131"/>
      <c r="B76" s="134">
        <v>42818</v>
      </c>
      <c r="C76" s="135" t="s">
        <v>23</v>
      </c>
      <c r="D76" s="135" t="s">
        <v>865</v>
      </c>
      <c r="E76" s="135">
        <v>184.2</v>
      </c>
      <c r="F76" s="135">
        <v>182.7</v>
      </c>
      <c r="G76" s="135">
        <v>1.5</v>
      </c>
      <c r="H76" s="135">
        <v>5000</v>
      </c>
      <c r="I76" s="135">
        <v>7500</v>
      </c>
      <c r="J76" s="131"/>
    </row>
    <row r="77" spans="1:10" x14ac:dyDescent="0.3">
      <c r="A77" s="131"/>
      <c r="B77" s="134">
        <v>42821</v>
      </c>
      <c r="C77" s="135" t="s">
        <v>23</v>
      </c>
      <c r="D77" s="135" t="s">
        <v>29</v>
      </c>
      <c r="E77" s="135">
        <v>374.5</v>
      </c>
      <c r="F77" s="135">
        <v>370.5</v>
      </c>
      <c r="G77" s="135">
        <v>4</v>
      </c>
      <c r="H77" s="135">
        <v>1000</v>
      </c>
      <c r="I77" s="135">
        <v>4000</v>
      </c>
      <c r="J77" s="131"/>
    </row>
    <row r="78" spans="1:10" s="173" customFormat="1" ht="18" x14ac:dyDescent="0.35">
      <c r="A78" s="146"/>
      <c r="B78" s="134">
        <v>42821</v>
      </c>
      <c r="C78" s="135" t="s">
        <v>23</v>
      </c>
      <c r="D78" s="135" t="s">
        <v>865</v>
      </c>
      <c r="E78" s="135">
        <v>180</v>
      </c>
      <c r="F78" s="135">
        <v>178</v>
      </c>
      <c r="G78" s="135">
        <v>2</v>
      </c>
      <c r="H78" s="135">
        <v>5000</v>
      </c>
      <c r="I78" s="135">
        <v>10000</v>
      </c>
      <c r="J78" s="146"/>
    </row>
    <row r="79" spans="1:10" x14ac:dyDescent="0.3">
      <c r="A79" s="131"/>
      <c r="B79" s="134">
        <v>42822</v>
      </c>
      <c r="C79" s="135" t="s">
        <v>23</v>
      </c>
      <c r="D79" s="135" t="s">
        <v>28</v>
      </c>
      <c r="E79" s="135">
        <v>179.6</v>
      </c>
      <c r="F79" s="135">
        <v>180.6</v>
      </c>
      <c r="G79" s="135">
        <v>-1</v>
      </c>
      <c r="H79" s="135">
        <v>5000</v>
      </c>
      <c r="I79" s="135">
        <v>-5000</v>
      </c>
      <c r="J79" s="131"/>
    </row>
    <row r="80" spans="1:10" x14ac:dyDescent="0.3">
      <c r="A80" s="131"/>
      <c r="B80" s="134">
        <v>42823</v>
      </c>
      <c r="C80" s="135" t="s">
        <v>23</v>
      </c>
      <c r="D80" s="135" t="s">
        <v>29</v>
      </c>
      <c r="E80" s="135">
        <v>385</v>
      </c>
      <c r="F80" s="135">
        <v>383</v>
      </c>
      <c r="G80" s="135">
        <v>2</v>
      </c>
      <c r="H80" s="135">
        <v>1000</v>
      </c>
      <c r="I80" s="135">
        <v>2000</v>
      </c>
      <c r="J80" s="131"/>
    </row>
    <row r="81" spans="1:10" x14ac:dyDescent="0.3">
      <c r="A81" s="131"/>
      <c r="B81" s="134">
        <v>42824</v>
      </c>
      <c r="C81" s="135" t="s">
        <v>23</v>
      </c>
      <c r="D81" s="135" t="s">
        <v>28</v>
      </c>
      <c r="E81" s="135">
        <v>183.5</v>
      </c>
      <c r="F81" s="135">
        <v>184.5</v>
      </c>
      <c r="G81" s="135">
        <v>-1</v>
      </c>
      <c r="H81" s="135">
        <v>5000</v>
      </c>
      <c r="I81" s="135">
        <v>-5000</v>
      </c>
      <c r="J81" s="131"/>
    </row>
    <row r="82" spans="1:10" x14ac:dyDescent="0.3">
      <c r="A82" s="131"/>
      <c r="B82" s="134">
        <v>42825</v>
      </c>
      <c r="C82" s="135" t="s">
        <v>23</v>
      </c>
      <c r="D82" s="135" t="s">
        <v>28</v>
      </c>
      <c r="E82" s="135">
        <v>183</v>
      </c>
      <c r="F82" s="135">
        <v>181</v>
      </c>
      <c r="G82" s="135">
        <v>2</v>
      </c>
      <c r="H82" s="135">
        <v>5000</v>
      </c>
      <c r="I82" s="135">
        <v>10000</v>
      </c>
      <c r="J82" s="131"/>
    </row>
    <row r="83" spans="1:10" x14ac:dyDescent="0.3">
      <c r="A83" s="131"/>
      <c r="B83" s="134">
        <v>42825</v>
      </c>
      <c r="C83" s="135" t="s">
        <v>23</v>
      </c>
      <c r="D83" s="135" t="s">
        <v>864</v>
      </c>
      <c r="E83" s="135">
        <v>383</v>
      </c>
      <c r="F83" s="135">
        <v>379</v>
      </c>
      <c r="G83" s="135">
        <v>4</v>
      </c>
      <c r="H83" s="135">
        <v>1000</v>
      </c>
      <c r="I83" s="135">
        <v>4000</v>
      </c>
      <c r="J83" s="131"/>
    </row>
    <row r="84" spans="1:10" ht="21" x14ac:dyDescent="0.4">
      <c r="A84" s="131"/>
      <c r="I84" s="176">
        <v>64700</v>
      </c>
      <c r="J84" s="131"/>
    </row>
    <row r="85" spans="1:10" ht="18" x14ac:dyDescent="0.35">
      <c r="A85" s="146"/>
      <c r="J85" s="146"/>
    </row>
    <row r="86" spans="1:10" x14ac:dyDescent="0.3">
      <c r="A86" s="131"/>
      <c r="B86" s="172"/>
      <c r="C86" s="172" t="s">
        <v>866</v>
      </c>
      <c r="D86" s="172"/>
      <c r="J86" s="131"/>
    </row>
    <row r="87" spans="1:10" x14ac:dyDescent="0.3">
      <c r="A87" s="131"/>
      <c r="J87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3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71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10.33203125" style="75" customWidth="1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3">
        <v>42826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42828</v>
      </c>
      <c r="C6" s="135" t="s">
        <v>23</v>
      </c>
      <c r="D6" s="135" t="s">
        <v>24</v>
      </c>
      <c r="E6" s="135">
        <v>28510</v>
      </c>
      <c r="F6" s="135">
        <v>28610</v>
      </c>
      <c r="G6" s="135">
        <v>-100</v>
      </c>
      <c r="H6" s="135">
        <v>100</v>
      </c>
      <c r="I6" s="75">
        <v>-10000</v>
      </c>
      <c r="J6" s="17"/>
      <c r="K6" s="71"/>
    </row>
    <row r="7" spans="1:15" x14ac:dyDescent="0.3">
      <c r="A7" s="17"/>
      <c r="B7" s="134">
        <v>42830</v>
      </c>
      <c r="C7" s="135" t="s">
        <v>23</v>
      </c>
      <c r="D7" s="135" t="s">
        <v>24</v>
      </c>
      <c r="E7" s="135">
        <v>29000</v>
      </c>
      <c r="F7" s="135">
        <v>28840</v>
      </c>
      <c r="G7" s="135">
        <v>200</v>
      </c>
      <c r="H7" s="135">
        <v>100</v>
      </c>
      <c r="I7" s="75">
        <v>20000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42831</v>
      </c>
      <c r="C8" s="151" t="s">
        <v>23</v>
      </c>
      <c r="D8" s="151" t="s">
        <v>24</v>
      </c>
      <c r="E8" s="151">
        <v>28940</v>
      </c>
      <c r="F8" s="151">
        <v>28740</v>
      </c>
      <c r="G8" s="151">
        <v>200</v>
      </c>
      <c r="H8" s="151">
        <v>100</v>
      </c>
      <c r="I8" s="75">
        <v>20000</v>
      </c>
      <c r="J8" s="17"/>
      <c r="K8" s="175" t="s">
        <v>257</v>
      </c>
      <c r="L8" s="165" t="s">
        <v>265</v>
      </c>
      <c r="M8" s="101" t="s">
        <v>291</v>
      </c>
      <c r="N8" s="101" t="s">
        <v>264</v>
      </c>
      <c r="O8" s="75">
        <v>0</v>
      </c>
    </row>
    <row r="9" spans="1:15" x14ac:dyDescent="0.3">
      <c r="A9" s="17"/>
      <c r="B9" s="134">
        <v>42832</v>
      </c>
      <c r="C9" s="151" t="s">
        <v>23</v>
      </c>
      <c r="D9" s="151" t="s">
        <v>24</v>
      </c>
      <c r="E9" s="151">
        <v>28900</v>
      </c>
      <c r="F9" s="151">
        <v>28800</v>
      </c>
      <c r="G9" s="151">
        <v>100</v>
      </c>
      <c r="H9" s="151">
        <v>100</v>
      </c>
      <c r="I9" s="75">
        <v>10000</v>
      </c>
      <c r="J9" s="17"/>
      <c r="K9" s="175" t="s">
        <v>258</v>
      </c>
      <c r="L9" s="165" t="s">
        <v>265</v>
      </c>
      <c r="M9" s="101" t="s">
        <v>625</v>
      </c>
      <c r="N9" s="101" t="s">
        <v>522</v>
      </c>
      <c r="O9" s="75">
        <v>0</v>
      </c>
    </row>
    <row r="10" spans="1:15" x14ac:dyDescent="0.3">
      <c r="A10" s="17"/>
      <c r="B10" s="134">
        <v>42835</v>
      </c>
      <c r="C10" s="151" t="s">
        <v>23</v>
      </c>
      <c r="D10" s="151" t="s">
        <v>24</v>
      </c>
      <c r="E10" s="151">
        <v>28760</v>
      </c>
      <c r="F10" s="151">
        <v>28660</v>
      </c>
      <c r="G10" s="151">
        <v>100</v>
      </c>
      <c r="H10" s="151">
        <v>100</v>
      </c>
      <c r="I10" s="75">
        <v>10000</v>
      </c>
      <c r="J10" s="17"/>
      <c r="K10" s="175" t="s">
        <v>259</v>
      </c>
      <c r="L10" s="165" t="s">
        <v>265</v>
      </c>
      <c r="M10" s="101" t="s">
        <v>625</v>
      </c>
      <c r="N10" s="101" t="s">
        <v>522</v>
      </c>
      <c r="O10" s="75">
        <v>0</v>
      </c>
    </row>
    <row r="11" spans="1:15" x14ac:dyDescent="0.3">
      <c r="A11" s="17"/>
      <c r="B11" s="134">
        <v>42836</v>
      </c>
      <c r="C11" s="135" t="s">
        <v>23</v>
      </c>
      <c r="D11" s="135" t="s">
        <v>24</v>
      </c>
      <c r="E11" s="135">
        <v>28810</v>
      </c>
      <c r="F11" s="135">
        <v>28910</v>
      </c>
      <c r="G11" s="135">
        <v>-100</v>
      </c>
      <c r="H11" s="135">
        <v>100</v>
      </c>
      <c r="I11" s="75">
        <v>-10000</v>
      </c>
      <c r="J11" s="17"/>
      <c r="K11" s="175" t="s">
        <v>300</v>
      </c>
      <c r="L11" s="104" t="s">
        <v>269</v>
      </c>
      <c r="M11" s="104" t="s">
        <v>868</v>
      </c>
      <c r="N11" s="104" t="s">
        <v>298</v>
      </c>
      <c r="O11" s="172">
        <v>0</v>
      </c>
    </row>
    <row r="12" spans="1:15" x14ac:dyDescent="0.3">
      <c r="A12" s="17"/>
      <c r="B12" s="134">
        <v>42837</v>
      </c>
      <c r="C12" s="135" t="s">
        <v>23</v>
      </c>
      <c r="D12" s="135" t="s">
        <v>24</v>
      </c>
      <c r="E12" s="135">
        <v>29240</v>
      </c>
      <c r="F12" s="135">
        <v>29180</v>
      </c>
      <c r="G12" s="135">
        <v>60</v>
      </c>
      <c r="H12" s="135">
        <v>100</v>
      </c>
      <c r="I12" s="75">
        <v>6000</v>
      </c>
      <c r="J12" s="17"/>
    </row>
    <row r="13" spans="1:15" x14ac:dyDescent="0.3">
      <c r="A13" s="17"/>
      <c r="B13" s="134">
        <v>42838</v>
      </c>
      <c r="C13" s="135" t="s">
        <v>23</v>
      </c>
      <c r="D13" s="135" t="s">
        <v>24</v>
      </c>
      <c r="E13" s="135">
        <v>29380</v>
      </c>
      <c r="F13" s="135">
        <v>29290</v>
      </c>
      <c r="G13" s="135">
        <v>90</v>
      </c>
      <c r="H13" s="135">
        <v>100</v>
      </c>
      <c r="I13" s="75">
        <v>9000</v>
      </c>
      <c r="J13" s="17"/>
      <c r="K13" s="71"/>
    </row>
    <row r="14" spans="1:15" x14ac:dyDescent="0.3">
      <c r="A14" s="17"/>
      <c r="B14" s="134">
        <v>42842</v>
      </c>
      <c r="C14" s="135" t="s">
        <v>23</v>
      </c>
      <c r="D14" s="135" t="s">
        <v>24</v>
      </c>
      <c r="E14" s="135">
        <v>29460</v>
      </c>
      <c r="F14" s="135">
        <v>29395</v>
      </c>
      <c r="G14" s="135">
        <v>65</v>
      </c>
      <c r="H14" s="135">
        <v>100</v>
      </c>
      <c r="I14" s="75">
        <v>6500</v>
      </c>
      <c r="J14" s="17"/>
      <c r="K14" s="132"/>
      <c r="L14" s="127" t="s">
        <v>832</v>
      </c>
      <c r="M14" s="128"/>
      <c r="N14" s="133" t="s">
        <v>869</v>
      </c>
    </row>
    <row r="15" spans="1:15" x14ac:dyDescent="0.3">
      <c r="A15" s="17"/>
      <c r="B15" s="134">
        <v>42843</v>
      </c>
      <c r="C15" s="135" t="s">
        <v>23</v>
      </c>
      <c r="D15" s="135" t="s">
        <v>24</v>
      </c>
      <c r="E15" s="135">
        <v>29360</v>
      </c>
      <c r="F15" s="135">
        <v>29260</v>
      </c>
      <c r="G15" s="135">
        <v>100</v>
      </c>
      <c r="H15" s="135">
        <v>100</v>
      </c>
      <c r="I15" s="75">
        <v>10000</v>
      </c>
      <c r="J15" s="17"/>
      <c r="K15" s="71"/>
    </row>
    <row r="16" spans="1:15" x14ac:dyDescent="0.3">
      <c r="A16" s="17"/>
      <c r="B16" s="134">
        <v>42844</v>
      </c>
      <c r="C16" s="135" t="s">
        <v>23</v>
      </c>
      <c r="D16" s="135" t="s">
        <v>24</v>
      </c>
      <c r="E16" s="135">
        <v>29340</v>
      </c>
      <c r="F16" s="135">
        <v>29240</v>
      </c>
      <c r="G16" s="135">
        <v>100</v>
      </c>
      <c r="H16" s="135">
        <v>100</v>
      </c>
      <c r="I16" s="75">
        <v>10000</v>
      </c>
      <c r="J16" s="17"/>
      <c r="K16" s="71"/>
    </row>
    <row r="17" spans="1:11" x14ac:dyDescent="0.3">
      <c r="A17" s="17"/>
      <c r="B17" s="134">
        <v>42845</v>
      </c>
      <c r="C17" s="135" t="s">
        <v>23</v>
      </c>
      <c r="D17" s="135" t="s">
        <v>24</v>
      </c>
      <c r="E17" s="135">
        <v>29260</v>
      </c>
      <c r="F17" s="135">
        <v>29300</v>
      </c>
      <c r="G17" s="135">
        <v>-40</v>
      </c>
      <c r="H17" s="135">
        <v>100</v>
      </c>
      <c r="I17" s="75">
        <v>-4000</v>
      </c>
      <c r="J17" s="17"/>
      <c r="K17" s="71"/>
    </row>
    <row r="18" spans="1:11" x14ac:dyDescent="0.3">
      <c r="A18" s="17"/>
      <c r="B18" s="134">
        <v>42846</v>
      </c>
      <c r="C18" s="135" t="s">
        <v>23</v>
      </c>
      <c r="D18" s="135" t="s">
        <v>24</v>
      </c>
      <c r="E18" s="135">
        <v>29290</v>
      </c>
      <c r="F18" s="135">
        <v>29390</v>
      </c>
      <c r="G18" s="135">
        <v>-100</v>
      </c>
      <c r="H18" s="135">
        <v>100</v>
      </c>
      <c r="I18" s="75">
        <v>-10000</v>
      </c>
      <c r="J18" s="17"/>
      <c r="K18" s="71"/>
    </row>
    <row r="19" spans="1:11" x14ac:dyDescent="0.3">
      <c r="A19" s="17"/>
      <c r="B19" s="134">
        <v>42849</v>
      </c>
      <c r="C19" s="135" t="s">
        <v>23</v>
      </c>
      <c r="D19" s="135" t="s">
        <v>24</v>
      </c>
      <c r="E19" s="135">
        <v>29090</v>
      </c>
      <c r="F19" s="135">
        <v>28990</v>
      </c>
      <c r="G19" s="135">
        <v>100</v>
      </c>
      <c r="H19" s="135">
        <v>100</v>
      </c>
      <c r="I19" s="75">
        <v>10000</v>
      </c>
      <c r="J19" s="17"/>
      <c r="K19" s="71"/>
    </row>
    <row r="20" spans="1:11" x14ac:dyDescent="0.3">
      <c r="A20" s="17"/>
      <c r="B20" s="134">
        <v>42850</v>
      </c>
      <c r="C20" s="135" t="s">
        <v>23</v>
      </c>
      <c r="D20" s="135" t="s">
        <v>24</v>
      </c>
      <c r="E20" s="135">
        <v>29000</v>
      </c>
      <c r="F20" s="135">
        <v>28800</v>
      </c>
      <c r="G20" s="135">
        <v>200</v>
      </c>
      <c r="H20" s="135">
        <v>100</v>
      </c>
      <c r="I20" s="75">
        <v>20000</v>
      </c>
      <c r="J20" s="17"/>
      <c r="K20" s="71"/>
    </row>
    <row r="21" spans="1:11" x14ac:dyDescent="0.3">
      <c r="A21" s="17"/>
      <c r="B21" s="134">
        <v>42851</v>
      </c>
      <c r="C21" s="135" t="s">
        <v>23</v>
      </c>
      <c r="D21" s="135" t="s">
        <v>24</v>
      </c>
      <c r="E21" s="135">
        <v>28720</v>
      </c>
      <c r="F21" s="135">
        <v>28700</v>
      </c>
      <c r="G21" s="135">
        <v>20</v>
      </c>
      <c r="H21" s="135">
        <v>100</v>
      </c>
      <c r="I21" s="75">
        <v>2000</v>
      </c>
      <c r="J21" s="17"/>
      <c r="K21" s="71"/>
    </row>
    <row r="22" spans="1:11" x14ac:dyDescent="0.3">
      <c r="A22" s="17"/>
      <c r="B22" s="134">
        <v>42852</v>
      </c>
      <c r="C22" s="135" t="s">
        <v>23</v>
      </c>
      <c r="D22" s="135" t="s">
        <v>24</v>
      </c>
      <c r="E22" s="135">
        <v>28780</v>
      </c>
      <c r="F22" s="135">
        <v>28730</v>
      </c>
      <c r="G22" s="135">
        <v>50</v>
      </c>
      <c r="H22" s="135">
        <v>100</v>
      </c>
      <c r="I22" s="75">
        <v>5000</v>
      </c>
      <c r="J22" s="17"/>
      <c r="K22" s="71"/>
    </row>
    <row r="23" spans="1:11" x14ac:dyDescent="0.3">
      <c r="A23" s="17"/>
      <c r="B23" s="134">
        <v>42853</v>
      </c>
      <c r="C23" s="135" t="s">
        <v>867</v>
      </c>
      <c r="D23" s="135" t="s">
        <v>24</v>
      </c>
      <c r="E23" s="135">
        <v>28830</v>
      </c>
      <c r="F23" s="135">
        <v>28895</v>
      </c>
      <c r="G23" s="135">
        <v>65</v>
      </c>
      <c r="H23" s="135">
        <v>100</v>
      </c>
      <c r="I23" s="75">
        <v>6500</v>
      </c>
      <c r="J23" s="17"/>
      <c r="K23" s="71"/>
    </row>
    <row r="24" spans="1:11" ht="25.8" x14ac:dyDescent="0.5">
      <c r="A24" s="17"/>
      <c r="C24" s="157"/>
      <c r="D24" s="156"/>
      <c r="E24" s="158"/>
      <c r="F24" s="157"/>
      <c r="G24" s="157"/>
      <c r="H24" s="157"/>
      <c r="I24" s="178">
        <v>109000</v>
      </c>
      <c r="J24" s="17"/>
    </row>
    <row r="25" spans="1:11" x14ac:dyDescent="0.3">
      <c r="A25" s="17"/>
      <c r="C25" s="157"/>
      <c r="D25" s="158"/>
      <c r="E25" s="158"/>
      <c r="F25" s="157"/>
      <c r="G25" s="157"/>
      <c r="H25" s="157"/>
      <c r="J25" s="17"/>
    </row>
    <row r="26" spans="1:11" x14ac:dyDescent="0.3">
      <c r="A26" s="17"/>
      <c r="B26" s="164" t="s">
        <v>789</v>
      </c>
      <c r="C26" s="159"/>
      <c r="D26" s="160"/>
      <c r="E26" s="159"/>
      <c r="F26" s="159"/>
      <c r="G26" s="159"/>
      <c r="H26" s="159"/>
      <c r="I26" s="159"/>
      <c r="J26" s="17"/>
    </row>
    <row r="27" spans="1:11" x14ac:dyDescent="0.3">
      <c r="A27" s="17"/>
      <c r="B27" s="134">
        <v>42828</v>
      </c>
      <c r="C27" s="135" t="s">
        <v>23</v>
      </c>
      <c r="D27" s="135" t="s">
        <v>25</v>
      </c>
      <c r="E27" s="135">
        <v>3295</v>
      </c>
      <c r="F27" s="135">
        <v>3270</v>
      </c>
      <c r="G27" s="135">
        <v>25</v>
      </c>
      <c r="H27" s="135">
        <v>100</v>
      </c>
      <c r="I27" s="75">
        <v>2500</v>
      </c>
      <c r="J27" s="17"/>
    </row>
    <row r="28" spans="1:11" x14ac:dyDescent="0.3">
      <c r="A28" s="17"/>
      <c r="B28" s="134">
        <v>42830</v>
      </c>
      <c r="C28" s="135" t="s">
        <v>23</v>
      </c>
      <c r="D28" s="135" t="s">
        <v>25</v>
      </c>
      <c r="E28" s="135">
        <v>3360</v>
      </c>
      <c r="F28" s="135">
        <v>3320</v>
      </c>
      <c r="G28" s="135">
        <v>40</v>
      </c>
      <c r="H28" s="135">
        <v>100</v>
      </c>
      <c r="I28" s="75">
        <v>4000</v>
      </c>
      <c r="J28" s="17"/>
    </row>
    <row r="29" spans="1:11" x14ac:dyDescent="0.3">
      <c r="A29" s="17"/>
      <c r="B29" s="134">
        <v>42831</v>
      </c>
      <c r="C29" s="135" t="s">
        <v>23</v>
      </c>
      <c r="D29" s="135" t="s">
        <v>25</v>
      </c>
      <c r="E29" s="135">
        <v>3325</v>
      </c>
      <c r="F29" s="135">
        <v>3344</v>
      </c>
      <c r="G29" s="135">
        <v>-19</v>
      </c>
      <c r="H29" s="135">
        <v>100</v>
      </c>
      <c r="I29" s="75">
        <v>-1900</v>
      </c>
      <c r="J29" s="17"/>
    </row>
    <row r="30" spans="1:11" x14ac:dyDescent="0.3">
      <c r="A30" s="17"/>
      <c r="B30" s="134">
        <v>42832</v>
      </c>
      <c r="C30" s="135" t="s">
        <v>23</v>
      </c>
      <c r="D30" s="135" t="s">
        <v>25</v>
      </c>
      <c r="E30" s="135">
        <v>3395</v>
      </c>
      <c r="F30" s="135">
        <v>3335</v>
      </c>
      <c r="G30" s="135">
        <v>60</v>
      </c>
      <c r="H30" s="135">
        <v>100</v>
      </c>
      <c r="I30" s="75">
        <v>6000</v>
      </c>
      <c r="J30" s="17"/>
    </row>
    <row r="31" spans="1:11" x14ac:dyDescent="0.3">
      <c r="A31" s="17"/>
      <c r="B31" s="134">
        <v>42835</v>
      </c>
      <c r="C31" s="135" t="s">
        <v>23</v>
      </c>
      <c r="D31" s="135" t="s">
        <v>25</v>
      </c>
      <c r="E31" s="135">
        <v>3395</v>
      </c>
      <c r="F31" s="135">
        <v>3430</v>
      </c>
      <c r="G31" s="135">
        <v>-35</v>
      </c>
      <c r="H31" s="135">
        <v>100</v>
      </c>
      <c r="I31" s="75">
        <v>-3500</v>
      </c>
      <c r="J31" s="17"/>
    </row>
    <row r="32" spans="1:11" x14ac:dyDescent="0.3">
      <c r="A32" s="17"/>
      <c r="B32" s="134">
        <v>42836</v>
      </c>
      <c r="C32" s="135" t="s">
        <v>23</v>
      </c>
      <c r="D32" s="135" t="s">
        <v>25</v>
      </c>
      <c r="E32" s="135">
        <v>3420</v>
      </c>
      <c r="F32" s="135">
        <v>3455</v>
      </c>
      <c r="G32" s="135">
        <v>-35</v>
      </c>
      <c r="H32" s="135">
        <v>100</v>
      </c>
      <c r="I32" s="75">
        <v>-3500</v>
      </c>
      <c r="J32" s="17"/>
    </row>
    <row r="33" spans="1:10" x14ac:dyDescent="0.3">
      <c r="A33" s="17"/>
      <c r="B33" s="134">
        <v>42837</v>
      </c>
      <c r="C33" s="135" t="s">
        <v>23</v>
      </c>
      <c r="D33" s="135" t="s">
        <v>25</v>
      </c>
      <c r="E33" s="135">
        <v>3470</v>
      </c>
      <c r="F33" s="135">
        <v>3435</v>
      </c>
      <c r="G33" s="135">
        <v>-35</v>
      </c>
      <c r="H33" s="135">
        <v>100</v>
      </c>
      <c r="I33" s="75">
        <v>-3500</v>
      </c>
      <c r="J33" s="17"/>
    </row>
    <row r="34" spans="1:10" x14ac:dyDescent="0.3">
      <c r="A34" s="17"/>
      <c r="B34" s="134">
        <v>42838</v>
      </c>
      <c r="C34" s="135" t="s">
        <v>23</v>
      </c>
      <c r="D34" s="135" t="s">
        <v>25</v>
      </c>
      <c r="E34" s="135">
        <v>3425</v>
      </c>
      <c r="F34" s="135">
        <v>3440</v>
      </c>
      <c r="G34" s="135">
        <v>-15</v>
      </c>
      <c r="H34" s="135">
        <v>100</v>
      </c>
      <c r="I34" s="75">
        <v>-1500</v>
      </c>
      <c r="J34" s="17"/>
    </row>
    <row r="35" spans="1:10" x14ac:dyDescent="0.3">
      <c r="A35" s="17"/>
      <c r="B35" s="134">
        <v>42842</v>
      </c>
      <c r="C35" s="135" t="s">
        <v>23</v>
      </c>
      <c r="D35" s="135" t="s">
        <v>25</v>
      </c>
      <c r="E35" s="135">
        <v>3395</v>
      </c>
      <c r="F35" s="135">
        <v>3430</v>
      </c>
      <c r="G35" s="135">
        <v>35</v>
      </c>
      <c r="H35" s="135">
        <v>100</v>
      </c>
      <c r="I35" s="75">
        <v>3500</v>
      </c>
      <c r="J35" s="17"/>
    </row>
    <row r="36" spans="1:10" x14ac:dyDescent="0.3">
      <c r="A36" s="17"/>
      <c r="B36" s="134">
        <v>42843</v>
      </c>
      <c r="C36" s="135" t="s">
        <v>23</v>
      </c>
      <c r="D36" s="135" t="s">
        <v>25</v>
      </c>
      <c r="E36" s="135">
        <v>3380</v>
      </c>
      <c r="F36" s="135">
        <v>3410</v>
      </c>
      <c r="G36" s="135">
        <v>30</v>
      </c>
      <c r="H36" s="135">
        <v>100</v>
      </c>
      <c r="I36" s="75">
        <v>3000</v>
      </c>
      <c r="J36" s="17"/>
    </row>
    <row r="37" spans="1:10" x14ac:dyDescent="0.3">
      <c r="A37" s="17"/>
      <c r="B37" s="134">
        <v>42844</v>
      </c>
      <c r="C37" s="135" t="s">
        <v>23</v>
      </c>
      <c r="D37" s="135" t="s">
        <v>25</v>
      </c>
      <c r="E37" s="135">
        <v>3425</v>
      </c>
      <c r="F37" s="135">
        <v>3400</v>
      </c>
      <c r="G37" s="135">
        <v>-25</v>
      </c>
      <c r="H37" s="135">
        <v>100</v>
      </c>
      <c r="I37" s="75">
        <v>-2500</v>
      </c>
      <c r="J37" s="17"/>
    </row>
    <row r="38" spans="1:10" x14ac:dyDescent="0.3">
      <c r="A38" s="17"/>
      <c r="B38" s="134">
        <v>42845</v>
      </c>
      <c r="C38" s="135" t="s">
        <v>23</v>
      </c>
      <c r="D38" s="135" t="s">
        <v>25</v>
      </c>
      <c r="E38" s="135">
        <v>3330</v>
      </c>
      <c r="F38" s="135">
        <v>3290</v>
      </c>
      <c r="G38" s="135">
        <v>40</v>
      </c>
      <c r="H38" s="135">
        <v>100</v>
      </c>
      <c r="I38" s="75">
        <v>4000</v>
      </c>
      <c r="J38" s="17"/>
    </row>
    <row r="39" spans="1:10" x14ac:dyDescent="0.3">
      <c r="A39" s="17"/>
      <c r="B39" s="134">
        <v>42846</v>
      </c>
      <c r="C39" s="135" t="s">
        <v>23</v>
      </c>
      <c r="D39" s="135" t="s">
        <v>25</v>
      </c>
      <c r="E39" s="135">
        <v>3290</v>
      </c>
      <c r="F39" s="135">
        <v>3220</v>
      </c>
      <c r="G39" s="135">
        <v>70</v>
      </c>
      <c r="H39" s="135">
        <v>100</v>
      </c>
      <c r="I39" s="75">
        <v>7000</v>
      </c>
      <c r="J39" s="17"/>
    </row>
    <row r="40" spans="1:10" x14ac:dyDescent="0.3">
      <c r="A40" s="17"/>
      <c r="B40" s="134">
        <v>42849</v>
      </c>
      <c r="C40" s="135" t="s">
        <v>23</v>
      </c>
      <c r="D40" s="135" t="s">
        <v>25</v>
      </c>
      <c r="E40" s="135">
        <v>3245</v>
      </c>
      <c r="F40" s="135">
        <v>3195</v>
      </c>
      <c r="G40" s="135">
        <v>50</v>
      </c>
      <c r="H40" s="135">
        <v>100</v>
      </c>
      <c r="I40" s="75">
        <v>5000</v>
      </c>
      <c r="J40" s="17"/>
    </row>
    <row r="41" spans="1:10" x14ac:dyDescent="0.3">
      <c r="A41" s="17"/>
      <c r="B41" s="134">
        <v>42850</v>
      </c>
      <c r="C41" s="135" t="s">
        <v>23</v>
      </c>
      <c r="D41" s="135" t="s">
        <v>25</v>
      </c>
      <c r="E41" s="135">
        <v>3180</v>
      </c>
      <c r="F41" s="135">
        <v>3160</v>
      </c>
      <c r="G41" s="135">
        <v>20</v>
      </c>
      <c r="H41" s="135">
        <v>100</v>
      </c>
      <c r="I41" s="75">
        <v>2000</v>
      </c>
      <c r="J41" s="17"/>
    </row>
    <row r="42" spans="1:10" x14ac:dyDescent="0.3">
      <c r="A42" s="17"/>
      <c r="B42" s="134">
        <v>42851</v>
      </c>
      <c r="C42" s="135" t="s">
        <v>23</v>
      </c>
      <c r="D42" s="135" t="s">
        <v>25</v>
      </c>
      <c r="E42" s="135">
        <v>3185</v>
      </c>
      <c r="F42" s="135">
        <v>3160</v>
      </c>
      <c r="G42" s="135">
        <v>25</v>
      </c>
      <c r="H42" s="135">
        <v>100</v>
      </c>
      <c r="I42" s="75">
        <v>2500</v>
      </c>
      <c r="J42" s="17"/>
    </row>
    <row r="43" spans="1:10" x14ac:dyDescent="0.3">
      <c r="A43" s="17"/>
      <c r="B43" s="134">
        <v>42852</v>
      </c>
      <c r="C43" s="135" t="s">
        <v>23</v>
      </c>
      <c r="D43" s="135" t="s">
        <v>25</v>
      </c>
      <c r="E43" s="135">
        <v>3175</v>
      </c>
      <c r="F43" s="135">
        <v>3105</v>
      </c>
      <c r="G43" s="135">
        <v>70</v>
      </c>
      <c r="H43" s="135">
        <v>100</v>
      </c>
      <c r="I43" s="75">
        <v>7000</v>
      </c>
      <c r="J43" s="17"/>
    </row>
    <row r="44" spans="1:10" x14ac:dyDescent="0.3">
      <c r="A44" s="17"/>
      <c r="B44" s="134">
        <v>42822</v>
      </c>
      <c r="C44" s="135" t="s">
        <v>23</v>
      </c>
      <c r="D44" s="135" t="s">
        <v>25</v>
      </c>
      <c r="E44" s="135">
        <v>3180</v>
      </c>
      <c r="F44" s="135">
        <v>3155</v>
      </c>
      <c r="G44" s="135">
        <v>25</v>
      </c>
      <c r="H44" s="135">
        <v>100</v>
      </c>
      <c r="I44" s="75">
        <v>2500</v>
      </c>
      <c r="J44" s="17"/>
    </row>
    <row r="45" spans="1:10" ht="18" x14ac:dyDescent="0.35">
      <c r="A45" s="142"/>
      <c r="B45" s="134"/>
      <c r="C45" s="137"/>
      <c r="D45" s="167"/>
      <c r="E45" s="137"/>
      <c r="F45" s="137"/>
      <c r="G45" s="137"/>
      <c r="H45" s="168"/>
      <c r="I45" s="106">
        <v>32600</v>
      </c>
      <c r="J45" s="17"/>
    </row>
    <row r="46" spans="1:10" x14ac:dyDescent="0.3">
      <c r="A46" s="17"/>
      <c r="B46" s="71"/>
      <c r="C46" s="157"/>
      <c r="D46" s="158"/>
      <c r="E46" s="157"/>
      <c r="F46" s="157"/>
      <c r="G46" s="157"/>
      <c r="H46" s="157"/>
      <c r="I46" s="157"/>
      <c r="J46" s="17"/>
    </row>
    <row r="47" spans="1:10" x14ac:dyDescent="0.3">
      <c r="A47" s="17"/>
      <c r="B47" s="164" t="s">
        <v>788</v>
      </c>
      <c r="C47" s="159"/>
      <c r="D47" s="160"/>
      <c r="E47" s="159"/>
      <c r="F47" s="159"/>
      <c r="G47" s="159"/>
      <c r="H47" s="159"/>
      <c r="I47" s="64"/>
      <c r="J47" s="17"/>
    </row>
    <row r="48" spans="1:10" x14ac:dyDescent="0.3">
      <c r="A48" s="17"/>
      <c r="B48" s="134">
        <v>42828</v>
      </c>
      <c r="C48" s="135" t="s">
        <v>23</v>
      </c>
      <c r="D48" s="135" t="s">
        <v>29</v>
      </c>
      <c r="E48" s="135">
        <v>381</v>
      </c>
      <c r="F48" s="135">
        <v>375</v>
      </c>
      <c r="G48" s="135">
        <v>6</v>
      </c>
      <c r="H48" s="135">
        <v>1000</v>
      </c>
      <c r="I48" s="75">
        <v>6000</v>
      </c>
      <c r="J48" s="17"/>
    </row>
    <row r="49" spans="1:10" x14ac:dyDescent="0.3">
      <c r="A49" s="17"/>
      <c r="B49" s="134">
        <v>42830</v>
      </c>
      <c r="C49" s="135" t="s">
        <v>23</v>
      </c>
      <c r="D49" s="135" t="s">
        <v>28</v>
      </c>
      <c r="E49" s="135">
        <v>180.6</v>
      </c>
      <c r="F49" s="135">
        <v>179.6</v>
      </c>
      <c r="G49" s="135">
        <v>1</v>
      </c>
      <c r="H49" s="135">
        <v>5000</v>
      </c>
      <c r="I49" s="75">
        <v>5000</v>
      </c>
      <c r="J49" s="17"/>
    </row>
    <row r="50" spans="1:10" x14ac:dyDescent="0.3">
      <c r="A50" s="17"/>
      <c r="B50" s="134">
        <v>42831</v>
      </c>
      <c r="C50" s="135" t="s">
        <v>23</v>
      </c>
      <c r="D50" s="135" t="s">
        <v>29</v>
      </c>
      <c r="E50" s="135">
        <v>384</v>
      </c>
      <c r="F50" s="135">
        <v>380</v>
      </c>
      <c r="G50" s="135">
        <v>4</v>
      </c>
      <c r="H50" s="135">
        <v>1000</v>
      </c>
      <c r="I50" s="75">
        <v>4000</v>
      </c>
      <c r="J50" s="131"/>
    </row>
    <row r="51" spans="1:10" x14ac:dyDescent="0.3">
      <c r="A51" s="131"/>
      <c r="B51" s="134">
        <v>42832</v>
      </c>
      <c r="C51" s="135" t="s">
        <v>23</v>
      </c>
      <c r="D51" s="135" t="s">
        <v>29</v>
      </c>
      <c r="E51" s="135">
        <v>375.5</v>
      </c>
      <c r="F51" s="135">
        <v>371.5</v>
      </c>
      <c r="G51" s="135">
        <v>4</v>
      </c>
      <c r="H51" s="135">
        <v>1000</v>
      </c>
      <c r="I51" s="75">
        <v>4000</v>
      </c>
      <c r="J51" s="131"/>
    </row>
    <row r="52" spans="1:10" x14ac:dyDescent="0.3">
      <c r="A52" s="131"/>
      <c r="B52" s="134">
        <v>42835</v>
      </c>
      <c r="C52" s="135" t="s">
        <v>23</v>
      </c>
      <c r="D52" s="135" t="s">
        <v>29</v>
      </c>
      <c r="E52" s="135">
        <v>374.5</v>
      </c>
      <c r="F52" s="135">
        <v>372.5</v>
      </c>
      <c r="G52" s="135">
        <v>2</v>
      </c>
      <c r="H52" s="135">
        <v>1000</v>
      </c>
      <c r="I52" s="75">
        <v>2000</v>
      </c>
      <c r="J52" s="131"/>
    </row>
    <row r="53" spans="1:10" x14ac:dyDescent="0.3">
      <c r="A53" s="131"/>
      <c r="B53" s="134">
        <v>42836</v>
      </c>
      <c r="C53" s="135" t="s">
        <v>23</v>
      </c>
      <c r="D53" s="135" t="s">
        <v>28</v>
      </c>
      <c r="E53" s="135">
        <v>165.7</v>
      </c>
      <c r="F53" s="135">
        <v>166.7</v>
      </c>
      <c r="G53" s="135">
        <v>-1</v>
      </c>
      <c r="H53" s="135">
        <v>5000</v>
      </c>
      <c r="I53" s="75">
        <v>-5000</v>
      </c>
      <c r="J53" s="131"/>
    </row>
    <row r="54" spans="1:10" x14ac:dyDescent="0.3">
      <c r="A54" s="131"/>
      <c r="B54" s="134">
        <v>42837</v>
      </c>
      <c r="C54" s="135" t="s">
        <v>23</v>
      </c>
      <c r="D54" s="135" t="s">
        <v>29</v>
      </c>
      <c r="E54" s="135">
        <v>369.5</v>
      </c>
      <c r="F54" s="135">
        <v>364</v>
      </c>
      <c r="G54" s="135">
        <v>5.5</v>
      </c>
      <c r="H54" s="135">
        <v>1000</v>
      </c>
      <c r="I54" s="75">
        <v>5500</v>
      </c>
      <c r="J54" s="131"/>
    </row>
    <row r="55" spans="1:10" x14ac:dyDescent="0.3">
      <c r="A55" s="131"/>
      <c r="B55" s="134">
        <v>42838</v>
      </c>
      <c r="C55" s="135" t="s">
        <v>23</v>
      </c>
      <c r="D55" s="135" t="s">
        <v>29</v>
      </c>
      <c r="E55" s="135">
        <v>366.5</v>
      </c>
      <c r="F55" s="135">
        <v>365.5</v>
      </c>
      <c r="G55" s="135">
        <v>1</v>
      </c>
      <c r="H55" s="135">
        <v>1000</v>
      </c>
      <c r="I55" s="75">
        <v>1000</v>
      </c>
      <c r="J55" s="131"/>
    </row>
    <row r="56" spans="1:10" x14ac:dyDescent="0.3">
      <c r="A56" s="131"/>
      <c r="B56" s="134">
        <v>42842</v>
      </c>
      <c r="C56" s="135" t="s">
        <v>23</v>
      </c>
      <c r="D56" s="135" t="s">
        <v>29</v>
      </c>
      <c r="E56" s="135">
        <v>368</v>
      </c>
      <c r="F56" s="135">
        <v>369.5</v>
      </c>
      <c r="G56" s="135">
        <v>-1.5</v>
      </c>
      <c r="H56" s="135">
        <v>1000</v>
      </c>
      <c r="I56" s="75">
        <v>-1500</v>
      </c>
      <c r="J56" s="131"/>
    </row>
    <row r="57" spans="1:10" x14ac:dyDescent="0.3">
      <c r="A57" s="131"/>
      <c r="B57" s="134">
        <v>42843</v>
      </c>
      <c r="C57" s="135" t="s">
        <v>23</v>
      </c>
      <c r="D57" s="135" t="s">
        <v>28</v>
      </c>
      <c r="E57" s="135">
        <v>166.5</v>
      </c>
      <c r="F57" s="135">
        <v>164.5</v>
      </c>
      <c r="G57" s="135">
        <v>2</v>
      </c>
      <c r="H57" s="135">
        <v>5000</v>
      </c>
      <c r="I57" s="75">
        <v>10000</v>
      </c>
      <c r="J57" s="131"/>
    </row>
    <row r="58" spans="1:10" x14ac:dyDescent="0.3">
      <c r="A58" s="131"/>
      <c r="B58" s="134">
        <v>42844</v>
      </c>
      <c r="C58" s="135" t="s">
        <v>16</v>
      </c>
      <c r="D58" s="135" t="s">
        <v>28</v>
      </c>
      <c r="E58" s="135">
        <v>163.30000000000001</v>
      </c>
      <c r="F58" s="135">
        <v>165.3</v>
      </c>
      <c r="G58" s="135">
        <v>2</v>
      </c>
      <c r="H58" s="135">
        <v>5000</v>
      </c>
      <c r="I58" s="75">
        <v>10000</v>
      </c>
      <c r="J58" s="131"/>
    </row>
    <row r="59" spans="1:10" x14ac:dyDescent="0.3">
      <c r="A59" s="131"/>
      <c r="B59" s="134">
        <v>42845</v>
      </c>
      <c r="C59" s="135" t="s">
        <v>23</v>
      </c>
      <c r="D59" s="135" t="s">
        <v>29</v>
      </c>
      <c r="E59" s="135">
        <v>364</v>
      </c>
      <c r="F59" s="135">
        <v>362</v>
      </c>
      <c r="G59" s="135">
        <v>2</v>
      </c>
      <c r="H59" s="135">
        <v>1000</v>
      </c>
      <c r="I59" s="75">
        <v>2000</v>
      </c>
      <c r="J59" s="131"/>
    </row>
    <row r="60" spans="1:10" x14ac:dyDescent="0.3">
      <c r="A60" s="131"/>
      <c r="B60" s="134">
        <v>42846</v>
      </c>
      <c r="C60" s="135" t="s">
        <v>23</v>
      </c>
      <c r="D60" s="135" t="s">
        <v>29</v>
      </c>
      <c r="E60" s="135">
        <v>364</v>
      </c>
      <c r="F60" s="135">
        <v>362</v>
      </c>
      <c r="G60" s="135">
        <v>2</v>
      </c>
      <c r="H60" s="135">
        <v>1000</v>
      </c>
      <c r="I60" s="75">
        <v>2000</v>
      </c>
      <c r="J60" s="131"/>
    </row>
    <row r="61" spans="1:10" x14ac:dyDescent="0.3">
      <c r="A61" s="131"/>
      <c r="B61" s="134">
        <v>42849</v>
      </c>
      <c r="C61" s="135" t="s">
        <v>23</v>
      </c>
      <c r="D61" s="135" t="s">
        <v>56</v>
      </c>
      <c r="E61" s="135">
        <v>124.3</v>
      </c>
      <c r="F61" s="135">
        <v>124.6</v>
      </c>
      <c r="G61" s="135">
        <v>-0.3</v>
      </c>
      <c r="H61" s="135">
        <v>5000</v>
      </c>
      <c r="I61" s="75">
        <v>-1500</v>
      </c>
      <c r="J61" s="131"/>
    </row>
    <row r="62" spans="1:10" x14ac:dyDescent="0.3">
      <c r="A62" s="131"/>
      <c r="B62" s="134">
        <v>42850</v>
      </c>
      <c r="C62" s="135" t="s">
        <v>16</v>
      </c>
      <c r="D62" s="135" t="s">
        <v>28</v>
      </c>
      <c r="E62" s="135">
        <v>167.6</v>
      </c>
      <c r="F62" s="135">
        <v>166.6</v>
      </c>
      <c r="G62" s="135">
        <v>-1</v>
      </c>
      <c r="H62" s="135">
        <v>5000</v>
      </c>
      <c r="I62" s="75">
        <v>-5000</v>
      </c>
      <c r="J62" s="131"/>
    </row>
    <row r="63" spans="1:10" x14ac:dyDescent="0.3">
      <c r="A63" s="131"/>
      <c r="B63" s="134">
        <v>42851</v>
      </c>
      <c r="C63" s="135" t="s">
        <v>23</v>
      </c>
      <c r="D63" s="135" t="s">
        <v>29</v>
      </c>
      <c r="E63" s="135">
        <v>365</v>
      </c>
      <c r="F63" s="135">
        <v>366</v>
      </c>
      <c r="G63" s="135">
        <v>-1</v>
      </c>
      <c r="H63" s="135">
        <v>1000</v>
      </c>
      <c r="I63" s="75">
        <v>-1000</v>
      </c>
      <c r="J63" s="131"/>
    </row>
    <row r="64" spans="1:10" x14ac:dyDescent="0.3">
      <c r="A64" s="131"/>
      <c r="B64" s="134">
        <v>42852</v>
      </c>
      <c r="C64" s="135" t="s">
        <v>16</v>
      </c>
      <c r="D64" s="135" t="s">
        <v>28</v>
      </c>
      <c r="E64" s="135">
        <v>168</v>
      </c>
      <c r="F64" s="135">
        <v>167</v>
      </c>
      <c r="G64" s="135">
        <v>-1</v>
      </c>
      <c r="H64" s="135">
        <v>5000</v>
      </c>
      <c r="I64" s="75">
        <v>-5000</v>
      </c>
      <c r="J64" s="131"/>
    </row>
    <row r="65" spans="1:10" x14ac:dyDescent="0.3">
      <c r="A65" s="131"/>
      <c r="B65" s="134">
        <v>42853</v>
      </c>
      <c r="C65" s="135" t="s">
        <v>16</v>
      </c>
      <c r="D65" s="135" t="s">
        <v>28</v>
      </c>
      <c r="E65" s="135">
        <v>169.5</v>
      </c>
      <c r="F65" s="135">
        <v>170</v>
      </c>
      <c r="G65" s="135">
        <v>0.5</v>
      </c>
      <c r="H65" s="135">
        <v>5000</v>
      </c>
      <c r="I65" s="75">
        <v>2500</v>
      </c>
      <c r="J65" s="131"/>
    </row>
    <row r="66" spans="1:10" ht="23.4" x14ac:dyDescent="0.45">
      <c r="A66" s="131"/>
      <c r="B66" s="134"/>
      <c r="I66" s="179">
        <v>35000</v>
      </c>
      <c r="J66" s="131"/>
    </row>
    <row r="67" spans="1:10" x14ac:dyDescent="0.3">
      <c r="B67" s="134"/>
    </row>
    <row r="68" spans="1:10" x14ac:dyDescent="0.3">
      <c r="B68" s="134"/>
    </row>
    <row r="69" spans="1:10" x14ac:dyDescent="0.3">
      <c r="B69" s="134"/>
    </row>
    <row r="71" spans="1:10" ht="21" x14ac:dyDescent="0.4">
      <c r="I71" s="176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4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86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2" width="12.109375" style="75" customWidth="1"/>
    <col min="13" max="13" width="10.33203125" style="75" customWidth="1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3">
        <v>42856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42857</v>
      </c>
      <c r="C6" s="135" t="s">
        <v>23</v>
      </c>
      <c r="D6" s="135" t="s">
        <v>24</v>
      </c>
      <c r="E6" s="135">
        <v>28620</v>
      </c>
      <c r="F6" s="135">
        <v>28560</v>
      </c>
      <c r="G6" s="135">
        <v>60</v>
      </c>
      <c r="H6" s="135">
        <v>100</v>
      </c>
      <c r="I6" s="75">
        <v>6000</v>
      </c>
      <c r="J6" s="17"/>
      <c r="K6" s="71"/>
    </row>
    <row r="7" spans="1:15" x14ac:dyDescent="0.3">
      <c r="A7" s="17"/>
      <c r="B7" s="134">
        <v>42858</v>
      </c>
      <c r="C7" s="135" t="s">
        <v>23</v>
      </c>
      <c r="D7" s="135" t="s">
        <v>24</v>
      </c>
      <c r="E7" s="135">
        <v>28580</v>
      </c>
      <c r="F7" s="135">
        <v>28420</v>
      </c>
      <c r="G7" s="135">
        <v>160</v>
      </c>
      <c r="H7" s="135">
        <v>100</v>
      </c>
      <c r="I7" s="75">
        <v>16000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42859</v>
      </c>
      <c r="C8" s="151" t="s">
        <v>23</v>
      </c>
      <c r="D8" s="151" t="s">
        <v>24</v>
      </c>
      <c r="E8" s="151">
        <v>28220</v>
      </c>
      <c r="F8" s="151">
        <v>28020</v>
      </c>
      <c r="G8" s="151">
        <v>200</v>
      </c>
      <c r="H8" s="151">
        <v>100</v>
      </c>
      <c r="I8" s="75">
        <v>20000</v>
      </c>
      <c r="J8" s="17"/>
      <c r="K8" s="175" t="s">
        <v>257</v>
      </c>
      <c r="L8" s="165" t="s">
        <v>260</v>
      </c>
      <c r="M8" s="101" t="s">
        <v>263</v>
      </c>
      <c r="N8" s="101" t="s">
        <v>299</v>
      </c>
      <c r="O8" s="75">
        <v>0</v>
      </c>
    </row>
    <row r="9" spans="1:15" x14ac:dyDescent="0.3">
      <c r="A9" s="17"/>
      <c r="B9" s="134">
        <v>42860</v>
      </c>
      <c r="C9" s="151" t="s">
        <v>23</v>
      </c>
      <c r="D9" s="151" t="s">
        <v>24</v>
      </c>
      <c r="E9" s="151">
        <v>28190</v>
      </c>
      <c r="F9" s="151">
        <v>28090</v>
      </c>
      <c r="G9" s="151">
        <v>100</v>
      </c>
      <c r="H9" s="151">
        <v>100</v>
      </c>
      <c r="I9" s="75">
        <v>10000</v>
      </c>
      <c r="J9" s="17"/>
      <c r="K9" s="175" t="s">
        <v>258</v>
      </c>
      <c r="L9" s="165" t="s">
        <v>621</v>
      </c>
      <c r="M9" s="101" t="s">
        <v>263</v>
      </c>
      <c r="N9" s="101" t="s">
        <v>522</v>
      </c>
      <c r="O9" s="75">
        <v>0</v>
      </c>
    </row>
    <row r="10" spans="1:15" x14ac:dyDescent="0.3">
      <c r="A10" s="17"/>
      <c r="B10" s="134">
        <v>42863</v>
      </c>
      <c r="C10" s="151" t="s">
        <v>23</v>
      </c>
      <c r="D10" s="151" t="s">
        <v>24</v>
      </c>
      <c r="E10" s="151">
        <v>28120</v>
      </c>
      <c r="F10" s="151">
        <v>28220</v>
      </c>
      <c r="G10" s="151">
        <v>-100</v>
      </c>
      <c r="H10" s="151">
        <v>100</v>
      </c>
      <c r="I10" s="75">
        <v>-10000</v>
      </c>
      <c r="J10" s="17"/>
      <c r="K10" s="175" t="s">
        <v>259</v>
      </c>
      <c r="L10" s="165" t="s">
        <v>260</v>
      </c>
      <c r="M10" s="101" t="s">
        <v>270</v>
      </c>
      <c r="N10" s="101" t="s">
        <v>850</v>
      </c>
      <c r="O10" s="75">
        <v>2</v>
      </c>
    </row>
    <row r="11" spans="1:15" x14ac:dyDescent="0.3">
      <c r="A11" s="17"/>
      <c r="B11" s="134">
        <v>42864</v>
      </c>
      <c r="C11" s="135" t="s">
        <v>23</v>
      </c>
      <c r="D11" s="135" t="s">
        <v>24</v>
      </c>
      <c r="E11" s="135">
        <v>28120</v>
      </c>
      <c r="F11" s="135">
        <v>27960</v>
      </c>
      <c r="G11" s="135">
        <v>160</v>
      </c>
      <c r="H11" s="135">
        <v>100</v>
      </c>
      <c r="I11" s="75">
        <v>16000</v>
      </c>
      <c r="J11" s="17"/>
      <c r="K11" s="175" t="s">
        <v>300</v>
      </c>
      <c r="L11" s="104" t="s">
        <v>670</v>
      </c>
      <c r="M11" s="104" t="s">
        <v>520</v>
      </c>
      <c r="N11" s="104" t="s">
        <v>265</v>
      </c>
      <c r="O11" s="172">
        <v>2</v>
      </c>
    </row>
    <row r="12" spans="1:15" x14ac:dyDescent="0.3">
      <c r="A12" s="17"/>
      <c r="B12" s="134">
        <v>42865</v>
      </c>
      <c r="C12" s="135" t="s">
        <v>23</v>
      </c>
      <c r="D12" s="135" t="s">
        <v>24</v>
      </c>
      <c r="E12" s="135">
        <v>28100</v>
      </c>
      <c r="F12" s="135">
        <v>28000</v>
      </c>
      <c r="G12" s="135">
        <v>100</v>
      </c>
      <c r="H12" s="135">
        <v>100</v>
      </c>
      <c r="I12" s="75">
        <v>10000</v>
      </c>
      <c r="J12" s="17"/>
    </row>
    <row r="13" spans="1:15" x14ac:dyDescent="0.3">
      <c r="A13" s="17"/>
      <c r="B13" s="134">
        <v>42866</v>
      </c>
      <c r="C13" s="135" t="s">
        <v>23</v>
      </c>
      <c r="D13" s="135" t="s">
        <v>24</v>
      </c>
      <c r="E13" s="135">
        <v>28020</v>
      </c>
      <c r="F13" s="135">
        <v>27950</v>
      </c>
      <c r="G13" s="135">
        <v>70</v>
      </c>
      <c r="H13" s="135">
        <v>100</v>
      </c>
      <c r="I13" s="75">
        <v>7000</v>
      </c>
      <c r="J13" s="17"/>
      <c r="K13" s="71"/>
    </row>
    <row r="14" spans="1:15" x14ac:dyDescent="0.3">
      <c r="A14" s="17"/>
      <c r="B14" s="134">
        <v>42867</v>
      </c>
      <c r="C14" s="135" t="s">
        <v>23</v>
      </c>
      <c r="D14" s="135" t="s">
        <v>24</v>
      </c>
      <c r="E14" s="135">
        <v>28090</v>
      </c>
      <c r="F14" s="135">
        <v>27990</v>
      </c>
      <c r="G14" s="135">
        <v>100</v>
      </c>
      <c r="H14" s="135">
        <v>100</v>
      </c>
      <c r="I14" s="75">
        <v>10000</v>
      </c>
      <c r="J14" s="17"/>
      <c r="K14" s="132"/>
      <c r="L14" s="127" t="s">
        <v>832</v>
      </c>
      <c r="M14" s="128"/>
      <c r="N14" s="133" t="s">
        <v>869</v>
      </c>
    </row>
    <row r="15" spans="1:15" x14ac:dyDescent="0.3">
      <c r="A15" s="17"/>
      <c r="B15" s="134">
        <v>42870</v>
      </c>
      <c r="C15" s="135" t="s">
        <v>23</v>
      </c>
      <c r="D15" s="135" t="s">
        <v>24</v>
      </c>
      <c r="E15" s="135">
        <v>28060</v>
      </c>
      <c r="F15" s="135">
        <v>28020</v>
      </c>
      <c r="G15" s="135">
        <v>40</v>
      </c>
      <c r="H15" s="135">
        <v>100</v>
      </c>
      <c r="I15" s="75">
        <v>4000</v>
      </c>
      <c r="J15" s="17"/>
      <c r="K15" s="71"/>
    </row>
    <row r="16" spans="1:15" x14ac:dyDescent="0.3">
      <c r="A16" s="17"/>
      <c r="B16" s="134">
        <v>42871</v>
      </c>
      <c r="C16" s="135" t="s">
        <v>23</v>
      </c>
      <c r="D16" s="135" t="s">
        <v>24</v>
      </c>
      <c r="E16" s="135">
        <v>28100</v>
      </c>
      <c r="F16" s="135">
        <v>28080</v>
      </c>
      <c r="G16" s="135">
        <v>20</v>
      </c>
      <c r="H16" s="135">
        <v>100</v>
      </c>
      <c r="I16" s="75">
        <v>2000</v>
      </c>
      <c r="J16" s="17"/>
      <c r="K16" s="71"/>
    </row>
    <row r="17" spans="1:11" x14ac:dyDescent="0.3">
      <c r="A17" s="17"/>
      <c r="B17" s="134">
        <v>42872</v>
      </c>
      <c r="C17" s="135" t="s">
        <v>23</v>
      </c>
      <c r="D17" s="135" t="s">
        <v>24</v>
      </c>
      <c r="E17" s="135">
        <v>28340</v>
      </c>
      <c r="F17" s="135">
        <v>28240</v>
      </c>
      <c r="G17" s="135">
        <v>-100</v>
      </c>
      <c r="H17" s="135">
        <v>100</v>
      </c>
      <c r="I17" s="75">
        <v>-10000</v>
      </c>
      <c r="J17" s="17"/>
      <c r="K17" s="71"/>
    </row>
    <row r="18" spans="1:11" x14ac:dyDescent="0.3">
      <c r="A18" s="17"/>
      <c r="B18" s="134">
        <v>42873</v>
      </c>
      <c r="C18" s="135" t="s">
        <v>23</v>
      </c>
      <c r="D18" s="135" t="s">
        <v>24</v>
      </c>
      <c r="E18" s="135">
        <v>28920</v>
      </c>
      <c r="F18" s="135">
        <v>28720</v>
      </c>
      <c r="G18" s="135">
        <v>200</v>
      </c>
      <c r="H18" s="135">
        <v>100</v>
      </c>
      <c r="I18" s="75">
        <v>20000</v>
      </c>
      <c r="J18" s="17"/>
      <c r="K18" s="71"/>
    </row>
    <row r="19" spans="1:11" x14ac:dyDescent="0.3">
      <c r="A19" s="17"/>
      <c r="B19" s="134">
        <v>42874</v>
      </c>
      <c r="C19" s="135" t="s">
        <v>23</v>
      </c>
      <c r="D19" s="135" t="s">
        <v>24</v>
      </c>
      <c r="E19" s="135">
        <v>28680</v>
      </c>
      <c r="F19" s="135">
        <v>28580</v>
      </c>
      <c r="G19" s="135">
        <v>100</v>
      </c>
      <c r="H19" s="135">
        <v>100</v>
      </c>
      <c r="I19" s="75">
        <v>10000</v>
      </c>
      <c r="J19" s="17"/>
      <c r="K19" s="71"/>
    </row>
    <row r="20" spans="1:11" x14ac:dyDescent="0.3">
      <c r="A20" s="17"/>
      <c r="B20" s="134">
        <v>42877</v>
      </c>
      <c r="C20" s="135" t="s">
        <v>16</v>
      </c>
      <c r="D20" s="135" t="s">
        <v>24</v>
      </c>
      <c r="E20" s="135">
        <v>28650</v>
      </c>
      <c r="F20" s="135">
        <v>28750</v>
      </c>
      <c r="G20" s="135">
        <v>100</v>
      </c>
      <c r="H20" s="135">
        <v>100</v>
      </c>
      <c r="I20" s="75">
        <v>10000</v>
      </c>
      <c r="J20" s="17"/>
      <c r="K20" s="71"/>
    </row>
    <row r="21" spans="1:11" x14ac:dyDescent="0.3">
      <c r="A21" s="17"/>
      <c r="B21" s="134">
        <v>42878</v>
      </c>
      <c r="C21" s="135" t="s">
        <v>23</v>
      </c>
      <c r="D21" s="135" t="s">
        <v>24</v>
      </c>
      <c r="E21" s="135">
        <v>28870</v>
      </c>
      <c r="F21" s="135">
        <v>28770</v>
      </c>
      <c r="G21" s="135">
        <v>100</v>
      </c>
      <c r="H21" s="135">
        <v>100</v>
      </c>
      <c r="I21" s="75">
        <v>10000</v>
      </c>
      <c r="J21" s="17"/>
      <c r="K21" s="71"/>
    </row>
    <row r="22" spans="1:11" x14ac:dyDescent="0.3">
      <c r="A22" s="17"/>
      <c r="B22" s="134">
        <v>42879</v>
      </c>
      <c r="C22" s="135" t="s">
        <v>16</v>
      </c>
      <c r="D22" s="135" t="s">
        <v>24</v>
      </c>
      <c r="E22" s="135">
        <v>28690</v>
      </c>
      <c r="F22" s="135">
        <v>28720</v>
      </c>
      <c r="G22" s="135">
        <v>30</v>
      </c>
      <c r="H22" s="135">
        <v>100</v>
      </c>
      <c r="I22" s="75">
        <v>3000</v>
      </c>
      <c r="J22" s="17"/>
      <c r="K22" s="71"/>
    </row>
    <row r="23" spans="1:11" x14ac:dyDescent="0.3">
      <c r="A23" s="17"/>
      <c r="B23" s="134">
        <v>42880</v>
      </c>
      <c r="C23" s="135" t="s">
        <v>23</v>
      </c>
      <c r="D23" s="135" t="s">
        <v>24</v>
      </c>
      <c r="E23" s="135">
        <v>28730</v>
      </c>
      <c r="F23" s="135">
        <v>28630</v>
      </c>
      <c r="G23" s="135">
        <v>100</v>
      </c>
      <c r="H23" s="135">
        <v>100</v>
      </c>
      <c r="I23" s="75">
        <v>10000</v>
      </c>
      <c r="J23" s="17"/>
      <c r="K23" s="71"/>
    </row>
    <row r="24" spans="1:11" x14ac:dyDescent="0.3">
      <c r="A24" s="17"/>
      <c r="B24" s="134">
        <v>42881</v>
      </c>
      <c r="C24" s="135" t="s">
        <v>16</v>
      </c>
      <c r="D24" s="135" t="s">
        <v>24</v>
      </c>
      <c r="E24" s="135">
        <v>28770</v>
      </c>
      <c r="F24" s="135">
        <v>28845</v>
      </c>
      <c r="G24" s="135">
        <v>75</v>
      </c>
      <c r="H24" s="135">
        <v>100</v>
      </c>
      <c r="I24" s="75">
        <v>7500</v>
      </c>
      <c r="J24" s="17"/>
      <c r="K24" s="71"/>
    </row>
    <row r="25" spans="1:11" x14ac:dyDescent="0.3">
      <c r="A25" s="17"/>
      <c r="B25" s="134">
        <v>42884</v>
      </c>
      <c r="C25" s="135" t="s">
        <v>16</v>
      </c>
      <c r="D25" s="135" t="s">
        <v>24</v>
      </c>
      <c r="E25" s="135">
        <v>28850</v>
      </c>
      <c r="F25" s="135">
        <v>28870</v>
      </c>
      <c r="G25" s="135">
        <v>20</v>
      </c>
      <c r="H25" s="135">
        <v>100</v>
      </c>
      <c r="I25" s="75">
        <v>2000</v>
      </c>
      <c r="J25" s="17"/>
      <c r="K25" s="71"/>
    </row>
    <row r="26" spans="1:11" x14ac:dyDescent="0.3">
      <c r="A26" s="17"/>
      <c r="B26" s="134">
        <v>42885</v>
      </c>
      <c r="C26" s="135" t="s">
        <v>23</v>
      </c>
      <c r="D26" s="135" t="s">
        <v>24</v>
      </c>
      <c r="E26" s="135">
        <v>28930</v>
      </c>
      <c r="F26" s="135">
        <v>28730</v>
      </c>
      <c r="G26" s="135">
        <v>200</v>
      </c>
      <c r="H26" s="135">
        <v>100</v>
      </c>
      <c r="I26" s="75">
        <v>20000</v>
      </c>
      <c r="J26" s="17"/>
      <c r="K26" s="71"/>
    </row>
    <row r="27" spans="1:11" x14ac:dyDescent="0.3">
      <c r="A27" s="17"/>
      <c r="B27" s="134">
        <v>42886</v>
      </c>
      <c r="C27" s="135" t="s">
        <v>23</v>
      </c>
      <c r="D27" s="135" t="s">
        <v>24</v>
      </c>
      <c r="E27" s="135">
        <v>28710</v>
      </c>
      <c r="F27" s="135">
        <v>28810</v>
      </c>
      <c r="G27" s="135">
        <v>-100</v>
      </c>
      <c r="H27" s="135">
        <v>100</v>
      </c>
      <c r="I27" s="75">
        <v>-10000</v>
      </c>
      <c r="J27" s="17"/>
      <c r="K27" s="71"/>
    </row>
    <row r="28" spans="1:11" ht="25.8" x14ac:dyDescent="0.5">
      <c r="A28" s="17"/>
      <c r="C28" s="157"/>
      <c r="D28" s="156"/>
      <c r="E28" s="158"/>
      <c r="F28" s="157"/>
      <c r="G28" s="157"/>
      <c r="H28" s="157"/>
      <c r="I28" s="178">
        <v>163500</v>
      </c>
      <c r="J28" s="17"/>
    </row>
    <row r="29" spans="1:11" x14ac:dyDescent="0.3">
      <c r="A29" s="17"/>
      <c r="C29" s="157"/>
      <c r="D29" s="158"/>
      <c r="E29" s="158"/>
      <c r="F29" s="157"/>
      <c r="G29" s="157"/>
      <c r="H29" s="157"/>
      <c r="J29" s="17"/>
    </row>
    <row r="30" spans="1:11" x14ac:dyDescent="0.3">
      <c r="A30" s="17"/>
      <c r="B30" s="164" t="s">
        <v>789</v>
      </c>
      <c r="C30" s="159"/>
      <c r="D30" s="160"/>
      <c r="E30" s="159"/>
      <c r="F30" s="159"/>
      <c r="G30" s="159"/>
      <c r="H30" s="159"/>
      <c r="I30" s="159"/>
      <c r="J30" s="17"/>
    </row>
    <row r="31" spans="1:11" x14ac:dyDescent="0.3">
      <c r="A31" s="17"/>
      <c r="B31" s="134">
        <v>42857</v>
      </c>
      <c r="C31" s="135" t="s">
        <v>23</v>
      </c>
      <c r="D31" s="135" t="s">
        <v>25</v>
      </c>
      <c r="E31" s="135">
        <v>3160</v>
      </c>
      <c r="F31" s="135">
        <v>3085</v>
      </c>
      <c r="G31" s="135">
        <v>75</v>
      </c>
      <c r="H31" s="135">
        <v>100</v>
      </c>
      <c r="I31" s="75">
        <v>7500</v>
      </c>
      <c r="J31" s="17"/>
    </row>
    <row r="32" spans="1:11" x14ac:dyDescent="0.3">
      <c r="A32" s="17"/>
      <c r="B32" s="134">
        <v>42858</v>
      </c>
      <c r="C32" s="135" t="s">
        <v>23</v>
      </c>
      <c r="D32" s="135" t="s">
        <v>25</v>
      </c>
      <c r="E32" s="135">
        <v>3095</v>
      </c>
      <c r="F32" s="135">
        <v>3050</v>
      </c>
      <c r="G32" s="135">
        <v>45</v>
      </c>
      <c r="H32" s="135">
        <v>100</v>
      </c>
      <c r="I32" s="75">
        <v>4500</v>
      </c>
      <c r="J32" s="17"/>
    </row>
    <row r="33" spans="1:10" x14ac:dyDescent="0.3">
      <c r="A33" s="17"/>
      <c r="B33" s="134">
        <v>42859</v>
      </c>
      <c r="C33" s="135" t="s">
        <v>23</v>
      </c>
      <c r="D33" s="135" t="s">
        <v>25</v>
      </c>
      <c r="E33" s="135">
        <v>3060</v>
      </c>
      <c r="F33" s="135">
        <v>2980</v>
      </c>
      <c r="G33" s="135">
        <v>80</v>
      </c>
      <c r="H33" s="135">
        <v>100</v>
      </c>
      <c r="I33" s="75">
        <v>8000</v>
      </c>
      <c r="J33" s="17"/>
    </row>
    <row r="34" spans="1:10" x14ac:dyDescent="0.3">
      <c r="A34" s="17"/>
      <c r="B34" s="134">
        <v>42859</v>
      </c>
      <c r="C34" s="135" t="s">
        <v>16</v>
      </c>
      <c r="D34" s="135" t="s">
        <v>26</v>
      </c>
      <c r="E34" s="135">
        <v>207</v>
      </c>
      <c r="F34" s="135">
        <v>209</v>
      </c>
      <c r="G34" s="135">
        <v>2</v>
      </c>
      <c r="H34" s="135">
        <v>1250</v>
      </c>
      <c r="I34" s="75">
        <v>2500</v>
      </c>
      <c r="J34" s="17"/>
    </row>
    <row r="35" spans="1:10" x14ac:dyDescent="0.3">
      <c r="A35" s="17"/>
      <c r="B35" s="134">
        <v>42860</v>
      </c>
      <c r="C35" s="135" t="s">
        <v>16</v>
      </c>
      <c r="D35" s="135" t="s">
        <v>25</v>
      </c>
      <c r="E35" s="135">
        <v>2940</v>
      </c>
      <c r="F35" s="135">
        <v>2900</v>
      </c>
      <c r="G35" s="135">
        <v>-40</v>
      </c>
      <c r="H35" s="135">
        <v>100</v>
      </c>
      <c r="I35" s="75">
        <v>-4000</v>
      </c>
      <c r="J35" s="17"/>
    </row>
    <row r="36" spans="1:10" x14ac:dyDescent="0.3">
      <c r="A36" s="17"/>
      <c r="B36" s="134">
        <v>42863</v>
      </c>
      <c r="C36" s="135" t="s">
        <v>23</v>
      </c>
      <c r="D36" s="135" t="s">
        <v>25</v>
      </c>
      <c r="E36" s="135">
        <v>2985</v>
      </c>
      <c r="F36" s="135">
        <v>2950</v>
      </c>
      <c r="G36" s="135">
        <v>35</v>
      </c>
      <c r="H36" s="135">
        <v>100</v>
      </c>
      <c r="I36" s="75">
        <v>3500</v>
      </c>
      <c r="J36" s="17"/>
    </row>
    <row r="37" spans="1:10" x14ac:dyDescent="0.3">
      <c r="A37" s="17"/>
      <c r="B37" s="134">
        <v>42864</v>
      </c>
      <c r="C37" s="135" t="s">
        <v>23</v>
      </c>
      <c r="D37" s="135" t="s">
        <v>25</v>
      </c>
      <c r="E37" s="135">
        <v>3015</v>
      </c>
      <c r="F37" s="135">
        <v>2955</v>
      </c>
      <c r="G37" s="135">
        <v>60</v>
      </c>
      <c r="H37" s="135">
        <v>100</v>
      </c>
      <c r="I37" s="75">
        <v>6000</v>
      </c>
      <c r="J37" s="17"/>
    </row>
    <row r="38" spans="1:10" x14ac:dyDescent="0.3">
      <c r="A38" s="17"/>
      <c r="B38" s="134">
        <v>42864</v>
      </c>
      <c r="C38" s="135" t="s">
        <v>16</v>
      </c>
      <c r="D38" s="135" t="s">
        <v>26</v>
      </c>
      <c r="E38" s="135">
        <v>207</v>
      </c>
      <c r="F38" s="135">
        <v>210</v>
      </c>
      <c r="G38" s="135">
        <v>3</v>
      </c>
      <c r="H38" s="135">
        <v>1250</v>
      </c>
      <c r="I38" s="75">
        <v>3750</v>
      </c>
      <c r="J38" s="17"/>
    </row>
    <row r="39" spans="1:10" x14ac:dyDescent="0.3">
      <c r="A39" s="17"/>
      <c r="B39" s="134">
        <v>42865</v>
      </c>
      <c r="C39" s="135" t="s">
        <v>23</v>
      </c>
      <c r="D39" s="135" t="s">
        <v>25</v>
      </c>
      <c r="E39" s="135">
        <v>3005</v>
      </c>
      <c r="F39" s="135">
        <v>3040</v>
      </c>
      <c r="G39" s="135">
        <v>-35</v>
      </c>
      <c r="H39" s="135">
        <v>100</v>
      </c>
      <c r="I39" s="75">
        <v>-3500</v>
      </c>
      <c r="J39" s="17"/>
    </row>
    <row r="40" spans="1:10" x14ac:dyDescent="0.3">
      <c r="A40" s="17"/>
      <c r="B40" s="134">
        <v>42866</v>
      </c>
      <c r="C40" s="135" t="s">
        <v>23</v>
      </c>
      <c r="D40" s="135" t="s">
        <v>25</v>
      </c>
      <c r="E40" s="135">
        <v>3105</v>
      </c>
      <c r="F40" s="135">
        <v>3080</v>
      </c>
      <c r="G40" s="135">
        <v>25</v>
      </c>
      <c r="H40" s="135">
        <v>100</v>
      </c>
      <c r="I40" s="75">
        <v>2500</v>
      </c>
      <c r="J40" s="17"/>
    </row>
    <row r="41" spans="1:10" x14ac:dyDescent="0.3">
      <c r="A41" s="17"/>
      <c r="B41" s="134">
        <v>42867</v>
      </c>
      <c r="C41" s="135" t="s">
        <v>23</v>
      </c>
      <c r="D41" s="135" t="s">
        <v>25</v>
      </c>
      <c r="E41" s="135">
        <v>3080</v>
      </c>
      <c r="F41" s="135">
        <v>3055</v>
      </c>
      <c r="G41" s="135">
        <v>25</v>
      </c>
      <c r="H41" s="135">
        <v>100</v>
      </c>
      <c r="I41" s="75">
        <v>2500</v>
      </c>
      <c r="J41" s="17"/>
    </row>
    <row r="42" spans="1:10" x14ac:dyDescent="0.3">
      <c r="A42" s="17"/>
      <c r="B42" s="134">
        <v>42870</v>
      </c>
      <c r="C42" s="135" t="s">
        <v>23</v>
      </c>
      <c r="D42" s="135" t="s">
        <v>25</v>
      </c>
      <c r="E42" s="135">
        <v>3155</v>
      </c>
      <c r="F42" s="135">
        <v>3145</v>
      </c>
      <c r="G42" s="135">
        <v>10</v>
      </c>
      <c r="H42" s="135">
        <v>100</v>
      </c>
      <c r="I42" s="75">
        <v>1000</v>
      </c>
      <c r="J42" s="17"/>
    </row>
    <row r="43" spans="1:10" x14ac:dyDescent="0.3">
      <c r="A43" s="17"/>
      <c r="B43" s="134">
        <v>42870</v>
      </c>
      <c r="C43" s="135" t="s">
        <v>23</v>
      </c>
      <c r="D43" s="135" t="s">
        <v>26</v>
      </c>
      <c r="E43" s="135">
        <v>217</v>
      </c>
      <c r="F43" s="135">
        <v>214</v>
      </c>
      <c r="G43" s="135">
        <v>3</v>
      </c>
      <c r="H43" s="135">
        <v>1250</v>
      </c>
      <c r="I43" s="75">
        <v>3750</v>
      </c>
      <c r="J43" s="17"/>
    </row>
    <row r="44" spans="1:10" x14ac:dyDescent="0.3">
      <c r="A44" s="17"/>
      <c r="B44" s="134">
        <v>42871</v>
      </c>
      <c r="C44" s="135" t="s">
        <v>23</v>
      </c>
      <c r="D44" s="135" t="s">
        <v>26</v>
      </c>
      <c r="E44" s="135">
        <v>214.5</v>
      </c>
      <c r="F44" s="135">
        <v>208.5</v>
      </c>
      <c r="G44" s="135">
        <v>6</v>
      </c>
      <c r="H44" s="135">
        <v>1250</v>
      </c>
      <c r="I44" s="75">
        <v>7500</v>
      </c>
      <c r="J44" s="17"/>
    </row>
    <row r="45" spans="1:10" x14ac:dyDescent="0.3">
      <c r="A45" s="17"/>
      <c r="B45" s="134">
        <v>42872</v>
      </c>
      <c r="C45" s="135" t="s">
        <v>16</v>
      </c>
      <c r="D45" s="135" t="s">
        <v>25</v>
      </c>
      <c r="E45" s="135">
        <v>3130</v>
      </c>
      <c r="F45" s="135">
        <v>3170</v>
      </c>
      <c r="G45" s="135">
        <v>40</v>
      </c>
      <c r="H45" s="135">
        <v>100</v>
      </c>
      <c r="I45" s="75">
        <v>4000</v>
      </c>
      <c r="J45" s="17"/>
    </row>
    <row r="46" spans="1:10" x14ac:dyDescent="0.3">
      <c r="A46" s="17"/>
      <c r="B46" s="134">
        <v>42873</v>
      </c>
      <c r="C46" s="135" t="s">
        <v>23</v>
      </c>
      <c r="D46" s="135" t="s">
        <v>25</v>
      </c>
      <c r="E46" s="135">
        <v>3135</v>
      </c>
      <c r="F46" s="135">
        <v>3170</v>
      </c>
      <c r="G46" s="135">
        <v>-35</v>
      </c>
      <c r="H46" s="135">
        <v>100</v>
      </c>
      <c r="I46" s="75">
        <v>-3500</v>
      </c>
      <c r="J46" s="17"/>
    </row>
    <row r="47" spans="1:10" x14ac:dyDescent="0.3">
      <c r="A47" s="17"/>
      <c r="B47" s="134">
        <v>42874</v>
      </c>
      <c r="C47" s="135" t="s">
        <v>23</v>
      </c>
      <c r="D47" s="135" t="s">
        <v>26</v>
      </c>
      <c r="E47" s="135">
        <v>207</v>
      </c>
      <c r="F47" s="135">
        <v>210</v>
      </c>
      <c r="G47" s="135">
        <v>-3</v>
      </c>
      <c r="H47" s="135">
        <v>1250</v>
      </c>
      <c r="I47" s="75">
        <v>-3750</v>
      </c>
      <c r="J47" s="17"/>
    </row>
    <row r="48" spans="1:10" x14ac:dyDescent="0.3">
      <c r="A48" s="17"/>
      <c r="B48" s="134">
        <v>42877</v>
      </c>
      <c r="C48" s="135" t="s">
        <v>16</v>
      </c>
      <c r="D48" s="135" t="s">
        <v>25</v>
      </c>
      <c r="E48" s="135">
        <v>3305</v>
      </c>
      <c r="F48" s="135">
        <v>3327</v>
      </c>
      <c r="G48" s="135">
        <v>22</v>
      </c>
      <c r="H48" s="135">
        <v>100</v>
      </c>
      <c r="I48" s="75">
        <v>2200</v>
      </c>
      <c r="J48" s="17"/>
    </row>
    <row r="49" spans="1:10" x14ac:dyDescent="0.3">
      <c r="A49" s="17"/>
      <c r="B49" s="134">
        <v>42878</v>
      </c>
      <c r="C49" s="135" t="s">
        <v>23</v>
      </c>
      <c r="D49" s="135" t="s">
        <v>25</v>
      </c>
      <c r="E49" s="135">
        <v>3295</v>
      </c>
      <c r="F49" s="135">
        <v>3325</v>
      </c>
      <c r="G49" s="135">
        <v>-30</v>
      </c>
      <c r="H49" s="135">
        <v>100</v>
      </c>
      <c r="I49" s="75">
        <v>-3000</v>
      </c>
      <c r="J49" s="17"/>
    </row>
    <row r="50" spans="1:10" x14ac:dyDescent="0.3">
      <c r="A50" s="17"/>
      <c r="B50" s="134">
        <v>42879</v>
      </c>
      <c r="C50" s="135" t="s">
        <v>23</v>
      </c>
      <c r="D50" s="135" t="s">
        <v>25</v>
      </c>
      <c r="E50" s="135">
        <v>3350</v>
      </c>
      <c r="F50" s="135">
        <v>3320</v>
      </c>
      <c r="G50" s="135">
        <v>30</v>
      </c>
      <c r="H50" s="135">
        <v>100</v>
      </c>
      <c r="I50" s="75">
        <v>3000</v>
      </c>
      <c r="J50" s="17"/>
    </row>
    <row r="51" spans="1:10" x14ac:dyDescent="0.3">
      <c r="A51" s="17"/>
      <c r="B51" s="134">
        <v>42880</v>
      </c>
      <c r="C51" s="135" t="s">
        <v>23</v>
      </c>
      <c r="D51" s="135" t="s">
        <v>25</v>
      </c>
      <c r="E51" s="135">
        <v>3315</v>
      </c>
      <c r="F51" s="135">
        <v>3235</v>
      </c>
      <c r="G51" s="135">
        <v>80</v>
      </c>
      <c r="H51" s="135">
        <v>100</v>
      </c>
      <c r="I51" s="75">
        <v>8000</v>
      </c>
      <c r="J51" s="17"/>
    </row>
    <row r="52" spans="1:10" x14ac:dyDescent="0.3">
      <c r="A52" s="17"/>
      <c r="B52" s="134">
        <v>42881</v>
      </c>
      <c r="C52" s="135" t="s">
        <v>23</v>
      </c>
      <c r="D52" s="135" t="s">
        <v>25</v>
      </c>
      <c r="E52" s="135">
        <v>3155</v>
      </c>
      <c r="F52" s="135">
        <v>3120</v>
      </c>
      <c r="G52" s="135">
        <v>35</v>
      </c>
      <c r="H52" s="135">
        <v>100</v>
      </c>
      <c r="I52" s="135">
        <v>3500</v>
      </c>
      <c r="J52" s="17"/>
    </row>
    <row r="53" spans="1:10" x14ac:dyDescent="0.3">
      <c r="A53" s="17"/>
      <c r="B53" s="134">
        <v>42884</v>
      </c>
      <c r="C53" s="135" t="s">
        <v>23</v>
      </c>
      <c r="D53" s="135" t="s">
        <v>25</v>
      </c>
      <c r="E53" s="135">
        <v>3215</v>
      </c>
      <c r="F53" s="135">
        <v>3250</v>
      </c>
      <c r="G53" s="135">
        <v>-35</v>
      </c>
      <c r="H53" s="135">
        <v>100</v>
      </c>
      <c r="I53" s="135">
        <v>-3500</v>
      </c>
      <c r="J53" s="17"/>
    </row>
    <row r="54" spans="1:10" x14ac:dyDescent="0.3">
      <c r="A54" s="17"/>
      <c r="B54" s="134">
        <v>42885</v>
      </c>
      <c r="C54" s="135" t="s">
        <v>23</v>
      </c>
      <c r="D54" s="135" t="s">
        <v>25</v>
      </c>
      <c r="E54" s="135">
        <v>3220</v>
      </c>
      <c r="F54" s="135">
        <v>3180</v>
      </c>
      <c r="G54" s="135">
        <v>40</v>
      </c>
      <c r="H54" s="135">
        <v>100</v>
      </c>
      <c r="I54" s="135">
        <v>4000</v>
      </c>
      <c r="J54" s="17"/>
    </row>
    <row r="55" spans="1:10" x14ac:dyDescent="0.3">
      <c r="A55" s="17"/>
      <c r="B55" s="134">
        <v>42886</v>
      </c>
      <c r="C55" s="135" t="s">
        <v>23</v>
      </c>
      <c r="D55" s="135" t="s">
        <v>25</v>
      </c>
      <c r="E55" s="135">
        <v>3155</v>
      </c>
      <c r="F55" s="135">
        <v>3100</v>
      </c>
      <c r="G55" s="135">
        <v>55</v>
      </c>
      <c r="H55" s="135">
        <v>100</v>
      </c>
      <c r="I55" s="135">
        <v>5500</v>
      </c>
      <c r="J55" s="17"/>
    </row>
    <row r="56" spans="1:10" ht="18" x14ac:dyDescent="0.35">
      <c r="A56" s="142"/>
      <c r="B56" s="134"/>
      <c r="C56" s="137"/>
      <c r="D56" s="167"/>
      <c r="E56" s="137"/>
      <c r="F56" s="137"/>
      <c r="G56" s="137"/>
      <c r="H56" s="168"/>
      <c r="I56" s="106">
        <v>61950</v>
      </c>
      <c r="J56" s="17"/>
    </row>
    <row r="57" spans="1:10" x14ac:dyDescent="0.3">
      <c r="A57" s="17"/>
      <c r="B57" s="71"/>
      <c r="C57" s="157"/>
      <c r="D57" s="158"/>
      <c r="E57" s="157"/>
      <c r="F57" s="157" t="s">
        <v>870</v>
      </c>
      <c r="G57" s="157"/>
      <c r="H57" s="157"/>
      <c r="I57" s="157"/>
      <c r="J57" s="17"/>
    </row>
    <row r="58" spans="1:10" x14ac:dyDescent="0.3">
      <c r="A58" s="17"/>
      <c r="B58" s="164" t="s">
        <v>788</v>
      </c>
      <c r="C58" s="159"/>
      <c r="D58" s="160"/>
      <c r="E58" s="159"/>
      <c r="F58" s="159"/>
      <c r="G58" s="159"/>
      <c r="H58" s="159"/>
      <c r="I58" s="64"/>
      <c r="J58" s="17"/>
    </row>
    <row r="59" spans="1:10" x14ac:dyDescent="0.3">
      <c r="A59" s="17"/>
      <c r="B59" s="134">
        <v>42857</v>
      </c>
      <c r="C59" s="135" t="s">
        <v>23</v>
      </c>
      <c r="D59" s="135" t="s">
        <v>56</v>
      </c>
      <c r="E59" s="135">
        <v>122.5</v>
      </c>
      <c r="F59" s="135">
        <v>123.5</v>
      </c>
      <c r="G59" s="135">
        <v>-1</v>
      </c>
      <c r="H59" s="135">
        <v>5000</v>
      </c>
      <c r="I59" s="75">
        <v>-5000</v>
      </c>
      <c r="J59" s="17"/>
    </row>
    <row r="60" spans="1:10" x14ac:dyDescent="0.3">
      <c r="A60" s="17"/>
      <c r="B60" s="134">
        <v>42858</v>
      </c>
      <c r="C60" s="135" t="s">
        <v>23</v>
      </c>
      <c r="D60" s="135" t="s">
        <v>29</v>
      </c>
      <c r="E60" s="135">
        <v>372</v>
      </c>
      <c r="F60" s="135">
        <v>360</v>
      </c>
      <c r="G60" s="135">
        <v>12</v>
      </c>
      <c r="H60" s="135">
        <v>1000</v>
      </c>
      <c r="I60" s="75">
        <v>12000</v>
      </c>
      <c r="J60" s="17"/>
    </row>
    <row r="61" spans="1:10" x14ac:dyDescent="0.3">
      <c r="A61" s="17"/>
      <c r="B61" s="134">
        <v>42859</v>
      </c>
      <c r="C61" s="135" t="s">
        <v>23</v>
      </c>
      <c r="D61" s="135" t="s">
        <v>29</v>
      </c>
      <c r="E61" s="135">
        <v>361</v>
      </c>
      <c r="F61" s="135">
        <v>356</v>
      </c>
      <c r="G61" s="135">
        <v>5</v>
      </c>
      <c r="H61" s="135">
        <v>1000</v>
      </c>
      <c r="I61" s="75">
        <v>5000</v>
      </c>
      <c r="J61" s="131"/>
    </row>
    <row r="62" spans="1:10" x14ac:dyDescent="0.3">
      <c r="A62" s="131"/>
      <c r="B62" s="134">
        <v>42860</v>
      </c>
      <c r="C62" s="135" t="s">
        <v>23</v>
      </c>
      <c r="D62" s="135" t="s">
        <v>29</v>
      </c>
      <c r="E62" s="135">
        <v>359</v>
      </c>
      <c r="F62" s="135">
        <v>361</v>
      </c>
      <c r="G62" s="135">
        <v>-2</v>
      </c>
      <c r="H62" s="135">
        <v>1000</v>
      </c>
      <c r="I62" s="75">
        <v>-2000</v>
      </c>
      <c r="J62" s="131"/>
    </row>
    <row r="63" spans="1:10" x14ac:dyDescent="0.3">
      <c r="A63" s="131"/>
      <c r="B63" s="134">
        <v>42863</v>
      </c>
      <c r="C63" s="135" t="s">
        <v>23</v>
      </c>
      <c r="D63" s="135" t="s">
        <v>29</v>
      </c>
      <c r="E63" s="135">
        <v>356.5</v>
      </c>
      <c r="F63" s="135">
        <v>354.5</v>
      </c>
      <c r="G63" s="135">
        <v>2</v>
      </c>
      <c r="H63" s="135">
        <v>1000</v>
      </c>
      <c r="I63" s="75">
        <v>2000</v>
      </c>
      <c r="J63" s="131"/>
    </row>
    <row r="64" spans="1:10" x14ac:dyDescent="0.3">
      <c r="A64" s="131"/>
      <c r="B64" s="134">
        <v>42864</v>
      </c>
      <c r="C64" s="135" t="s">
        <v>23</v>
      </c>
      <c r="D64" s="135" t="s">
        <v>29</v>
      </c>
      <c r="E64" s="135">
        <v>359</v>
      </c>
      <c r="F64" s="135">
        <v>359</v>
      </c>
      <c r="G64" s="135">
        <v>0</v>
      </c>
      <c r="H64" s="135">
        <v>1000</v>
      </c>
      <c r="I64" s="75">
        <v>0</v>
      </c>
      <c r="J64" s="131"/>
    </row>
    <row r="65" spans="1:10" x14ac:dyDescent="0.3">
      <c r="A65" s="131"/>
      <c r="B65" s="134">
        <v>42865</v>
      </c>
      <c r="C65" s="135" t="s">
        <v>23</v>
      </c>
      <c r="D65" s="135" t="s">
        <v>29</v>
      </c>
      <c r="E65" s="135">
        <v>358</v>
      </c>
      <c r="F65" s="135">
        <v>358</v>
      </c>
      <c r="G65" s="135">
        <v>0</v>
      </c>
      <c r="H65" s="135">
        <v>1000</v>
      </c>
      <c r="I65" s="75">
        <v>0</v>
      </c>
      <c r="J65" s="131"/>
    </row>
    <row r="66" spans="1:10" x14ac:dyDescent="0.3">
      <c r="A66" s="131"/>
      <c r="B66" s="134">
        <v>42866</v>
      </c>
      <c r="C66" s="135" t="s">
        <v>23</v>
      </c>
      <c r="D66" s="135" t="s">
        <v>29</v>
      </c>
      <c r="E66" s="135">
        <v>363</v>
      </c>
      <c r="F66" s="135">
        <v>359</v>
      </c>
      <c r="G66" s="135">
        <v>4</v>
      </c>
      <c r="H66" s="135">
        <v>1000</v>
      </c>
      <c r="I66" s="75">
        <v>4000</v>
      </c>
      <c r="J66" s="131"/>
    </row>
    <row r="67" spans="1:10" x14ac:dyDescent="0.3">
      <c r="A67" s="131"/>
      <c r="B67" s="134">
        <v>42867</v>
      </c>
      <c r="C67" s="135" t="s">
        <v>23</v>
      </c>
      <c r="D67" s="135" t="s">
        <v>28</v>
      </c>
      <c r="E67" s="135">
        <v>167</v>
      </c>
      <c r="F67" s="135">
        <v>165</v>
      </c>
      <c r="G67" s="135">
        <v>2</v>
      </c>
      <c r="H67" s="135">
        <v>5000</v>
      </c>
      <c r="I67" s="75">
        <v>10000</v>
      </c>
      <c r="J67" s="131"/>
    </row>
    <row r="68" spans="1:10" x14ac:dyDescent="0.3">
      <c r="A68" s="131"/>
      <c r="B68" s="134">
        <v>42870</v>
      </c>
      <c r="C68" s="135" t="s">
        <v>23</v>
      </c>
      <c r="D68" s="135" t="s">
        <v>28</v>
      </c>
      <c r="E68" s="135">
        <v>165</v>
      </c>
      <c r="F68" s="135">
        <v>164.4</v>
      </c>
      <c r="G68" s="135">
        <v>0.6</v>
      </c>
      <c r="H68" s="135">
        <v>5000</v>
      </c>
      <c r="I68" s="75">
        <v>3000</v>
      </c>
      <c r="J68" s="131"/>
    </row>
    <row r="69" spans="1:10" x14ac:dyDescent="0.3">
      <c r="A69" s="131"/>
      <c r="B69" s="134">
        <v>42871</v>
      </c>
      <c r="C69" s="135" t="s">
        <v>23</v>
      </c>
      <c r="D69" s="135" t="s">
        <v>28</v>
      </c>
      <c r="E69" s="135">
        <v>162</v>
      </c>
      <c r="F69" s="135">
        <v>161.44999999999999</v>
      </c>
      <c r="G69" s="135">
        <v>0.55000000000000004</v>
      </c>
      <c r="H69" s="135">
        <v>5000</v>
      </c>
      <c r="I69" s="75">
        <v>2750</v>
      </c>
      <c r="J69" s="131"/>
    </row>
    <row r="70" spans="1:10" x14ac:dyDescent="0.3">
      <c r="A70" s="131"/>
      <c r="B70" s="134">
        <v>42872</v>
      </c>
      <c r="C70" s="135" t="s">
        <v>23</v>
      </c>
      <c r="D70" s="135" t="s">
        <v>29</v>
      </c>
      <c r="E70" s="135">
        <v>362</v>
      </c>
      <c r="F70" s="135">
        <v>363</v>
      </c>
      <c r="G70" s="135">
        <v>-1</v>
      </c>
      <c r="H70" s="135">
        <v>1000</v>
      </c>
      <c r="I70" s="75">
        <v>-1000</v>
      </c>
      <c r="J70" s="131"/>
    </row>
    <row r="71" spans="1:10" x14ac:dyDescent="0.3">
      <c r="A71" s="131"/>
      <c r="B71" s="134">
        <v>42873</v>
      </c>
      <c r="C71" s="135" t="s">
        <v>23</v>
      </c>
      <c r="D71" s="135" t="s">
        <v>28</v>
      </c>
      <c r="E71" s="135">
        <v>160.5</v>
      </c>
      <c r="F71" s="135">
        <v>161.5</v>
      </c>
      <c r="G71" s="135">
        <v>-1</v>
      </c>
      <c r="H71" s="135">
        <v>5000</v>
      </c>
      <c r="I71" s="75">
        <v>-5000</v>
      </c>
      <c r="J71" s="131"/>
    </row>
    <row r="72" spans="1:10" x14ac:dyDescent="0.3">
      <c r="A72" s="131"/>
      <c r="B72" s="134">
        <v>42874</v>
      </c>
      <c r="C72" s="135" t="s">
        <v>23</v>
      </c>
      <c r="D72" s="135" t="s">
        <v>29</v>
      </c>
      <c r="E72" s="135">
        <v>366.5</v>
      </c>
      <c r="F72" s="135">
        <v>369.5</v>
      </c>
      <c r="G72" s="135">
        <v>-3</v>
      </c>
      <c r="H72" s="135">
        <v>1000</v>
      </c>
      <c r="I72" s="75">
        <v>-3000</v>
      </c>
      <c r="J72" s="131"/>
    </row>
    <row r="73" spans="1:10" x14ac:dyDescent="0.3">
      <c r="A73" s="131"/>
      <c r="B73" s="134">
        <v>42877</v>
      </c>
      <c r="C73" s="135" t="s">
        <v>16</v>
      </c>
      <c r="D73" s="135" t="s">
        <v>27</v>
      </c>
      <c r="E73" s="135">
        <v>136</v>
      </c>
      <c r="F73" s="135">
        <v>135</v>
      </c>
      <c r="G73" s="135">
        <v>-1</v>
      </c>
      <c r="H73" s="135">
        <v>5000</v>
      </c>
      <c r="I73" s="75">
        <v>-5000</v>
      </c>
      <c r="J73" s="131"/>
    </row>
    <row r="74" spans="1:10" x14ac:dyDescent="0.3">
      <c r="A74" s="131"/>
      <c r="B74" s="134">
        <v>42878</v>
      </c>
      <c r="C74" s="135" t="s">
        <v>23</v>
      </c>
      <c r="D74" s="135" t="s">
        <v>28</v>
      </c>
      <c r="E74" s="135">
        <v>172</v>
      </c>
      <c r="F74" s="135">
        <v>171</v>
      </c>
      <c r="G74" s="135">
        <v>1</v>
      </c>
      <c r="H74" s="135">
        <v>5000</v>
      </c>
      <c r="I74" s="75">
        <v>5000</v>
      </c>
      <c r="J74" s="131"/>
    </row>
    <row r="75" spans="1:10" x14ac:dyDescent="0.3">
      <c r="A75" s="131"/>
      <c r="B75" s="134">
        <v>42879</v>
      </c>
      <c r="C75" s="135" t="s">
        <v>16</v>
      </c>
      <c r="D75" s="135" t="s">
        <v>56</v>
      </c>
      <c r="E75" s="135">
        <v>126</v>
      </c>
      <c r="F75" s="135">
        <v>126.5</v>
      </c>
      <c r="G75" s="135">
        <v>0.5</v>
      </c>
      <c r="H75" s="135">
        <v>5000</v>
      </c>
      <c r="I75" s="75">
        <v>2500</v>
      </c>
      <c r="J75" s="131"/>
    </row>
    <row r="76" spans="1:10" x14ac:dyDescent="0.3">
      <c r="A76" s="131"/>
      <c r="B76" s="134">
        <v>42880</v>
      </c>
      <c r="C76" s="135" t="s">
        <v>23</v>
      </c>
      <c r="D76" s="135" t="s">
        <v>29</v>
      </c>
      <c r="E76" s="135">
        <v>369</v>
      </c>
      <c r="F76" s="135">
        <v>374</v>
      </c>
      <c r="G76" s="135">
        <v>-5</v>
      </c>
      <c r="H76" s="135">
        <v>1000</v>
      </c>
      <c r="I76" s="75">
        <v>-5000</v>
      </c>
      <c r="J76" s="131"/>
    </row>
    <row r="77" spans="1:10" x14ac:dyDescent="0.3">
      <c r="A77" s="131"/>
      <c r="B77" s="134">
        <v>42881</v>
      </c>
      <c r="C77" s="135" t="s">
        <v>23</v>
      </c>
      <c r="D77" s="135" t="s">
        <v>28</v>
      </c>
      <c r="E77" s="135">
        <v>170.2</v>
      </c>
      <c r="F77" s="135">
        <v>168.7</v>
      </c>
      <c r="G77" s="135">
        <v>1.5</v>
      </c>
      <c r="H77" s="135">
        <v>5000</v>
      </c>
      <c r="I77" s="75">
        <v>7500</v>
      </c>
      <c r="J77" s="131"/>
    </row>
    <row r="78" spans="1:10" x14ac:dyDescent="0.3">
      <c r="A78" s="131"/>
      <c r="B78" s="134">
        <v>42884</v>
      </c>
      <c r="C78" s="135" t="s">
        <v>23</v>
      </c>
      <c r="D78" s="135" t="s">
        <v>28</v>
      </c>
      <c r="E78" s="135">
        <v>170</v>
      </c>
      <c r="F78" s="135">
        <v>169.7</v>
      </c>
      <c r="G78" s="135">
        <v>0.3</v>
      </c>
      <c r="H78" s="135">
        <v>5000</v>
      </c>
      <c r="I78" s="75">
        <v>1500</v>
      </c>
      <c r="J78" s="131"/>
    </row>
    <row r="79" spans="1:10" x14ac:dyDescent="0.3">
      <c r="A79" s="131"/>
      <c r="B79" s="134">
        <v>42885</v>
      </c>
      <c r="C79" s="135" t="s">
        <v>23</v>
      </c>
      <c r="D79" s="135" t="s">
        <v>28</v>
      </c>
      <c r="E79" s="135">
        <v>169.7</v>
      </c>
      <c r="F79" s="135">
        <v>170.7</v>
      </c>
      <c r="G79" s="135">
        <v>-1</v>
      </c>
      <c r="H79" s="135">
        <v>5000</v>
      </c>
      <c r="I79" s="75">
        <v>-5000</v>
      </c>
      <c r="J79" s="131"/>
    </row>
    <row r="80" spans="1:10" x14ac:dyDescent="0.3">
      <c r="A80" s="131"/>
      <c r="B80" s="134">
        <v>42886</v>
      </c>
      <c r="C80" s="135" t="s">
        <v>23</v>
      </c>
      <c r="D80" s="135" t="s">
        <v>29</v>
      </c>
      <c r="E80" s="135">
        <v>366</v>
      </c>
      <c r="F80" s="135">
        <v>368.5</v>
      </c>
      <c r="G80" s="135">
        <v>-2.5</v>
      </c>
      <c r="H80" s="135">
        <v>1000</v>
      </c>
      <c r="I80" s="75">
        <v>-2500</v>
      </c>
      <c r="J80" s="131"/>
    </row>
    <row r="81" spans="1:10" ht="23.4" x14ac:dyDescent="0.45">
      <c r="A81" s="131"/>
      <c r="B81" s="134"/>
      <c r="I81" s="179">
        <v>21750</v>
      </c>
      <c r="J81" s="131"/>
    </row>
    <row r="82" spans="1:10" x14ac:dyDescent="0.3">
      <c r="B82" s="134"/>
    </row>
    <row r="83" spans="1:10" x14ac:dyDescent="0.3">
      <c r="B83" s="134"/>
    </row>
    <row r="84" spans="1:10" x14ac:dyDescent="0.3">
      <c r="B84" s="134"/>
    </row>
    <row r="86" spans="1:10" ht="21" x14ac:dyDescent="0.4">
      <c r="I86" s="176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500-000000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81"/>
  <sheetViews>
    <sheetView topLeftCell="A10"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2" width="10.33203125" style="75" customWidth="1"/>
    <col min="13" max="13" width="8.6640625" style="75" customWidth="1"/>
    <col min="14" max="14" width="8.5546875" style="75" customWidth="1"/>
    <col min="15" max="16384" width="9.109375" style="75"/>
  </cols>
  <sheetData>
    <row r="1" spans="1:15" ht="15" thickBot="1" x14ac:dyDescent="0.35">
      <c r="A1" s="17"/>
      <c r="B1" s="294"/>
      <c r="C1" s="294"/>
      <c r="D1" s="294"/>
      <c r="E1" s="294"/>
      <c r="F1" s="294"/>
      <c r="G1" s="294"/>
      <c r="H1" s="294"/>
      <c r="I1" s="294"/>
      <c r="J1" s="17"/>
    </row>
    <row r="2" spans="1:15" ht="29.4" thickBot="1" x14ac:dyDescent="0.35">
      <c r="A2" s="17" t="s">
        <v>0</v>
      </c>
      <c r="B2" s="297" t="s">
        <v>128</v>
      </c>
      <c r="C2" s="297"/>
      <c r="D2" s="297"/>
      <c r="E2" s="297"/>
      <c r="F2" s="297"/>
      <c r="G2" s="297"/>
      <c r="H2" s="297"/>
      <c r="I2" s="297"/>
      <c r="J2" s="17"/>
      <c r="K2" s="257" t="s">
        <v>872</v>
      </c>
    </row>
    <row r="3" spans="1:15" x14ac:dyDescent="0.3">
      <c r="A3" s="17"/>
      <c r="B3" s="303">
        <v>42887</v>
      </c>
      <c r="C3" s="300"/>
      <c r="D3" s="300"/>
      <c r="E3" s="300"/>
      <c r="F3" s="300"/>
      <c r="G3" s="300"/>
      <c r="H3" s="300"/>
      <c r="I3" s="300"/>
      <c r="J3" s="17"/>
    </row>
    <row r="4" spans="1:15" x14ac:dyDescent="0.3">
      <c r="A4" s="17"/>
      <c r="B4" s="301" t="s">
        <v>778</v>
      </c>
      <c r="C4" s="301"/>
      <c r="D4" s="301"/>
      <c r="E4" s="301"/>
      <c r="F4" s="301"/>
      <c r="G4" s="301"/>
      <c r="H4" s="301"/>
      <c r="I4" s="301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42887</v>
      </c>
      <c r="C6" s="135" t="s">
        <v>23</v>
      </c>
      <c r="D6" s="135" t="s">
        <v>24</v>
      </c>
      <c r="E6" s="135">
        <v>28970</v>
      </c>
      <c r="F6" s="135">
        <v>28870</v>
      </c>
      <c r="G6" s="135">
        <v>100</v>
      </c>
      <c r="H6" s="135">
        <v>100</v>
      </c>
      <c r="I6" s="75">
        <v>10000</v>
      </c>
      <c r="J6" s="17"/>
      <c r="K6" s="71"/>
    </row>
    <row r="7" spans="1:15" x14ac:dyDescent="0.3">
      <c r="A7" s="17"/>
      <c r="B7" s="134">
        <v>42888</v>
      </c>
      <c r="C7" s="135" t="s">
        <v>23</v>
      </c>
      <c r="D7" s="135" t="s">
        <v>24</v>
      </c>
      <c r="E7" s="135">
        <v>28890</v>
      </c>
      <c r="F7" s="135">
        <v>28990</v>
      </c>
      <c r="G7" s="135">
        <v>-100</v>
      </c>
      <c r="H7" s="135">
        <v>100</v>
      </c>
      <c r="I7" s="75">
        <v>-10000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42891</v>
      </c>
      <c r="C8" s="151" t="s">
        <v>23</v>
      </c>
      <c r="D8" s="151" t="s">
        <v>24</v>
      </c>
      <c r="E8" s="151">
        <v>29240</v>
      </c>
      <c r="F8" s="151">
        <v>29200</v>
      </c>
      <c r="G8" s="151">
        <v>40</v>
      </c>
      <c r="H8" s="151">
        <v>100</v>
      </c>
      <c r="I8" s="75">
        <v>4000</v>
      </c>
      <c r="J8" s="17"/>
      <c r="K8" s="175" t="s">
        <v>257</v>
      </c>
      <c r="L8" s="165" t="s">
        <v>553</v>
      </c>
      <c r="M8" s="101" t="s">
        <v>267</v>
      </c>
      <c r="N8" s="101" t="s">
        <v>264</v>
      </c>
      <c r="O8" s="75">
        <v>0</v>
      </c>
    </row>
    <row r="9" spans="1:15" x14ac:dyDescent="0.3">
      <c r="A9" s="17"/>
      <c r="B9" s="134">
        <v>42892</v>
      </c>
      <c r="C9" s="151" t="s">
        <v>23</v>
      </c>
      <c r="D9" s="151" t="s">
        <v>24</v>
      </c>
      <c r="E9" s="151">
        <v>29440</v>
      </c>
      <c r="F9" s="151">
        <v>29540</v>
      </c>
      <c r="G9" s="151">
        <v>-100</v>
      </c>
      <c r="H9" s="151">
        <v>100</v>
      </c>
      <c r="I9" s="75">
        <v>-10000</v>
      </c>
      <c r="J9" s="17"/>
      <c r="K9" s="175" t="s">
        <v>258</v>
      </c>
      <c r="L9" s="165" t="s">
        <v>260</v>
      </c>
      <c r="M9" s="101" t="s">
        <v>298</v>
      </c>
      <c r="N9" s="101" t="s">
        <v>266</v>
      </c>
      <c r="O9" s="75">
        <v>1</v>
      </c>
    </row>
    <row r="10" spans="1:15" x14ac:dyDescent="0.3">
      <c r="A10" s="17"/>
      <c r="B10" s="134">
        <v>42893</v>
      </c>
      <c r="C10" s="151" t="s">
        <v>16</v>
      </c>
      <c r="D10" s="151" t="s">
        <v>24</v>
      </c>
      <c r="E10" s="151">
        <v>29480</v>
      </c>
      <c r="F10" s="151">
        <v>29540</v>
      </c>
      <c r="G10" s="151">
        <v>60</v>
      </c>
      <c r="H10" s="151">
        <v>100</v>
      </c>
      <c r="I10" s="75">
        <v>6000</v>
      </c>
      <c r="J10" s="17"/>
      <c r="K10" s="175" t="s">
        <v>259</v>
      </c>
      <c r="L10" s="165" t="s">
        <v>553</v>
      </c>
      <c r="M10" s="101" t="s">
        <v>298</v>
      </c>
      <c r="N10" s="101" t="s">
        <v>266</v>
      </c>
      <c r="O10" s="75">
        <v>0</v>
      </c>
    </row>
    <row r="11" spans="1:15" x14ac:dyDescent="0.3">
      <c r="A11" s="17"/>
      <c r="B11" s="134">
        <v>42894</v>
      </c>
      <c r="C11" s="135" t="s">
        <v>23</v>
      </c>
      <c r="D11" s="135" t="s">
        <v>24</v>
      </c>
      <c r="E11" s="135">
        <v>29370</v>
      </c>
      <c r="F11" s="135">
        <v>29170</v>
      </c>
      <c r="G11" s="135">
        <v>200</v>
      </c>
      <c r="H11" s="135">
        <v>100</v>
      </c>
      <c r="I11" s="75">
        <v>20000</v>
      </c>
      <c r="J11" s="17"/>
      <c r="K11" s="175" t="s">
        <v>300</v>
      </c>
      <c r="L11" s="104" t="s">
        <v>858</v>
      </c>
      <c r="M11" s="104" t="s">
        <v>520</v>
      </c>
      <c r="N11" s="104" t="s">
        <v>291</v>
      </c>
      <c r="O11" s="172">
        <v>1</v>
      </c>
    </row>
    <row r="12" spans="1:15" x14ac:dyDescent="0.3">
      <c r="A12" s="17"/>
      <c r="B12" s="134">
        <v>42895</v>
      </c>
      <c r="C12" s="135" t="s">
        <v>23</v>
      </c>
      <c r="D12" s="135" t="s">
        <v>24</v>
      </c>
      <c r="E12" s="135">
        <v>29060</v>
      </c>
      <c r="F12" s="135">
        <v>28920</v>
      </c>
      <c r="G12" s="135">
        <v>140</v>
      </c>
      <c r="H12" s="135">
        <v>100</v>
      </c>
      <c r="I12" s="75">
        <v>14000</v>
      </c>
      <c r="J12" s="17"/>
    </row>
    <row r="13" spans="1:15" x14ac:dyDescent="0.3">
      <c r="A13" s="17"/>
      <c r="B13" s="134">
        <v>42898</v>
      </c>
      <c r="C13" s="135" t="s">
        <v>23</v>
      </c>
      <c r="D13" s="135" t="s">
        <v>24</v>
      </c>
      <c r="E13" s="135">
        <v>28970</v>
      </c>
      <c r="F13" s="135">
        <v>28980</v>
      </c>
      <c r="G13" s="135">
        <v>-10</v>
      </c>
      <c r="H13" s="135">
        <v>100</v>
      </c>
      <c r="I13" s="75">
        <v>-1000</v>
      </c>
      <c r="J13" s="17"/>
      <c r="K13" s="71"/>
    </row>
    <row r="14" spans="1:15" x14ac:dyDescent="0.3">
      <c r="A14" s="17"/>
      <c r="B14" s="134">
        <v>42899</v>
      </c>
      <c r="C14" s="135" t="s">
        <v>23</v>
      </c>
      <c r="D14" s="135" t="s">
        <v>24</v>
      </c>
      <c r="E14" s="135">
        <v>28900</v>
      </c>
      <c r="F14" s="135">
        <v>28845</v>
      </c>
      <c r="G14" s="135">
        <v>55</v>
      </c>
      <c r="H14" s="135">
        <v>100</v>
      </c>
      <c r="I14" s="75">
        <v>5500</v>
      </c>
      <c r="J14" s="17"/>
      <c r="K14" s="132"/>
      <c r="L14" s="127" t="s">
        <v>832</v>
      </c>
      <c r="M14" s="128"/>
      <c r="N14" s="133" t="s">
        <v>871</v>
      </c>
    </row>
    <row r="15" spans="1:15" x14ac:dyDescent="0.3">
      <c r="A15" s="17"/>
      <c r="B15" s="134">
        <v>42900</v>
      </c>
      <c r="C15" s="135" t="s">
        <v>23</v>
      </c>
      <c r="D15" s="135" t="s">
        <v>24</v>
      </c>
      <c r="E15" s="135">
        <v>28940</v>
      </c>
      <c r="F15" s="135">
        <v>28880</v>
      </c>
      <c r="G15" s="135">
        <v>60</v>
      </c>
      <c r="H15" s="135">
        <v>100</v>
      </c>
      <c r="I15" s="75">
        <v>6000</v>
      </c>
      <c r="J15" s="17"/>
      <c r="K15" s="71"/>
    </row>
    <row r="16" spans="1:15" x14ac:dyDescent="0.3">
      <c r="A16" s="17"/>
      <c r="B16" s="134">
        <v>42901</v>
      </c>
      <c r="C16" s="135" t="s">
        <v>23</v>
      </c>
      <c r="D16" s="135" t="s">
        <v>24</v>
      </c>
      <c r="E16" s="135">
        <v>28820</v>
      </c>
      <c r="F16" s="135">
        <v>28720</v>
      </c>
      <c r="G16" s="135">
        <v>100</v>
      </c>
      <c r="H16" s="135">
        <v>100</v>
      </c>
      <c r="I16" s="75">
        <v>10000</v>
      </c>
      <c r="J16" s="17"/>
      <c r="K16" s="71"/>
    </row>
    <row r="17" spans="1:11" x14ac:dyDescent="0.3">
      <c r="A17" s="17"/>
      <c r="B17" s="134">
        <v>42902</v>
      </c>
      <c r="C17" s="135" t="s">
        <v>23</v>
      </c>
      <c r="D17" s="135" t="s">
        <v>24</v>
      </c>
      <c r="E17" s="135">
        <v>28790</v>
      </c>
      <c r="F17" s="135">
        <v>28690</v>
      </c>
      <c r="G17" s="135">
        <v>100</v>
      </c>
      <c r="H17" s="135">
        <v>100</v>
      </c>
      <c r="I17" s="75">
        <v>10000</v>
      </c>
      <c r="J17" s="17"/>
      <c r="K17" s="71"/>
    </row>
    <row r="18" spans="1:11" x14ac:dyDescent="0.3">
      <c r="A18" s="17"/>
      <c r="B18" s="134">
        <v>42905</v>
      </c>
      <c r="C18" s="135" t="s">
        <v>23</v>
      </c>
      <c r="D18" s="135" t="s">
        <v>24</v>
      </c>
      <c r="E18" s="135">
        <v>28640</v>
      </c>
      <c r="F18" s="135">
        <v>28540</v>
      </c>
      <c r="G18" s="135">
        <v>100</v>
      </c>
      <c r="H18" s="135">
        <v>100</v>
      </c>
      <c r="I18" s="75">
        <v>10000</v>
      </c>
      <c r="J18" s="17"/>
      <c r="K18" s="71"/>
    </row>
    <row r="19" spans="1:11" x14ac:dyDescent="0.3">
      <c r="A19" s="17"/>
      <c r="B19" s="134">
        <v>42906</v>
      </c>
      <c r="C19" s="135" t="s">
        <v>23</v>
      </c>
      <c r="D19" s="135" t="s">
        <v>24</v>
      </c>
      <c r="E19" s="135">
        <v>28550</v>
      </c>
      <c r="F19" s="135">
        <v>28490</v>
      </c>
      <c r="G19" s="135">
        <v>60</v>
      </c>
      <c r="H19" s="135">
        <v>100</v>
      </c>
      <c r="I19" s="75">
        <v>6000</v>
      </c>
      <c r="J19" s="17"/>
      <c r="K19" s="71"/>
    </row>
    <row r="20" spans="1:11" x14ac:dyDescent="0.3">
      <c r="A20" s="17"/>
      <c r="B20" s="134">
        <v>42907</v>
      </c>
      <c r="C20" s="135" t="s">
        <v>23</v>
      </c>
      <c r="D20" s="135" t="s">
        <v>24</v>
      </c>
      <c r="E20" s="135">
        <v>28620</v>
      </c>
      <c r="F20" s="135">
        <v>28460</v>
      </c>
      <c r="G20" s="135">
        <v>160</v>
      </c>
      <c r="H20" s="135">
        <v>100</v>
      </c>
      <c r="I20" s="75">
        <v>16000</v>
      </c>
      <c r="J20" s="17"/>
      <c r="K20" s="71"/>
    </row>
    <row r="21" spans="1:11" x14ac:dyDescent="0.3">
      <c r="A21" s="17"/>
      <c r="B21" s="134">
        <v>42908</v>
      </c>
      <c r="C21" s="135" t="s">
        <v>23</v>
      </c>
      <c r="D21" s="135" t="s">
        <v>24</v>
      </c>
      <c r="E21" s="135">
        <v>28710</v>
      </c>
      <c r="F21" s="135">
        <v>28665</v>
      </c>
      <c r="G21" s="135">
        <v>45</v>
      </c>
      <c r="H21" s="135">
        <v>100</v>
      </c>
      <c r="I21" s="75">
        <v>4500</v>
      </c>
      <c r="J21" s="17"/>
      <c r="K21" s="71"/>
    </row>
    <row r="22" spans="1:11" x14ac:dyDescent="0.3">
      <c r="A22" s="17"/>
      <c r="B22" s="134">
        <v>42909</v>
      </c>
      <c r="C22" s="135" t="s">
        <v>23</v>
      </c>
      <c r="D22" s="135" t="s">
        <v>24</v>
      </c>
      <c r="E22" s="135">
        <v>28710</v>
      </c>
      <c r="F22" s="135">
        <v>28810</v>
      </c>
      <c r="G22" s="135">
        <v>-100</v>
      </c>
      <c r="H22" s="135">
        <v>100</v>
      </c>
      <c r="I22" s="75">
        <v>-10000</v>
      </c>
      <c r="J22" s="17"/>
      <c r="K22" s="71"/>
    </row>
    <row r="23" spans="1:11" x14ac:dyDescent="0.3">
      <c r="A23" s="17"/>
      <c r="B23" s="134">
        <v>42913</v>
      </c>
      <c r="C23" s="135" t="s">
        <v>23</v>
      </c>
      <c r="D23" s="135" t="s">
        <v>24</v>
      </c>
      <c r="E23" s="135">
        <v>28630</v>
      </c>
      <c r="F23" s="135">
        <v>28500</v>
      </c>
      <c r="G23" s="135">
        <v>130</v>
      </c>
      <c r="H23" s="135">
        <v>100</v>
      </c>
      <c r="I23" s="75">
        <v>13000</v>
      </c>
      <c r="J23" s="17"/>
      <c r="K23" s="71"/>
    </row>
    <row r="24" spans="1:11" x14ac:dyDescent="0.3">
      <c r="A24" s="17"/>
      <c r="B24" s="134">
        <v>42914</v>
      </c>
      <c r="C24" s="135" t="s">
        <v>23</v>
      </c>
      <c r="D24" s="135" t="s">
        <v>24</v>
      </c>
      <c r="E24" s="135">
        <v>28710</v>
      </c>
      <c r="F24" s="135">
        <v>28570</v>
      </c>
      <c r="G24" s="135">
        <v>140</v>
      </c>
      <c r="H24" s="135">
        <v>100</v>
      </c>
      <c r="I24" s="75">
        <v>14000</v>
      </c>
      <c r="J24" s="17"/>
      <c r="K24" s="71"/>
    </row>
    <row r="25" spans="1:11" x14ac:dyDescent="0.3">
      <c r="A25" s="17"/>
      <c r="B25" s="134">
        <v>42915</v>
      </c>
      <c r="C25" s="135" t="s">
        <v>23</v>
      </c>
      <c r="D25" s="135" t="s">
        <v>24</v>
      </c>
      <c r="E25" s="135">
        <v>28550</v>
      </c>
      <c r="F25" s="135">
        <v>28450</v>
      </c>
      <c r="G25" s="135">
        <v>100</v>
      </c>
      <c r="H25" s="135">
        <v>100</v>
      </c>
      <c r="I25" s="75">
        <v>10000</v>
      </c>
      <c r="J25" s="17"/>
      <c r="K25" s="71"/>
    </row>
    <row r="26" spans="1:11" x14ac:dyDescent="0.3">
      <c r="A26" s="17"/>
      <c r="B26" s="134">
        <v>42916</v>
      </c>
      <c r="C26" s="135" t="s">
        <v>23</v>
      </c>
      <c r="D26" s="135" t="s">
        <v>24</v>
      </c>
      <c r="E26" s="135">
        <v>28550</v>
      </c>
      <c r="F26" s="135">
        <v>28410</v>
      </c>
      <c r="G26" s="135">
        <v>140</v>
      </c>
      <c r="H26" s="135">
        <v>100</v>
      </c>
      <c r="I26" s="75">
        <v>14000</v>
      </c>
      <c r="J26" s="17"/>
      <c r="K26" s="71"/>
    </row>
    <row r="27" spans="1:11" ht="25.8" x14ac:dyDescent="0.5">
      <c r="A27" s="17"/>
      <c r="C27" s="157"/>
      <c r="D27" s="156"/>
      <c r="E27" s="158"/>
      <c r="F27" s="157"/>
      <c r="G27" s="157"/>
      <c r="H27" s="157"/>
      <c r="I27" s="178">
        <v>142000</v>
      </c>
      <c r="J27" s="17"/>
    </row>
    <row r="28" spans="1:11" x14ac:dyDescent="0.3">
      <c r="A28" s="17"/>
      <c r="C28" s="157"/>
      <c r="D28" s="158"/>
      <c r="E28" s="158"/>
      <c r="F28" s="157"/>
      <c r="G28" s="157"/>
      <c r="H28" s="157"/>
      <c r="J28" s="17"/>
    </row>
    <row r="29" spans="1:11" x14ac:dyDescent="0.3">
      <c r="A29" s="17"/>
      <c r="B29" s="164" t="s">
        <v>789</v>
      </c>
      <c r="C29" s="159"/>
      <c r="D29" s="160"/>
      <c r="E29" s="159"/>
      <c r="F29" s="159"/>
      <c r="G29" s="159"/>
      <c r="H29" s="159"/>
      <c r="I29" s="159"/>
      <c r="J29" s="17"/>
    </row>
    <row r="30" spans="1:11" x14ac:dyDescent="0.3">
      <c r="A30" s="17"/>
      <c r="B30" s="134">
        <v>42887</v>
      </c>
      <c r="C30" s="135" t="s">
        <v>23</v>
      </c>
      <c r="D30" s="135" t="s">
        <v>25</v>
      </c>
      <c r="E30" s="135">
        <v>3170</v>
      </c>
      <c r="F30" s="135">
        <v>3120</v>
      </c>
      <c r="G30" s="135">
        <v>50</v>
      </c>
      <c r="H30" s="135">
        <v>100</v>
      </c>
      <c r="I30" s="75">
        <v>5000</v>
      </c>
      <c r="J30" s="17"/>
    </row>
    <row r="31" spans="1:11" x14ac:dyDescent="0.3">
      <c r="A31" s="17"/>
      <c r="B31" s="134">
        <v>42888</v>
      </c>
      <c r="C31" s="135" t="s">
        <v>23</v>
      </c>
      <c r="D31" s="135" t="s">
        <v>25</v>
      </c>
      <c r="E31" s="135">
        <v>3075</v>
      </c>
      <c r="F31" s="135">
        <v>3025</v>
      </c>
      <c r="G31" s="135">
        <v>50</v>
      </c>
      <c r="H31" s="135">
        <v>100</v>
      </c>
      <c r="I31" s="75">
        <v>5000</v>
      </c>
      <c r="J31" s="17"/>
    </row>
    <row r="32" spans="1:11" x14ac:dyDescent="0.3">
      <c r="A32" s="17"/>
      <c r="B32" s="134">
        <v>42891</v>
      </c>
      <c r="C32" s="135" t="s">
        <v>23</v>
      </c>
      <c r="D32" s="135" t="s">
        <v>25</v>
      </c>
      <c r="E32" s="135">
        <v>3090</v>
      </c>
      <c r="F32" s="135">
        <v>3035</v>
      </c>
      <c r="G32" s="135">
        <v>55</v>
      </c>
      <c r="H32" s="135">
        <v>100</v>
      </c>
      <c r="I32" s="75">
        <v>5500</v>
      </c>
      <c r="J32" s="17"/>
    </row>
    <row r="33" spans="1:10" x14ac:dyDescent="0.3">
      <c r="A33" s="17"/>
      <c r="B33" s="134">
        <v>42891</v>
      </c>
      <c r="C33" s="135" t="s">
        <v>23</v>
      </c>
      <c r="D33" s="135" t="s">
        <v>26</v>
      </c>
      <c r="E33" s="135">
        <v>195</v>
      </c>
      <c r="F33" s="135">
        <v>191</v>
      </c>
      <c r="G33" s="135">
        <v>4</v>
      </c>
      <c r="H33" s="135">
        <v>1250</v>
      </c>
      <c r="I33" s="75">
        <v>5000</v>
      </c>
      <c r="J33" s="17"/>
    </row>
    <row r="34" spans="1:10" x14ac:dyDescent="0.3">
      <c r="A34" s="17"/>
      <c r="B34" s="134">
        <v>42892</v>
      </c>
      <c r="C34" s="135" t="s">
        <v>23</v>
      </c>
      <c r="D34" s="135" t="s">
        <v>25</v>
      </c>
      <c r="E34" s="135">
        <v>3050</v>
      </c>
      <c r="F34" s="135">
        <v>3085</v>
      </c>
      <c r="G34" s="135">
        <v>-35</v>
      </c>
      <c r="H34" s="135">
        <v>100</v>
      </c>
      <c r="I34" s="75">
        <v>-3500</v>
      </c>
      <c r="J34" s="17"/>
    </row>
    <row r="35" spans="1:10" x14ac:dyDescent="0.3">
      <c r="A35" s="17"/>
      <c r="B35" s="134">
        <v>42893</v>
      </c>
      <c r="C35" s="135" t="s">
        <v>23</v>
      </c>
      <c r="D35" s="135" t="s">
        <v>25</v>
      </c>
      <c r="E35" s="135">
        <v>3100</v>
      </c>
      <c r="F35" s="135">
        <v>3020</v>
      </c>
      <c r="G35" s="135">
        <v>80</v>
      </c>
      <c r="H35" s="135">
        <v>100</v>
      </c>
      <c r="I35" s="75">
        <v>8000</v>
      </c>
      <c r="J35" s="17"/>
    </row>
    <row r="36" spans="1:10" x14ac:dyDescent="0.3">
      <c r="A36" s="17"/>
      <c r="B36" s="134">
        <v>42894</v>
      </c>
      <c r="C36" s="135" t="s">
        <v>23</v>
      </c>
      <c r="D36" s="135" t="s">
        <v>25</v>
      </c>
      <c r="E36" s="135">
        <v>2970</v>
      </c>
      <c r="F36" s="135">
        <v>2920</v>
      </c>
      <c r="G36" s="135">
        <v>50</v>
      </c>
      <c r="H36" s="135">
        <v>100</v>
      </c>
      <c r="I36" s="75">
        <v>5000</v>
      </c>
      <c r="J36" s="17"/>
    </row>
    <row r="37" spans="1:10" x14ac:dyDescent="0.3">
      <c r="A37" s="17"/>
      <c r="B37" s="134">
        <v>42895</v>
      </c>
      <c r="C37" s="135" t="s">
        <v>23</v>
      </c>
      <c r="D37" s="135" t="s">
        <v>25</v>
      </c>
      <c r="E37" s="135">
        <v>2940</v>
      </c>
      <c r="F37" s="135">
        <v>2920</v>
      </c>
      <c r="G37" s="135">
        <v>20</v>
      </c>
      <c r="H37" s="135">
        <v>100</v>
      </c>
      <c r="I37" s="75">
        <v>2000</v>
      </c>
      <c r="J37" s="17"/>
    </row>
    <row r="38" spans="1:10" x14ac:dyDescent="0.3">
      <c r="A38" s="17"/>
      <c r="B38" s="134">
        <v>42898</v>
      </c>
      <c r="C38" s="135" t="s">
        <v>23</v>
      </c>
      <c r="D38" s="135" t="s">
        <v>25</v>
      </c>
      <c r="E38" s="135">
        <v>2965</v>
      </c>
      <c r="F38" s="135">
        <v>2945</v>
      </c>
      <c r="G38" s="135">
        <v>20</v>
      </c>
      <c r="H38" s="135">
        <v>100</v>
      </c>
      <c r="I38" s="75">
        <v>2000</v>
      </c>
      <c r="J38" s="17"/>
    </row>
    <row r="39" spans="1:10" x14ac:dyDescent="0.3">
      <c r="A39" s="17"/>
      <c r="B39" s="134">
        <v>42899</v>
      </c>
      <c r="C39" s="135" t="s">
        <v>23</v>
      </c>
      <c r="D39" s="135" t="s">
        <v>25</v>
      </c>
      <c r="E39" s="135">
        <v>2985</v>
      </c>
      <c r="F39" s="135">
        <v>2940</v>
      </c>
      <c r="G39" s="135">
        <v>45</v>
      </c>
      <c r="H39" s="135">
        <v>100</v>
      </c>
      <c r="I39" s="75">
        <v>4500</v>
      </c>
      <c r="J39" s="17"/>
    </row>
    <row r="40" spans="1:10" x14ac:dyDescent="0.3">
      <c r="A40" s="17"/>
      <c r="B40" s="134">
        <v>42900</v>
      </c>
      <c r="C40" s="135" t="s">
        <v>23</v>
      </c>
      <c r="D40" s="135" t="s">
        <v>25</v>
      </c>
      <c r="E40" s="135">
        <v>2960</v>
      </c>
      <c r="F40" s="135">
        <v>2880</v>
      </c>
      <c r="G40" s="135">
        <v>80</v>
      </c>
      <c r="H40" s="135">
        <v>100</v>
      </c>
      <c r="I40" s="75">
        <v>8000</v>
      </c>
      <c r="J40" s="17"/>
    </row>
    <row r="41" spans="1:10" x14ac:dyDescent="0.3">
      <c r="A41" s="17"/>
      <c r="B41" s="134">
        <v>42901</v>
      </c>
      <c r="C41" s="135" t="s">
        <v>23</v>
      </c>
      <c r="D41" s="135" t="s">
        <v>25</v>
      </c>
      <c r="E41" s="135">
        <v>2875</v>
      </c>
      <c r="F41" s="135">
        <v>2880</v>
      </c>
      <c r="G41" s="135">
        <v>-5</v>
      </c>
      <c r="H41" s="135">
        <v>100</v>
      </c>
      <c r="I41" s="75">
        <v>-500</v>
      </c>
      <c r="J41" s="17"/>
    </row>
    <row r="42" spans="1:10" x14ac:dyDescent="0.3">
      <c r="A42" s="17"/>
      <c r="B42" s="134">
        <v>42902</v>
      </c>
      <c r="C42" s="135" t="s">
        <v>23</v>
      </c>
      <c r="D42" s="135" t="s">
        <v>25</v>
      </c>
      <c r="E42" s="135">
        <v>2880</v>
      </c>
      <c r="F42" s="135">
        <v>2880</v>
      </c>
      <c r="G42" s="135">
        <v>0</v>
      </c>
      <c r="H42" s="135">
        <v>100</v>
      </c>
      <c r="I42" s="75">
        <v>0</v>
      </c>
      <c r="J42" s="17"/>
    </row>
    <row r="43" spans="1:10" x14ac:dyDescent="0.3">
      <c r="A43" s="17"/>
      <c r="B43" s="134">
        <v>42905</v>
      </c>
      <c r="C43" s="135" t="s">
        <v>23</v>
      </c>
      <c r="D43" s="135" t="s">
        <v>25</v>
      </c>
      <c r="E43" s="135">
        <v>2900</v>
      </c>
      <c r="F43" s="135">
        <v>2888</v>
      </c>
      <c r="G43" s="135">
        <v>12</v>
      </c>
      <c r="H43" s="135">
        <v>100</v>
      </c>
      <c r="I43" s="75">
        <v>1200</v>
      </c>
      <c r="J43" s="17"/>
    </row>
    <row r="44" spans="1:10" x14ac:dyDescent="0.3">
      <c r="A44" s="17"/>
      <c r="B44" s="134">
        <v>42906</v>
      </c>
      <c r="C44" s="135" t="s">
        <v>23</v>
      </c>
      <c r="D44" s="135" t="s">
        <v>25</v>
      </c>
      <c r="E44" s="135">
        <v>2890</v>
      </c>
      <c r="F44" s="135">
        <v>2810</v>
      </c>
      <c r="G44" s="135">
        <v>80</v>
      </c>
      <c r="H44" s="135">
        <v>100</v>
      </c>
      <c r="I44" s="75">
        <v>8000</v>
      </c>
      <c r="J44" s="17"/>
    </row>
    <row r="45" spans="1:10" x14ac:dyDescent="0.3">
      <c r="A45" s="17"/>
      <c r="B45" s="134">
        <v>42907</v>
      </c>
      <c r="C45" s="135" t="s">
        <v>23</v>
      </c>
      <c r="D45" s="135" t="s">
        <v>25</v>
      </c>
      <c r="E45" s="135">
        <v>2830</v>
      </c>
      <c r="F45" s="135">
        <v>2800</v>
      </c>
      <c r="G45" s="135">
        <v>30</v>
      </c>
      <c r="H45" s="135">
        <v>100</v>
      </c>
      <c r="I45" s="75">
        <v>3000</v>
      </c>
      <c r="J45" s="17"/>
    </row>
    <row r="46" spans="1:10" x14ac:dyDescent="0.3">
      <c r="A46" s="17"/>
      <c r="B46" s="134">
        <v>42908</v>
      </c>
      <c r="C46" s="135" t="s">
        <v>23</v>
      </c>
      <c r="D46" s="135" t="s">
        <v>25</v>
      </c>
      <c r="E46" s="135">
        <v>2755</v>
      </c>
      <c r="F46" s="135">
        <v>2790</v>
      </c>
      <c r="G46" s="135">
        <v>-35</v>
      </c>
      <c r="H46" s="135">
        <v>100</v>
      </c>
      <c r="I46" s="75">
        <v>-3500</v>
      </c>
      <c r="J46" s="17"/>
    </row>
    <row r="47" spans="1:10" x14ac:dyDescent="0.3">
      <c r="A47" s="17"/>
      <c r="B47" s="134">
        <v>42909</v>
      </c>
      <c r="C47" s="135" t="s">
        <v>23</v>
      </c>
      <c r="D47" s="135" t="s">
        <v>25</v>
      </c>
      <c r="E47" s="135">
        <v>2775</v>
      </c>
      <c r="F47" s="135">
        <v>2755</v>
      </c>
      <c r="G47" s="135">
        <v>20</v>
      </c>
      <c r="H47" s="135">
        <v>100</v>
      </c>
      <c r="I47" s="75">
        <v>2000</v>
      </c>
      <c r="J47" s="17"/>
    </row>
    <row r="48" spans="1:10" x14ac:dyDescent="0.3">
      <c r="A48" s="17"/>
      <c r="B48" s="134">
        <v>42913</v>
      </c>
      <c r="C48" s="135" t="s">
        <v>23</v>
      </c>
      <c r="D48" s="135" t="s">
        <v>25</v>
      </c>
      <c r="E48" s="135">
        <v>2830</v>
      </c>
      <c r="F48" s="135">
        <v>2865</v>
      </c>
      <c r="G48" s="135">
        <v>-35</v>
      </c>
      <c r="H48" s="135">
        <v>100</v>
      </c>
      <c r="I48" s="75">
        <v>-3500</v>
      </c>
      <c r="J48" s="17"/>
    </row>
    <row r="49" spans="1:10" x14ac:dyDescent="0.3">
      <c r="A49" s="17"/>
      <c r="B49" s="134">
        <v>42914</v>
      </c>
      <c r="C49" s="135" t="s">
        <v>23</v>
      </c>
      <c r="D49" s="135" t="s">
        <v>25</v>
      </c>
      <c r="E49" s="135">
        <v>2855</v>
      </c>
      <c r="F49" s="135">
        <v>2885</v>
      </c>
      <c r="G49" s="135">
        <v>-30</v>
      </c>
      <c r="H49" s="135">
        <v>100</v>
      </c>
      <c r="I49" s="75">
        <v>-3000</v>
      </c>
      <c r="J49" s="17"/>
    </row>
    <row r="50" spans="1:10" x14ac:dyDescent="0.3">
      <c r="A50" s="17"/>
      <c r="B50" s="134">
        <v>42915</v>
      </c>
      <c r="C50" s="135" t="s">
        <v>23</v>
      </c>
      <c r="D50" s="135" t="s">
        <v>26</v>
      </c>
      <c r="E50" s="135">
        <v>200.5</v>
      </c>
      <c r="F50" s="135">
        <v>198</v>
      </c>
      <c r="G50" s="135">
        <v>2.5</v>
      </c>
      <c r="H50" s="135">
        <v>1250</v>
      </c>
      <c r="I50" s="75">
        <v>3125</v>
      </c>
      <c r="J50" s="17"/>
    </row>
    <row r="51" spans="1:10" x14ac:dyDescent="0.3">
      <c r="A51" s="17"/>
      <c r="B51" s="134">
        <v>42916</v>
      </c>
      <c r="C51" s="135" t="s">
        <v>16</v>
      </c>
      <c r="D51" s="135" t="s">
        <v>25</v>
      </c>
      <c r="E51" s="135">
        <v>2935</v>
      </c>
      <c r="F51" s="135">
        <v>2970</v>
      </c>
      <c r="G51" s="135">
        <v>35</v>
      </c>
      <c r="H51" s="135">
        <v>100</v>
      </c>
      <c r="I51" s="135">
        <v>3500</v>
      </c>
      <c r="J51" s="17"/>
    </row>
    <row r="52" spans="1:10" ht="18" x14ac:dyDescent="0.35">
      <c r="A52" s="142"/>
      <c r="B52" s="134"/>
      <c r="C52" s="137"/>
      <c r="D52" s="167"/>
      <c r="E52" s="137"/>
      <c r="F52" s="137"/>
      <c r="G52" s="137"/>
      <c r="H52" s="168"/>
      <c r="I52" s="138">
        <v>56825</v>
      </c>
      <c r="J52" s="17"/>
    </row>
    <row r="53" spans="1:10" x14ac:dyDescent="0.3">
      <c r="A53" s="17"/>
      <c r="B53" s="71"/>
      <c r="C53" s="157"/>
      <c r="D53" s="158"/>
      <c r="E53" s="157"/>
      <c r="F53" s="157" t="s">
        <v>870</v>
      </c>
      <c r="G53" s="157"/>
      <c r="H53" s="157"/>
      <c r="I53" s="157"/>
      <c r="J53" s="17"/>
    </row>
    <row r="54" spans="1:10" x14ac:dyDescent="0.3">
      <c r="A54" s="17"/>
      <c r="B54" s="164" t="s">
        <v>788</v>
      </c>
      <c r="C54" s="159"/>
      <c r="D54" s="160"/>
      <c r="E54" s="159"/>
      <c r="F54" s="159"/>
      <c r="G54" s="159"/>
      <c r="H54" s="159"/>
      <c r="I54" s="64"/>
      <c r="J54" s="17"/>
    </row>
    <row r="55" spans="1:10" x14ac:dyDescent="0.3">
      <c r="A55" s="17"/>
      <c r="B55" s="134">
        <v>42887</v>
      </c>
      <c r="C55" s="135" t="s">
        <v>23</v>
      </c>
      <c r="D55" s="135" t="s">
        <v>28</v>
      </c>
      <c r="E55" s="135">
        <v>165.2</v>
      </c>
      <c r="F55" s="135">
        <v>166.2</v>
      </c>
      <c r="G55" s="135">
        <v>-1</v>
      </c>
      <c r="H55" s="135">
        <v>5000</v>
      </c>
      <c r="I55" s="75">
        <v>-5000</v>
      </c>
      <c r="J55" s="17"/>
    </row>
    <row r="56" spans="1:10" x14ac:dyDescent="0.3">
      <c r="A56" s="17"/>
      <c r="B56" s="134">
        <v>42888</v>
      </c>
      <c r="C56" s="135" t="s">
        <v>23</v>
      </c>
      <c r="D56" s="135" t="s">
        <v>28</v>
      </c>
      <c r="E56" s="135">
        <v>164.5</v>
      </c>
      <c r="F56" s="135">
        <v>162.5</v>
      </c>
      <c r="G56" s="135">
        <v>2</v>
      </c>
      <c r="H56" s="135">
        <v>5000</v>
      </c>
      <c r="I56" s="75">
        <v>10000</v>
      </c>
      <c r="J56" s="17"/>
    </row>
    <row r="57" spans="1:10" x14ac:dyDescent="0.3">
      <c r="A57" s="17"/>
      <c r="B57" s="134">
        <v>42891</v>
      </c>
      <c r="C57" s="135" t="s">
        <v>23</v>
      </c>
      <c r="D57" s="135" t="s">
        <v>28</v>
      </c>
      <c r="E57" s="135">
        <v>160.30000000000001</v>
      </c>
      <c r="F57" s="135">
        <v>159.75</v>
      </c>
      <c r="G57" s="135">
        <v>0.55000000000000004</v>
      </c>
      <c r="H57" s="135">
        <v>5000</v>
      </c>
      <c r="I57" s="75">
        <v>2750</v>
      </c>
      <c r="J57" s="131"/>
    </row>
    <row r="58" spans="1:10" x14ac:dyDescent="0.3">
      <c r="A58" s="131"/>
      <c r="B58" s="134">
        <v>42892</v>
      </c>
      <c r="C58" s="135" t="s">
        <v>23</v>
      </c>
      <c r="D58" s="135" t="s">
        <v>28</v>
      </c>
      <c r="E58" s="135">
        <v>160</v>
      </c>
      <c r="F58" s="135">
        <v>158.5</v>
      </c>
      <c r="G58" s="135">
        <v>1.5</v>
      </c>
      <c r="H58" s="135">
        <v>5000</v>
      </c>
      <c r="I58" s="75">
        <v>7500</v>
      </c>
      <c r="J58" s="131"/>
    </row>
    <row r="59" spans="1:10" x14ac:dyDescent="0.3">
      <c r="A59" s="131"/>
      <c r="B59" s="134">
        <v>42893</v>
      </c>
      <c r="C59" s="135" t="s">
        <v>23</v>
      </c>
      <c r="D59" s="135" t="s">
        <v>28</v>
      </c>
      <c r="E59" s="135">
        <v>158.6</v>
      </c>
      <c r="F59" s="135">
        <v>156.6</v>
      </c>
      <c r="G59" s="135">
        <v>2</v>
      </c>
      <c r="H59" s="135">
        <v>5000</v>
      </c>
      <c r="I59" s="75">
        <v>10000</v>
      </c>
      <c r="J59" s="131"/>
    </row>
    <row r="60" spans="1:10" x14ac:dyDescent="0.3">
      <c r="A60" s="131"/>
      <c r="B60" s="134">
        <v>42894</v>
      </c>
      <c r="C60" s="135" t="s">
        <v>23</v>
      </c>
      <c r="D60" s="135" t="s">
        <v>29</v>
      </c>
      <c r="E60" s="135">
        <v>365</v>
      </c>
      <c r="F60" s="135">
        <v>369</v>
      </c>
      <c r="G60" s="135">
        <v>4</v>
      </c>
      <c r="H60" s="135">
        <v>1000</v>
      </c>
      <c r="I60" s="75">
        <v>4000</v>
      </c>
      <c r="J60" s="131"/>
    </row>
    <row r="61" spans="1:10" x14ac:dyDescent="0.3">
      <c r="A61" s="131"/>
      <c r="B61" s="134">
        <v>42895</v>
      </c>
      <c r="C61" s="135" t="s">
        <v>23</v>
      </c>
      <c r="D61" s="135" t="s">
        <v>27</v>
      </c>
      <c r="E61" s="135">
        <v>134.4</v>
      </c>
      <c r="F61" s="135">
        <v>133.9</v>
      </c>
      <c r="G61" s="135">
        <v>0.5</v>
      </c>
      <c r="H61" s="135">
        <v>5000</v>
      </c>
      <c r="I61" s="75">
        <v>2500</v>
      </c>
      <c r="J61" s="131"/>
    </row>
    <row r="62" spans="1:10" x14ac:dyDescent="0.3">
      <c r="A62" s="131"/>
      <c r="B62" s="134">
        <v>42898</v>
      </c>
      <c r="C62" s="135" t="s">
        <v>23</v>
      </c>
      <c r="D62" s="135" t="s">
        <v>28</v>
      </c>
      <c r="E62" s="135">
        <v>162</v>
      </c>
      <c r="F62" s="135">
        <v>160</v>
      </c>
      <c r="G62" s="135">
        <v>2</v>
      </c>
      <c r="H62" s="135">
        <v>5000</v>
      </c>
      <c r="I62" s="75">
        <v>10000</v>
      </c>
      <c r="J62" s="131"/>
    </row>
    <row r="63" spans="1:10" x14ac:dyDescent="0.3">
      <c r="A63" s="131"/>
      <c r="B63" s="134">
        <v>42899</v>
      </c>
      <c r="C63" s="135" t="s">
        <v>16</v>
      </c>
      <c r="D63" s="135" t="s">
        <v>28</v>
      </c>
      <c r="E63" s="135">
        <v>158</v>
      </c>
      <c r="F63" s="135">
        <v>159</v>
      </c>
      <c r="G63" s="135">
        <v>1</v>
      </c>
      <c r="H63" s="135">
        <v>5000</v>
      </c>
      <c r="I63" s="75">
        <v>5000</v>
      </c>
      <c r="J63" s="131"/>
    </row>
    <row r="64" spans="1:10" x14ac:dyDescent="0.3">
      <c r="A64" s="131"/>
      <c r="B64" s="134">
        <v>42900</v>
      </c>
      <c r="C64" s="135" t="s">
        <v>16</v>
      </c>
      <c r="D64" s="135" t="s">
        <v>28</v>
      </c>
      <c r="E64" s="135">
        <v>159.6</v>
      </c>
      <c r="F64" s="135">
        <v>160.1</v>
      </c>
      <c r="G64" s="135">
        <v>0.5</v>
      </c>
      <c r="H64" s="135">
        <v>5000</v>
      </c>
      <c r="I64" s="75">
        <v>2500</v>
      </c>
      <c r="J64" s="131"/>
    </row>
    <row r="65" spans="1:10" x14ac:dyDescent="0.3">
      <c r="A65" s="131"/>
      <c r="B65" s="134">
        <v>42901</v>
      </c>
      <c r="C65" s="135" t="s">
        <v>16</v>
      </c>
      <c r="D65" s="135" t="s">
        <v>28</v>
      </c>
      <c r="E65" s="135">
        <v>161.80000000000001</v>
      </c>
      <c r="F65" s="135">
        <v>160.80000000000001</v>
      </c>
      <c r="G65" s="135">
        <v>-1</v>
      </c>
      <c r="H65" s="135">
        <v>5000</v>
      </c>
      <c r="I65" s="75">
        <v>-5000</v>
      </c>
      <c r="J65" s="131"/>
    </row>
    <row r="66" spans="1:10" x14ac:dyDescent="0.3">
      <c r="A66" s="131"/>
      <c r="B66" s="134">
        <v>42902</v>
      </c>
      <c r="C66" s="135" t="s">
        <v>23</v>
      </c>
      <c r="D66" s="135" t="s">
        <v>28</v>
      </c>
      <c r="E66" s="135">
        <v>162.80000000000001</v>
      </c>
      <c r="F66" s="135">
        <v>161.80000000000001</v>
      </c>
      <c r="G66" s="135">
        <v>1</v>
      </c>
      <c r="H66" s="135">
        <v>5000</v>
      </c>
      <c r="I66" s="75">
        <v>5000</v>
      </c>
      <c r="J66" s="131"/>
    </row>
    <row r="67" spans="1:10" x14ac:dyDescent="0.3">
      <c r="A67" s="131"/>
      <c r="B67" s="134">
        <v>42905</v>
      </c>
      <c r="C67" s="135" t="s">
        <v>23</v>
      </c>
      <c r="D67" s="135" t="s">
        <v>28</v>
      </c>
      <c r="E67" s="135">
        <v>163</v>
      </c>
      <c r="F67" s="135">
        <v>164</v>
      </c>
      <c r="G67" s="135">
        <v>-1</v>
      </c>
      <c r="H67" s="135">
        <v>5000</v>
      </c>
      <c r="I67" s="75">
        <v>-5000</v>
      </c>
      <c r="J67" s="131"/>
    </row>
    <row r="68" spans="1:10" x14ac:dyDescent="0.3">
      <c r="A68" s="131"/>
      <c r="B68" s="134">
        <v>42906</v>
      </c>
      <c r="C68" s="135" t="s">
        <v>23</v>
      </c>
      <c r="D68" s="135" t="s">
        <v>29</v>
      </c>
      <c r="E68" s="135">
        <v>368</v>
      </c>
      <c r="F68" s="135">
        <v>364</v>
      </c>
      <c r="G68" s="135">
        <v>4</v>
      </c>
      <c r="H68" s="135">
        <v>1000</v>
      </c>
      <c r="I68" s="75">
        <v>4000</v>
      </c>
      <c r="J68" s="131"/>
    </row>
    <row r="69" spans="1:10" x14ac:dyDescent="0.3">
      <c r="A69" s="131"/>
      <c r="B69" s="134">
        <v>42907</v>
      </c>
      <c r="C69" s="135" t="s">
        <v>23</v>
      </c>
      <c r="D69" s="135" t="s">
        <v>29</v>
      </c>
      <c r="E69" s="135">
        <v>364</v>
      </c>
      <c r="F69" s="135">
        <v>368</v>
      </c>
      <c r="G69" s="135">
        <v>4</v>
      </c>
      <c r="H69" s="135">
        <v>1000</v>
      </c>
      <c r="I69" s="75">
        <v>4000</v>
      </c>
      <c r="J69" s="131"/>
    </row>
    <row r="70" spans="1:10" x14ac:dyDescent="0.3">
      <c r="A70" s="131"/>
      <c r="B70" s="134">
        <v>42908</v>
      </c>
      <c r="C70" s="135" t="s">
        <v>23</v>
      </c>
      <c r="D70" s="135" t="s">
        <v>28</v>
      </c>
      <c r="E70" s="135">
        <v>169.6</v>
      </c>
      <c r="F70" s="135">
        <v>170.6</v>
      </c>
      <c r="G70" s="135">
        <v>-1</v>
      </c>
      <c r="H70" s="135">
        <v>5000</v>
      </c>
      <c r="I70" s="75">
        <v>-5000</v>
      </c>
      <c r="J70" s="131"/>
    </row>
    <row r="71" spans="1:10" x14ac:dyDescent="0.3">
      <c r="A71" s="131"/>
      <c r="B71" s="134">
        <v>42909</v>
      </c>
      <c r="C71" s="135" t="s">
        <v>16</v>
      </c>
      <c r="D71" s="135" t="s">
        <v>28</v>
      </c>
      <c r="E71" s="135">
        <v>175.7</v>
      </c>
      <c r="F71" s="135">
        <v>176.2</v>
      </c>
      <c r="G71" s="135">
        <v>0.5</v>
      </c>
      <c r="H71" s="135">
        <v>5000</v>
      </c>
      <c r="I71" s="75">
        <v>2500</v>
      </c>
      <c r="J71" s="131"/>
    </row>
    <row r="72" spans="1:10" x14ac:dyDescent="0.3">
      <c r="A72" s="131"/>
      <c r="B72" s="134">
        <v>42913</v>
      </c>
      <c r="C72" s="135" t="s">
        <v>16</v>
      </c>
      <c r="D72" s="135" t="s">
        <v>28</v>
      </c>
      <c r="E72" s="135">
        <v>175.8</v>
      </c>
      <c r="F72" s="135">
        <v>177.3</v>
      </c>
      <c r="G72" s="135">
        <v>1.5</v>
      </c>
      <c r="H72" s="135">
        <v>5000</v>
      </c>
      <c r="I72" s="75">
        <v>7500</v>
      </c>
      <c r="J72" s="131"/>
    </row>
    <row r="73" spans="1:10" x14ac:dyDescent="0.3">
      <c r="A73" s="131"/>
      <c r="B73" s="134">
        <v>42914</v>
      </c>
      <c r="C73" s="135" t="s">
        <v>16</v>
      </c>
      <c r="D73" s="135" t="s">
        <v>28</v>
      </c>
      <c r="E73" s="135">
        <v>176.9</v>
      </c>
      <c r="F73" s="135">
        <v>178.3</v>
      </c>
      <c r="G73" s="135">
        <v>1.4</v>
      </c>
      <c r="H73" s="135">
        <v>5000</v>
      </c>
      <c r="I73" s="75">
        <v>7000</v>
      </c>
      <c r="J73" s="131"/>
    </row>
    <row r="74" spans="1:10" x14ac:dyDescent="0.3">
      <c r="A74" s="131"/>
      <c r="B74" s="134">
        <v>42915</v>
      </c>
      <c r="C74" s="135" t="s">
        <v>16</v>
      </c>
      <c r="D74" s="135" t="s">
        <v>28</v>
      </c>
      <c r="E74" s="135">
        <v>177.5</v>
      </c>
      <c r="F74" s="135">
        <v>178.5</v>
      </c>
      <c r="G74" s="135">
        <v>1</v>
      </c>
      <c r="H74" s="135">
        <v>5000</v>
      </c>
      <c r="I74" s="75">
        <v>5000</v>
      </c>
      <c r="J74" s="131"/>
    </row>
    <row r="75" spans="1:10" x14ac:dyDescent="0.3">
      <c r="A75" s="131"/>
      <c r="B75" s="134">
        <v>42916</v>
      </c>
      <c r="C75" s="135" t="s">
        <v>16</v>
      </c>
      <c r="D75" s="135" t="s">
        <v>28</v>
      </c>
      <c r="E75" s="135">
        <v>179</v>
      </c>
      <c r="F75" s="135">
        <v>178</v>
      </c>
      <c r="G75" s="135">
        <v>-1</v>
      </c>
      <c r="H75" s="135">
        <v>5000</v>
      </c>
      <c r="I75" s="75">
        <v>-5000</v>
      </c>
      <c r="J75" s="131"/>
    </row>
    <row r="76" spans="1:10" ht="23.4" x14ac:dyDescent="0.45">
      <c r="A76" s="131"/>
      <c r="B76" s="134"/>
      <c r="I76" s="179">
        <v>64250</v>
      </c>
      <c r="J76" s="131"/>
    </row>
    <row r="77" spans="1:10" x14ac:dyDescent="0.3">
      <c r="B77" s="134"/>
    </row>
    <row r="78" spans="1:10" x14ac:dyDescent="0.3">
      <c r="B78" s="134"/>
    </row>
    <row r="79" spans="1:10" x14ac:dyDescent="0.3">
      <c r="B79" s="134"/>
    </row>
    <row r="81" spans="9:9" ht="21" x14ac:dyDescent="0.4">
      <c r="I81" s="176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600-000000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W93"/>
  <sheetViews>
    <sheetView topLeftCell="A13" workbookViewId="0">
      <selection activeCell="H88" sqref="H8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30" customHeight="1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42917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53" t="s">
        <v>257</v>
      </c>
      <c r="N4" s="354">
        <v>21</v>
      </c>
      <c r="O4" s="355">
        <v>15</v>
      </c>
      <c r="P4" s="355">
        <v>6</v>
      </c>
      <c r="Q4" s="356">
        <v>0</v>
      </c>
      <c r="R4" s="343">
        <v>0.7142857142857143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46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42919</v>
      </c>
      <c r="D6" s="192" t="s">
        <v>23</v>
      </c>
      <c r="E6" s="192" t="s">
        <v>24</v>
      </c>
      <c r="F6" s="193">
        <v>28370</v>
      </c>
      <c r="G6" s="193">
        <v>28170</v>
      </c>
      <c r="H6" s="192">
        <v>200</v>
      </c>
      <c r="I6" s="193">
        <v>100</v>
      </c>
      <c r="J6" s="267">
        <v>20000</v>
      </c>
      <c r="K6" s="185"/>
      <c r="M6" s="346" t="s">
        <v>258</v>
      </c>
      <c r="N6" s="347">
        <v>21</v>
      </c>
      <c r="O6" s="348">
        <v>11</v>
      </c>
      <c r="P6" s="348">
        <v>9</v>
      </c>
      <c r="Q6" s="349">
        <v>1</v>
      </c>
      <c r="R6" s="345">
        <v>0.52380952380952384</v>
      </c>
      <c r="V6" s="183">
        <v>1</v>
      </c>
      <c r="W6" s="183">
        <v>0</v>
      </c>
    </row>
    <row r="7" spans="1:23" x14ac:dyDescent="0.3">
      <c r="A7" s="184"/>
      <c r="B7" s="194">
        <v>2</v>
      </c>
      <c r="C7" s="195">
        <v>42920</v>
      </c>
      <c r="D7" s="196" t="s">
        <v>23</v>
      </c>
      <c r="E7" s="196" t="s">
        <v>24</v>
      </c>
      <c r="F7" s="197">
        <v>28180</v>
      </c>
      <c r="G7" s="197">
        <v>28120</v>
      </c>
      <c r="H7" s="196">
        <v>60</v>
      </c>
      <c r="I7" s="197">
        <v>100</v>
      </c>
      <c r="J7" s="268">
        <v>6000</v>
      </c>
      <c r="K7" s="185"/>
      <c r="M7" s="346"/>
      <c r="N7" s="347"/>
      <c r="O7" s="348"/>
      <c r="P7" s="348"/>
      <c r="Q7" s="350"/>
      <c r="R7" s="345"/>
      <c r="V7" s="183">
        <v>1</v>
      </c>
      <c r="W7" s="183">
        <v>0</v>
      </c>
    </row>
    <row r="8" spans="1:23" x14ac:dyDescent="0.3">
      <c r="A8" s="184"/>
      <c r="B8" s="194">
        <v>3</v>
      </c>
      <c r="C8" s="195">
        <v>42921</v>
      </c>
      <c r="D8" s="196" t="s">
        <v>23</v>
      </c>
      <c r="E8" s="196" t="s">
        <v>24</v>
      </c>
      <c r="F8" s="197">
        <v>28160</v>
      </c>
      <c r="G8" s="197">
        <v>28020</v>
      </c>
      <c r="H8" s="196">
        <v>140</v>
      </c>
      <c r="I8" s="197">
        <v>100</v>
      </c>
      <c r="J8" s="268">
        <v>14000</v>
      </c>
      <c r="K8" s="185"/>
      <c r="M8" s="346" t="s">
        <v>877</v>
      </c>
      <c r="N8" s="347">
        <v>21</v>
      </c>
      <c r="O8" s="348">
        <v>17</v>
      </c>
      <c r="P8" s="348">
        <v>4</v>
      </c>
      <c r="Q8" s="349">
        <v>0</v>
      </c>
      <c r="R8" s="345">
        <v>0.80952380952380953</v>
      </c>
      <c r="V8" s="183">
        <v>1</v>
      </c>
      <c r="W8" s="183">
        <v>0</v>
      </c>
    </row>
    <row r="9" spans="1:23" ht="15" thickBot="1" x14ac:dyDescent="0.35">
      <c r="A9" s="184"/>
      <c r="B9" s="194">
        <v>4</v>
      </c>
      <c r="C9" s="195">
        <v>42922</v>
      </c>
      <c r="D9" s="196" t="s">
        <v>23</v>
      </c>
      <c r="E9" s="196" t="s">
        <v>24</v>
      </c>
      <c r="F9" s="197">
        <v>28170</v>
      </c>
      <c r="G9" s="197">
        <v>28110</v>
      </c>
      <c r="H9" s="196">
        <v>60</v>
      </c>
      <c r="I9" s="197">
        <v>100</v>
      </c>
      <c r="J9" s="268">
        <v>6000</v>
      </c>
      <c r="K9" s="185"/>
      <c r="M9" s="346"/>
      <c r="N9" s="347"/>
      <c r="O9" s="348"/>
      <c r="P9" s="348"/>
      <c r="Q9" s="350"/>
      <c r="R9" s="345"/>
      <c r="V9" s="183">
        <v>1</v>
      </c>
      <c r="W9" s="183">
        <v>0</v>
      </c>
    </row>
    <row r="10" spans="1:23" x14ac:dyDescent="0.3">
      <c r="A10" s="184"/>
      <c r="B10" s="194">
        <v>5</v>
      </c>
      <c r="C10" s="195">
        <v>42923</v>
      </c>
      <c r="D10" s="196" t="s">
        <v>23</v>
      </c>
      <c r="E10" s="196" t="s">
        <v>24</v>
      </c>
      <c r="F10" s="197">
        <v>28050</v>
      </c>
      <c r="G10" s="197">
        <v>27850</v>
      </c>
      <c r="H10" s="196">
        <v>200</v>
      </c>
      <c r="I10" s="197">
        <v>100</v>
      </c>
      <c r="J10" s="268">
        <v>20000</v>
      </c>
      <c r="K10" s="185"/>
      <c r="M10" s="319" t="s">
        <v>300</v>
      </c>
      <c r="N10" s="321">
        <v>63</v>
      </c>
      <c r="O10" s="321">
        <v>43</v>
      </c>
      <c r="P10" s="321">
        <v>19</v>
      </c>
      <c r="Q10" s="341">
        <v>1</v>
      </c>
      <c r="R10" s="343">
        <v>0.68253968253968256</v>
      </c>
      <c r="V10" s="183">
        <v>1</v>
      </c>
      <c r="W10" s="183">
        <v>0</v>
      </c>
    </row>
    <row r="11" spans="1:23" ht="15" thickBot="1" x14ac:dyDescent="0.35">
      <c r="A11" s="184"/>
      <c r="B11" s="194">
        <v>6</v>
      </c>
      <c r="C11" s="195">
        <v>42926</v>
      </c>
      <c r="D11" s="196" t="s">
        <v>23</v>
      </c>
      <c r="E11" s="196" t="s">
        <v>24</v>
      </c>
      <c r="F11" s="197">
        <v>27720</v>
      </c>
      <c r="G11" s="197">
        <v>27620</v>
      </c>
      <c r="H11" s="196">
        <v>100</v>
      </c>
      <c r="I11" s="197">
        <v>100</v>
      </c>
      <c r="J11" s="268">
        <v>10000</v>
      </c>
      <c r="K11" s="185"/>
      <c r="M11" s="320"/>
      <c r="N11" s="322"/>
      <c r="O11" s="322"/>
      <c r="P11" s="322"/>
      <c r="Q11" s="342"/>
      <c r="R11" s="344"/>
      <c r="V11" s="183">
        <v>1</v>
      </c>
      <c r="W11" s="183">
        <v>0</v>
      </c>
    </row>
    <row r="12" spans="1:23" x14ac:dyDescent="0.3">
      <c r="A12" s="184"/>
      <c r="B12" s="194">
        <v>7</v>
      </c>
      <c r="C12" s="195">
        <v>42927</v>
      </c>
      <c r="D12" s="196" t="s">
        <v>23</v>
      </c>
      <c r="E12" s="196" t="s">
        <v>24</v>
      </c>
      <c r="F12" s="197">
        <v>27710</v>
      </c>
      <c r="G12" s="197">
        <v>27810</v>
      </c>
      <c r="H12" s="196">
        <v>-100</v>
      </c>
      <c r="I12" s="197">
        <v>100</v>
      </c>
      <c r="J12" s="268">
        <v>-10000</v>
      </c>
      <c r="K12" s="185"/>
      <c r="M12" s="323" t="s">
        <v>878</v>
      </c>
      <c r="N12" s="324"/>
      <c r="O12" s="325"/>
      <c r="P12" s="332">
        <v>0.68253968253968256</v>
      </c>
      <c r="Q12" s="333"/>
      <c r="R12" s="334"/>
      <c r="V12" s="183">
        <v>0</v>
      </c>
      <c r="W12" s="183">
        <v>1</v>
      </c>
    </row>
    <row r="13" spans="1:23" x14ac:dyDescent="0.3">
      <c r="A13" s="184"/>
      <c r="B13" s="194">
        <v>8</v>
      </c>
      <c r="C13" s="195">
        <v>42928</v>
      </c>
      <c r="D13" s="196" t="s">
        <v>23</v>
      </c>
      <c r="E13" s="196" t="s">
        <v>24</v>
      </c>
      <c r="F13" s="197">
        <v>27900</v>
      </c>
      <c r="G13" s="197">
        <v>27805</v>
      </c>
      <c r="H13" s="196">
        <v>95</v>
      </c>
      <c r="I13" s="197">
        <v>100</v>
      </c>
      <c r="J13" s="268">
        <v>9500</v>
      </c>
      <c r="K13" s="185"/>
      <c r="M13" s="326"/>
      <c r="N13" s="327"/>
      <c r="O13" s="328"/>
      <c r="P13" s="335"/>
      <c r="Q13" s="336"/>
      <c r="R13" s="337"/>
      <c r="V13" s="183">
        <v>1</v>
      </c>
      <c r="W13" s="183">
        <v>0</v>
      </c>
    </row>
    <row r="14" spans="1:23" ht="15" thickBot="1" x14ac:dyDescent="0.35">
      <c r="A14" s="184"/>
      <c r="B14" s="194">
        <v>9</v>
      </c>
      <c r="C14" s="195">
        <v>42929</v>
      </c>
      <c r="D14" s="196" t="s">
        <v>23</v>
      </c>
      <c r="E14" s="196" t="s">
        <v>24</v>
      </c>
      <c r="F14" s="197">
        <v>27930</v>
      </c>
      <c r="G14" s="197">
        <v>27830</v>
      </c>
      <c r="H14" s="196">
        <v>100</v>
      </c>
      <c r="I14" s="197">
        <v>100</v>
      </c>
      <c r="J14" s="268">
        <v>10000</v>
      </c>
      <c r="K14" s="185"/>
      <c r="M14" s="329"/>
      <c r="N14" s="330"/>
      <c r="O14" s="331"/>
      <c r="P14" s="338"/>
      <c r="Q14" s="339"/>
      <c r="R14" s="340"/>
      <c r="V14" s="183">
        <v>1</v>
      </c>
      <c r="W14" s="183">
        <v>0</v>
      </c>
    </row>
    <row r="15" spans="1:23" x14ac:dyDescent="0.3">
      <c r="A15" s="184"/>
      <c r="B15" s="194">
        <v>10</v>
      </c>
      <c r="C15" s="195">
        <v>42930</v>
      </c>
      <c r="D15" s="196" t="s">
        <v>23</v>
      </c>
      <c r="E15" s="196" t="s">
        <v>24</v>
      </c>
      <c r="F15" s="197">
        <v>27830</v>
      </c>
      <c r="G15" s="197">
        <v>27930</v>
      </c>
      <c r="H15" s="196">
        <v>-100</v>
      </c>
      <c r="I15" s="197">
        <v>100</v>
      </c>
      <c r="J15" s="268">
        <v>-10000</v>
      </c>
      <c r="K15" s="185"/>
      <c r="V15" s="183">
        <v>0</v>
      </c>
      <c r="W15" s="183">
        <v>1</v>
      </c>
    </row>
    <row r="16" spans="1:23" x14ac:dyDescent="0.3">
      <c r="A16" s="184"/>
      <c r="B16" s="194">
        <v>11</v>
      </c>
      <c r="C16" s="195">
        <v>42933</v>
      </c>
      <c r="D16" s="196" t="s">
        <v>16</v>
      </c>
      <c r="E16" s="196" t="s">
        <v>24</v>
      </c>
      <c r="F16" s="197">
        <v>28030</v>
      </c>
      <c r="G16" s="197">
        <v>28130</v>
      </c>
      <c r="H16" s="196">
        <v>100</v>
      </c>
      <c r="I16" s="197">
        <v>100</v>
      </c>
      <c r="J16" s="268">
        <v>10000</v>
      </c>
      <c r="K16" s="185"/>
      <c r="V16" s="183">
        <v>1</v>
      </c>
      <c r="W16" s="183">
        <v>0</v>
      </c>
    </row>
    <row r="17" spans="1:23" x14ac:dyDescent="0.3">
      <c r="A17" s="184"/>
      <c r="B17" s="194">
        <v>12</v>
      </c>
      <c r="C17" s="195">
        <v>42934</v>
      </c>
      <c r="D17" s="196" t="s">
        <v>16</v>
      </c>
      <c r="E17" s="196" t="s">
        <v>24</v>
      </c>
      <c r="F17" s="197">
        <v>28180</v>
      </c>
      <c r="G17" s="197">
        <v>28280</v>
      </c>
      <c r="H17" s="196">
        <v>100</v>
      </c>
      <c r="I17" s="197">
        <v>100</v>
      </c>
      <c r="J17" s="268">
        <v>10000</v>
      </c>
      <c r="K17" s="185"/>
      <c r="V17" s="183">
        <v>1</v>
      </c>
      <c r="W17" s="183">
        <v>0</v>
      </c>
    </row>
    <row r="18" spans="1:23" x14ac:dyDescent="0.3">
      <c r="A18" s="184"/>
      <c r="B18" s="194">
        <v>13</v>
      </c>
      <c r="C18" s="195">
        <v>42935</v>
      </c>
      <c r="D18" s="196" t="s">
        <v>23</v>
      </c>
      <c r="E18" s="196" t="s">
        <v>24</v>
      </c>
      <c r="F18" s="197">
        <v>28220</v>
      </c>
      <c r="G18" s="197">
        <v>28150</v>
      </c>
      <c r="H18" s="196">
        <v>70</v>
      </c>
      <c r="I18" s="197">
        <v>100</v>
      </c>
      <c r="J18" s="268">
        <v>7000</v>
      </c>
      <c r="K18" s="185"/>
      <c r="V18" s="183">
        <v>1</v>
      </c>
      <c r="W18" s="183">
        <v>0</v>
      </c>
    </row>
    <row r="19" spans="1:23" x14ac:dyDescent="0.3">
      <c r="A19" s="184"/>
      <c r="B19" s="194">
        <v>14</v>
      </c>
      <c r="C19" s="195">
        <v>42936</v>
      </c>
      <c r="D19" s="196" t="s">
        <v>23</v>
      </c>
      <c r="E19" s="196" t="s">
        <v>24</v>
      </c>
      <c r="F19" s="197">
        <v>28200</v>
      </c>
      <c r="G19" s="197">
        <v>28140</v>
      </c>
      <c r="H19" s="196">
        <v>60</v>
      </c>
      <c r="I19" s="197">
        <v>100</v>
      </c>
      <c r="J19" s="268">
        <v>6000</v>
      </c>
      <c r="K19" s="185"/>
      <c r="V19" s="183">
        <v>1</v>
      </c>
      <c r="W19" s="183">
        <v>0</v>
      </c>
    </row>
    <row r="20" spans="1:23" x14ac:dyDescent="0.3">
      <c r="A20" s="184"/>
      <c r="B20" s="194">
        <v>15</v>
      </c>
      <c r="C20" s="195">
        <v>42937</v>
      </c>
      <c r="D20" s="196" t="s">
        <v>23</v>
      </c>
      <c r="E20" s="196" t="s">
        <v>24</v>
      </c>
      <c r="F20" s="197">
        <v>28360</v>
      </c>
      <c r="G20" s="197">
        <v>28460</v>
      </c>
      <c r="H20" s="196">
        <v>-100</v>
      </c>
      <c r="I20" s="197">
        <v>100</v>
      </c>
      <c r="J20" s="268">
        <v>-10000</v>
      </c>
      <c r="K20" s="185"/>
      <c r="V20" s="183">
        <v>0</v>
      </c>
      <c r="W20" s="183">
        <v>1</v>
      </c>
    </row>
    <row r="21" spans="1:23" x14ac:dyDescent="0.3">
      <c r="A21" s="184"/>
      <c r="B21" s="194">
        <v>16</v>
      </c>
      <c r="C21" s="195">
        <v>42940</v>
      </c>
      <c r="D21" s="196" t="s">
        <v>16</v>
      </c>
      <c r="E21" s="196" t="s">
        <v>24</v>
      </c>
      <c r="F21" s="197">
        <v>28510</v>
      </c>
      <c r="G21" s="197">
        <v>28610</v>
      </c>
      <c r="H21" s="196">
        <v>100</v>
      </c>
      <c r="I21" s="197">
        <v>100</v>
      </c>
      <c r="J21" s="268">
        <v>10000</v>
      </c>
      <c r="K21" s="185"/>
      <c r="V21" s="183">
        <v>1</v>
      </c>
      <c r="W21" s="183">
        <v>0</v>
      </c>
    </row>
    <row r="22" spans="1:23" x14ac:dyDescent="0.3">
      <c r="A22" s="184"/>
      <c r="B22" s="194">
        <v>17</v>
      </c>
      <c r="C22" s="195">
        <v>42941</v>
      </c>
      <c r="D22" s="196" t="s">
        <v>16</v>
      </c>
      <c r="E22" s="196" t="s">
        <v>24</v>
      </c>
      <c r="F22" s="197">
        <v>28550</v>
      </c>
      <c r="G22" s="197">
        <v>28450</v>
      </c>
      <c r="H22" s="196">
        <v>-100</v>
      </c>
      <c r="I22" s="197">
        <v>100</v>
      </c>
      <c r="J22" s="268">
        <v>-10000</v>
      </c>
      <c r="K22" s="185"/>
      <c r="V22" s="183">
        <v>0</v>
      </c>
      <c r="W22" s="183">
        <v>1</v>
      </c>
    </row>
    <row r="23" spans="1:23" x14ac:dyDescent="0.3">
      <c r="A23" s="184"/>
      <c r="B23" s="194">
        <v>18</v>
      </c>
      <c r="C23" s="195">
        <v>42942</v>
      </c>
      <c r="D23" s="196" t="s">
        <v>16</v>
      </c>
      <c r="E23" s="196" t="s">
        <v>24</v>
      </c>
      <c r="F23" s="197">
        <v>28305</v>
      </c>
      <c r="G23" s="197">
        <v>28390</v>
      </c>
      <c r="H23" s="196">
        <v>85</v>
      </c>
      <c r="I23" s="197">
        <v>100</v>
      </c>
      <c r="J23" s="268">
        <v>8500</v>
      </c>
      <c r="K23" s="185"/>
      <c r="V23" s="183">
        <v>1</v>
      </c>
      <c r="W23" s="183">
        <v>0</v>
      </c>
    </row>
    <row r="24" spans="1:23" x14ac:dyDescent="0.3">
      <c r="A24" s="184"/>
      <c r="B24" s="194">
        <v>19</v>
      </c>
      <c r="C24" s="195">
        <v>42943</v>
      </c>
      <c r="D24" s="196" t="s">
        <v>23</v>
      </c>
      <c r="E24" s="196" t="s">
        <v>24</v>
      </c>
      <c r="F24" s="197">
        <v>28570</v>
      </c>
      <c r="G24" s="197">
        <v>28370</v>
      </c>
      <c r="H24" s="196">
        <v>200</v>
      </c>
      <c r="I24" s="197">
        <v>100</v>
      </c>
      <c r="J24" s="268">
        <v>20000</v>
      </c>
      <c r="K24" s="185"/>
      <c r="V24" s="183">
        <v>1</v>
      </c>
      <c r="W24" s="183">
        <v>0</v>
      </c>
    </row>
    <row r="25" spans="1:23" x14ac:dyDescent="0.3">
      <c r="A25" s="184"/>
      <c r="B25" s="194">
        <v>20</v>
      </c>
      <c r="C25" s="195">
        <v>42944</v>
      </c>
      <c r="D25" s="196" t="s">
        <v>23</v>
      </c>
      <c r="E25" s="196" t="s">
        <v>24</v>
      </c>
      <c r="F25" s="197">
        <v>28450</v>
      </c>
      <c r="G25" s="197">
        <v>28550</v>
      </c>
      <c r="H25" s="196">
        <v>-100</v>
      </c>
      <c r="I25" s="197">
        <v>100</v>
      </c>
      <c r="J25" s="268">
        <v>-10000</v>
      </c>
      <c r="K25" s="185"/>
      <c r="O25" s="198"/>
      <c r="P25" s="198"/>
      <c r="Q25" s="198"/>
      <c r="R25" s="198"/>
      <c r="V25" s="183">
        <v>0</v>
      </c>
      <c r="W25" s="183">
        <v>1</v>
      </c>
    </row>
    <row r="26" spans="1:23" x14ac:dyDescent="0.3">
      <c r="A26" s="184"/>
      <c r="B26" s="194">
        <v>21</v>
      </c>
      <c r="C26" s="195">
        <v>42947</v>
      </c>
      <c r="D26" s="196" t="s">
        <v>23</v>
      </c>
      <c r="E26" s="196" t="s">
        <v>24</v>
      </c>
      <c r="F26" s="197">
        <v>28530</v>
      </c>
      <c r="G26" s="197">
        <v>28570</v>
      </c>
      <c r="H26" s="196">
        <v>-30</v>
      </c>
      <c r="I26" s="197">
        <v>100</v>
      </c>
      <c r="J26" s="268">
        <v>-3000</v>
      </c>
      <c r="K26" s="185"/>
      <c r="V26" s="183">
        <v>0</v>
      </c>
      <c r="W26" s="183">
        <v>1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v>0</v>
      </c>
      <c r="K27" s="185"/>
      <c r="V27" s="183">
        <v>0</v>
      </c>
      <c r="W27" s="183">
        <v>0</v>
      </c>
    </row>
    <row r="28" spans="1:23" ht="15" thickBot="1" x14ac:dyDescent="0.35">
      <c r="A28" s="184"/>
      <c r="B28" s="199">
        <v>23</v>
      </c>
      <c r="C28" s="200"/>
      <c r="D28" s="201"/>
      <c r="E28" s="201"/>
      <c r="F28" s="202"/>
      <c r="G28" s="202"/>
      <c r="H28" s="201"/>
      <c r="I28" s="202"/>
      <c r="J28" s="269">
        <v>0</v>
      </c>
      <c r="K28" s="185"/>
      <c r="V28" s="183">
        <v>0</v>
      </c>
      <c r="W28" s="183"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v>114000</v>
      </c>
      <c r="K29" s="185"/>
      <c r="V29" s="183">
        <v>15</v>
      </c>
      <c r="W29" s="183">
        <v>6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873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42917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42919</v>
      </c>
      <c r="D37" s="192" t="s">
        <v>23</v>
      </c>
      <c r="E37" s="192" t="s">
        <v>25</v>
      </c>
      <c r="F37" s="193">
        <v>3010</v>
      </c>
      <c r="G37" s="193">
        <v>2984</v>
      </c>
      <c r="H37" s="192">
        <v>26</v>
      </c>
      <c r="I37" s="193">
        <v>100</v>
      </c>
      <c r="J37" s="267">
        <v>2600</v>
      </c>
      <c r="K37" s="185"/>
      <c r="V37" s="183">
        <v>1</v>
      </c>
      <c r="W37" s="183">
        <v>0</v>
      </c>
    </row>
    <row r="38" spans="1:23" x14ac:dyDescent="0.3">
      <c r="A38" s="184"/>
      <c r="B38" s="194">
        <v>2</v>
      </c>
      <c r="C38" s="195">
        <v>42920</v>
      </c>
      <c r="D38" s="196" t="s">
        <v>23</v>
      </c>
      <c r="E38" s="196" t="s">
        <v>25</v>
      </c>
      <c r="F38" s="197">
        <v>3055</v>
      </c>
      <c r="G38" s="197">
        <v>3055</v>
      </c>
      <c r="H38" s="196">
        <v>0</v>
      </c>
      <c r="I38" s="197">
        <v>100</v>
      </c>
      <c r="J38" s="268">
        <v>0</v>
      </c>
      <c r="K38" s="185"/>
      <c r="V38" s="183">
        <v>0</v>
      </c>
      <c r="W38" s="183">
        <v>0</v>
      </c>
    </row>
    <row r="39" spans="1:23" x14ac:dyDescent="0.3">
      <c r="A39" s="184"/>
      <c r="B39" s="194">
        <v>3</v>
      </c>
      <c r="C39" s="195">
        <v>42921</v>
      </c>
      <c r="D39" s="196" t="s">
        <v>23</v>
      </c>
      <c r="E39" s="196" t="s">
        <v>25</v>
      </c>
      <c r="F39" s="197">
        <v>3060</v>
      </c>
      <c r="G39" s="197">
        <v>2980</v>
      </c>
      <c r="H39" s="196">
        <v>80</v>
      </c>
      <c r="I39" s="197">
        <v>100</v>
      </c>
      <c r="J39" s="268">
        <v>8000</v>
      </c>
      <c r="K39" s="185"/>
      <c r="V39" s="183">
        <v>1</v>
      </c>
      <c r="W39" s="183">
        <v>0</v>
      </c>
    </row>
    <row r="40" spans="1:23" x14ac:dyDescent="0.3">
      <c r="A40" s="184"/>
      <c r="B40" s="194">
        <v>4</v>
      </c>
      <c r="C40" s="195">
        <v>42922</v>
      </c>
      <c r="D40" s="196" t="s">
        <v>23</v>
      </c>
      <c r="E40" s="196" t="s">
        <v>25</v>
      </c>
      <c r="F40" s="197">
        <v>2965</v>
      </c>
      <c r="G40" s="197">
        <v>3000</v>
      </c>
      <c r="H40" s="196">
        <v>-35</v>
      </c>
      <c r="I40" s="197">
        <v>100</v>
      </c>
      <c r="J40" s="268">
        <v>-3500</v>
      </c>
      <c r="K40" s="185"/>
      <c r="V40" s="183">
        <v>0</v>
      </c>
      <c r="W40" s="183">
        <v>1</v>
      </c>
    </row>
    <row r="41" spans="1:23" x14ac:dyDescent="0.3">
      <c r="A41" s="184"/>
      <c r="B41" s="194">
        <v>5</v>
      </c>
      <c r="C41" s="195">
        <v>42923</v>
      </c>
      <c r="D41" s="196" t="s">
        <v>23</v>
      </c>
      <c r="E41" s="196" t="s">
        <v>25</v>
      </c>
      <c r="F41" s="197">
        <v>2910</v>
      </c>
      <c r="G41" s="197">
        <v>2855</v>
      </c>
      <c r="H41" s="196">
        <v>55</v>
      </c>
      <c r="I41" s="197">
        <v>100</v>
      </c>
      <c r="J41" s="268">
        <v>5500</v>
      </c>
      <c r="K41" s="185"/>
      <c r="V41" s="183">
        <v>1</v>
      </c>
      <c r="W41" s="183">
        <v>0</v>
      </c>
    </row>
    <row r="42" spans="1:23" x14ac:dyDescent="0.3">
      <c r="A42" s="184"/>
      <c r="B42" s="194">
        <v>6</v>
      </c>
      <c r="C42" s="195">
        <v>42926</v>
      </c>
      <c r="D42" s="196" t="s">
        <v>23</v>
      </c>
      <c r="E42" s="196" t="s">
        <v>25</v>
      </c>
      <c r="F42" s="197">
        <v>2875</v>
      </c>
      <c r="G42" s="197">
        <v>2830</v>
      </c>
      <c r="H42" s="196">
        <v>45</v>
      </c>
      <c r="I42" s="197">
        <v>100</v>
      </c>
      <c r="J42" s="268">
        <v>4500</v>
      </c>
      <c r="K42" s="185"/>
      <c r="V42" s="183">
        <v>1</v>
      </c>
      <c r="W42" s="183">
        <v>0</v>
      </c>
    </row>
    <row r="43" spans="1:23" x14ac:dyDescent="0.3">
      <c r="A43" s="184"/>
      <c r="B43" s="194">
        <v>7</v>
      </c>
      <c r="C43" s="195">
        <v>42927</v>
      </c>
      <c r="D43" s="196" t="s">
        <v>23</v>
      </c>
      <c r="E43" s="196" t="s">
        <v>25</v>
      </c>
      <c r="F43" s="197">
        <v>2890</v>
      </c>
      <c r="G43" s="197">
        <v>2845</v>
      </c>
      <c r="H43" s="196">
        <v>45</v>
      </c>
      <c r="I43" s="197">
        <v>100</v>
      </c>
      <c r="J43" s="268">
        <v>4500</v>
      </c>
      <c r="K43" s="185"/>
      <c r="V43" s="183">
        <v>1</v>
      </c>
      <c r="W43" s="183">
        <v>0</v>
      </c>
    </row>
    <row r="44" spans="1:23" x14ac:dyDescent="0.3">
      <c r="A44" s="184"/>
      <c r="B44" s="194">
        <v>8</v>
      </c>
      <c r="C44" s="195">
        <v>42928</v>
      </c>
      <c r="D44" s="196" t="s">
        <v>23</v>
      </c>
      <c r="E44" s="196" t="s">
        <v>25</v>
      </c>
      <c r="F44" s="197">
        <v>2970</v>
      </c>
      <c r="G44" s="197">
        <v>2925</v>
      </c>
      <c r="H44" s="196">
        <v>45</v>
      </c>
      <c r="I44" s="197">
        <v>100</v>
      </c>
      <c r="J44" s="268">
        <v>4500</v>
      </c>
      <c r="K44" s="185"/>
      <c r="V44" s="183">
        <v>1</v>
      </c>
      <c r="W44" s="183">
        <v>0</v>
      </c>
    </row>
    <row r="45" spans="1:23" x14ac:dyDescent="0.3">
      <c r="A45" s="184"/>
      <c r="B45" s="194">
        <v>9</v>
      </c>
      <c r="C45" s="195">
        <v>42929</v>
      </c>
      <c r="D45" s="196" t="s">
        <v>23</v>
      </c>
      <c r="E45" s="196" t="s">
        <v>25</v>
      </c>
      <c r="F45" s="197">
        <v>2925</v>
      </c>
      <c r="G45" s="197">
        <v>2905</v>
      </c>
      <c r="H45" s="196">
        <v>20</v>
      </c>
      <c r="I45" s="197">
        <v>100</v>
      </c>
      <c r="J45" s="268">
        <v>2000</v>
      </c>
      <c r="K45" s="185"/>
      <c r="V45" s="183">
        <v>1</v>
      </c>
      <c r="W45" s="183">
        <v>0</v>
      </c>
    </row>
    <row r="46" spans="1:23" x14ac:dyDescent="0.3">
      <c r="A46" s="184"/>
      <c r="B46" s="194">
        <v>10</v>
      </c>
      <c r="C46" s="195">
        <v>42930</v>
      </c>
      <c r="D46" s="196" t="s">
        <v>23</v>
      </c>
      <c r="E46" s="196" t="s">
        <v>25</v>
      </c>
      <c r="F46" s="197">
        <v>2965</v>
      </c>
      <c r="G46" s="197">
        <v>2995</v>
      </c>
      <c r="H46" s="196">
        <v>-30</v>
      </c>
      <c r="I46" s="197">
        <v>100</v>
      </c>
      <c r="J46" s="268">
        <v>-3000</v>
      </c>
      <c r="K46" s="185"/>
      <c r="V46" s="183">
        <v>0</v>
      </c>
      <c r="W46" s="183">
        <v>1</v>
      </c>
    </row>
    <row r="47" spans="1:23" x14ac:dyDescent="0.3">
      <c r="A47" s="184"/>
      <c r="B47" s="194">
        <v>11</v>
      </c>
      <c r="C47" s="195">
        <v>42933</v>
      </c>
      <c r="D47" s="196" t="s">
        <v>23</v>
      </c>
      <c r="E47" s="196" t="s">
        <v>25</v>
      </c>
      <c r="F47" s="197">
        <v>3020</v>
      </c>
      <c r="G47" s="197">
        <v>2975</v>
      </c>
      <c r="H47" s="196">
        <v>45</v>
      </c>
      <c r="I47" s="197">
        <v>100</v>
      </c>
      <c r="J47" s="268">
        <v>4500</v>
      </c>
      <c r="K47" s="185"/>
      <c r="V47" s="183">
        <v>1</v>
      </c>
      <c r="W47" s="183">
        <v>0</v>
      </c>
    </row>
    <row r="48" spans="1:23" x14ac:dyDescent="0.3">
      <c r="A48" s="184"/>
      <c r="B48" s="194">
        <v>12</v>
      </c>
      <c r="C48" s="195">
        <v>42934</v>
      </c>
      <c r="D48" s="196" t="s">
        <v>23</v>
      </c>
      <c r="E48" s="196" t="s">
        <v>25</v>
      </c>
      <c r="F48" s="197">
        <v>2965</v>
      </c>
      <c r="G48" s="197">
        <v>2995</v>
      </c>
      <c r="H48" s="196">
        <v>-30</v>
      </c>
      <c r="I48" s="197">
        <v>100</v>
      </c>
      <c r="J48" s="268">
        <v>-3000</v>
      </c>
      <c r="K48" s="185"/>
      <c r="V48" s="183">
        <v>0</v>
      </c>
      <c r="W48" s="183">
        <v>1</v>
      </c>
    </row>
    <row r="49" spans="1:23" x14ac:dyDescent="0.3">
      <c r="A49" s="184"/>
      <c r="B49" s="194">
        <v>13</v>
      </c>
      <c r="C49" s="195">
        <v>42935</v>
      </c>
      <c r="D49" s="196" t="s">
        <v>23</v>
      </c>
      <c r="E49" s="196" t="s">
        <v>25</v>
      </c>
      <c r="F49" s="197">
        <v>2995</v>
      </c>
      <c r="G49" s="197">
        <v>3030</v>
      </c>
      <c r="H49" s="196">
        <v>-35</v>
      </c>
      <c r="I49" s="197">
        <v>100</v>
      </c>
      <c r="J49" s="268">
        <v>-3500</v>
      </c>
      <c r="K49" s="185"/>
      <c r="V49" s="183">
        <v>0</v>
      </c>
      <c r="W49" s="183">
        <v>1</v>
      </c>
    </row>
    <row r="50" spans="1:23" x14ac:dyDescent="0.3">
      <c r="A50" s="184"/>
      <c r="B50" s="194">
        <v>14</v>
      </c>
      <c r="C50" s="195">
        <v>42936</v>
      </c>
      <c r="D50" s="196" t="s">
        <v>16</v>
      </c>
      <c r="E50" s="196" t="s">
        <v>25</v>
      </c>
      <c r="F50" s="197">
        <v>3055</v>
      </c>
      <c r="G50" s="197">
        <v>3075</v>
      </c>
      <c r="H50" s="196">
        <v>20</v>
      </c>
      <c r="I50" s="197">
        <v>100</v>
      </c>
      <c r="J50" s="268">
        <v>2000</v>
      </c>
      <c r="K50" s="185"/>
      <c r="V50" s="183">
        <v>1</v>
      </c>
      <c r="W50" s="183">
        <v>0</v>
      </c>
    </row>
    <row r="51" spans="1:23" x14ac:dyDescent="0.3">
      <c r="A51" s="184"/>
      <c r="B51" s="194">
        <v>15</v>
      </c>
      <c r="C51" s="195">
        <v>42937</v>
      </c>
      <c r="D51" s="196" t="s">
        <v>16</v>
      </c>
      <c r="E51" s="196" t="s">
        <v>25</v>
      </c>
      <c r="F51" s="197">
        <v>3030</v>
      </c>
      <c r="G51" s="197">
        <v>3000</v>
      </c>
      <c r="H51" s="196">
        <v>-30</v>
      </c>
      <c r="I51" s="197">
        <v>100</v>
      </c>
      <c r="J51" s="268">
        <v>-3000</v>
      </c>
      <c r="K51" s="185"/>
      <c r="V51" s="183">
        <v>0</v>
      </c>
      <c r="W51" s="183">
        <v>1</v>
      </c>
    </row>
    <row r="52" spans="1:23" x14ac:dyDescent="0.3">
      <c r="A52" s="184"/>
      <c r="B52" s="194">
        <v>16</v>
      </c>
      <c r="C52" s="195">
        <v>42940</v>
      </c>
      <c r="D52" s="196" t="s">
        <v>23</v>
      </c>
      <c r="E52" s="196" t="s">
        <v>25</v>
      </c>
      <c r="F52" s="197">
        <v>2955</v>
      </c>
      <c r="G52" s="197">
        <v>2990</v>
      </c>
      <c r="H52" s="196">
        <v>-35</v>
      </c>
      <c r="I52" s="197">
        <v>100</v>
      </c>
      <c r="J52" s="268">
        <v>-3500</v>
      </c>
      <c r="K52" s="185"/>
      <c r="V52" s="183">
        <v>0</v>
      </c>
      <c r="W52" s="183">
        <v>1</v>
      </c>
    </row>
    <row r="53" spans="1:23" x14ac:dyDescent="0.3">
      <c r="A53" s="184"/>
      <c r="B53" s="194">
        <v>17</v>
      </c>
      <c r="C53" s="195">
        <v>42941</v>
      </c>
      <c r="D53" s="196" t="s">
        <v>23</v>
      </c>
      <c r="E53" s="196" t="s">
        <v>25</v>
      </c>
      <c r="F53" s="197">
        <v>3045</v>
      </c>
      <c r="G53" s="197">
        <v>3080</v>
      </c>
      <c r="H53" s="196">
        <v>-35</v>
      </c>
      <c r="I53" s="197">
        <v>100</v>
      </c>
      <c r="J53" s="268">
        <v>-3500</v>
      </c>
      <c r="K53" s="185"/>
      <c r="V53" s="183">
        <v>0</v>
      </c>
      <c r="W53" s="183">
        <v>1</v>
      </c>
    </row>
    <row r="54" spans="1:23" x14ac:dyDescent="0.3">
      <c r="A54" s="184"/>
      <c r="B54" s="194">
        <v>18</v>
      </c>
      <c r="C54" s="195">
        <v>42942</v>
      </c>
      <c r="D54" s="196" t="s">
        <v>23</v>
      </c>
      <c r="E54" s="196" t="s">
        <v>25</v>
      </c>
      <c r="F54" s="197">
        <v>3125</v>
      </c>
      <c r="G54" s="197">
        <v>3090</v>
      </c>
      <c r="H54" s="196">
        <v>35</v>
      </c>
      <c r="I54" s="197">
        <v>100</v>
      </c>
      <c r="J54" s="268">
        <v>3500</v>
      </c>
      <c r="K54" s="185"/>
      <c r="V54" s="183">
        <v>1</v>
      </c>
      <c r="W54" s="183">
        <v>0</v>
      </c>
    </row>
    <row r="55" spans="1:23" x14ac:dyDescent="0.3">
      <c r="A55" s="184"/>
      <c r="B55" s="194">
        <v>19</v>
      </c>
      <c r="C55" s="195">
        <v>42943</v>
      </c>
      <c r="D55" s="196" t="s">
        <v>23</v>
      </c>
      <c r="E55" s="196" t="s">
        <v>25</v>
      </c>
      <c r="F55" s="197">
        <v>3120</v>
      </c>
      <c r="G55" s="197">
        <v>3155</v>
      </c>
      <c r="H55" s="196">
        <v>-35</v>
      </c>
      <c r="I55" s="197">
        <v>100</v>
      </c>
      <c r="J55" s="268">
        <v>-3500</v>
      </c>
      <c r="K55" s="185"/>
      <c r="V55" s="183">
        <v>0</v>
      </c>
      <c r="W55" s="183">
        <v>1</v>
      </c>
    </row>
    <row r="56" spans="1:23" x14ac:dyDescent="0.3">
      <c r="A56" s="184"/>
      <c r="B56" s="194">
        <v>20</v>
      </c>
      <c r="C56" s="195">
        <v>42944</v>
      </c>
      <c r="D56" s="196" t="s">
        <v>23</v>
      </c>
      <c r="E56" s="196" t="s">
        <v>25</v>
      </c>
      <c r="F56" s="197">
        <v>3160</v>
      </c>
      <c r="G56" s="197">
        <v>3195</v>
      </c>
      <c r="H56" s="196">
        <v>-35</v>
      </c>
      <c r="I56" s="197">
        <v>100</v>
      </c>
      <c r="J56" s="268">
        <v>-3500</v>
      </c>
      <c r="K56" s="185"/>
      <c r="V56" s="183">
        <v>0</v>
      </c>
      <c r="W56" s="183">
        <v>1</v>
      </c>
    </row>
    <row r="57" spans="1:23" x14ac:dyDescent="0.3">
      <c r="A57" s="184"/>
      <c r="B57" s="194">
        <v>21</v>
      </c>
      <c r="C57" s="195">
        <v>42947</v>
      </c>
      <c r="D57" s="196" t="s">
        <v>23</v>
      </c>
      <c r="E57" s="196" t="s">
        <v>25</v>
      </c>
      <c r="F57" s="197">
        <v>3205</v>
      </c>
      <c r="G57" s="197">
        <v>3170</v>
      </c>
      <c r="H57" s="196">
        <v>35</v>
      </c>
      <c r="I57" s="197">
        <v>100</v>
      </c>
      <c r="J57" s="268">
        <v>3500</v>
      </c>
      <c r="K57" s="185"/>
      <c r="V57" s="183">
        <v>1</v>
      </c>
      <c r="W57" s="183"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v>0</v>
      </c>
      <c r="K58" s="185"/>
      <c r="V58" s="183">
        <v>0</v>
      </c>
      <c r="W58" s="183">
        <v>0</v>
      </c>
    </row>
    <row r="59" spans="1:23" x14ac:dyDescent="0.3">
      <c r="A59" s="184"/>
      <c r="B59" s="194">
        <v>23</v>
      </c>
      <c r="C59" s="195"/>
      <c r="D59" s="196"/>
      <c r="E59" s="196"/>
      <c r="F59" s="197"/>
      <c r="G59" s="197"/>
      <c r="H59" s="196"/>
      <c r="I59" s="197"/>
      <c r="J59" s="268">
        <v>0</v>
      </c>
      <c r="K59" s="185"/>
      <c r="V59" s="183">
        <v>0</v>
      </c>
      <c r="W59" s="183">
        <v>0</v>
      </c>
    </row>
    <row r="60" spans="1:23" ht="15" thickBot="1" x14ac:dyDescent="0.35">
      <c r="A60" s="184"/>
      <c r="B60" s="194">
        <v>24</v>
      </c>
      <c r="C60" s="200"/>
      <c r="D60" s="201"/>
      <c r="E60" s="201"/>
      <c r="F60" s="202"/>
      <c r="G60" s="202"/>
      <c r="H60" s="201"/>
      <c r="I60" s="202"/>
      <c r="J60" s="269">
        <v>0</v>
      </c>
      <c r="K60" s="185"/>
      <c r="V60" s="183">
        <v>0</v>
      </c>
      <c r="W60" s="183">
        <v>0</v>
      </c>
    </row>
    <row r="61" spans="1:23" ht="24" thickBot="1" x14ac:dyDescent="0.5">
      <c r="A61" s="184"/>
      <c r="B61" s="304" t="s">
        <v>879</v>
      </c>
      <c r="C61" s="305"/>
      <c r="D61" s="305"/>
      <c r="E61" s="305"/>
      <c r="F61" s="305"/>
      <c r="G61" s="305"/>
      <c r="H61" s="306"/>
      <c r="I61" s="203" t="s">
        <v>880</v>
      </c>
      <c r="J61" s="204">
        <v>15100</v>
      </c>
      <c r="K61" s="185"/>
      <c r="V61" s="183">
        <v>11</v>
      </c>
      <c r="W61" s="183">
        <v>9</v>
      </c>
    </row>
    <row r="62" spans="1:23" ht="30" customHeight="1" thickBot="1" x14ac:dyDescent="0.35">
      <c r="A62" s="205"/>
      <c r="B62" s="206"/>
      <c r="C62" s="206"/>
      <c r="D62" s="206"/>
      <c r="E62" s="206"/>
      <c r="F62" s="206"/>
      <c r="G62" s="206"/>
      <c r="H62" s="261"/>
      <c r="I62" s="206"/>
      <c r="J62" s="261"/>
      <c r="K62" s="207"/>
    </row>
    <row r="63" spans="1:23" ht="15" thickBot="1" x14ac:dyDescent="0.35"/>
    <row r="64" spans="1:23" ht="30" customHeight="1" thickBot="1" x14ac:dyDescent="0.35">
      <c r="A64" s="180"/>
      <c r="B64" s="181"/>
      <c r="C64" s="181"/>
      <c r="D64" s="181"/>
      <c r="E64" s="181"/>
      <c r="F64" s="181"/>
      <c r="G64" s="181"/>
      <c r="H64" s="259"/>
      <c r="I64" s="181"/>
      <c r="J64" s="259"/>
      <c r="K64" s="182"/>
    </row>
    <row r="65" spans="1:23" ht="25.2" thickBot="1" x14ac:dyDescent="0.35">
      <c r="A65" s="184" t="s">
        <v>0</v>
      </c>
      <c r="B65" s="307" t="s">
        <v>873</v>
      </c>
      <c r="C65" s="308"/>
      <c r="D65" s="308"/>
      <c r="E65" s="308"/>
      <c r="F65" s="308"/>
      <c r="G65" s="308"/>
      <c r="H65" s="308"/>
      <c r="I65" s="308"/>
      <c r="J65" s="309"/>
      <c r="K65" s="185"/>
    </row>
    <row r="66" spans="1:23" ht="16.2" thickBot="1" x14ac:dyDescent="0.35">
      <c r="A66" s="184"/>
      <c r="B66" s="310">
        <v>42917</v>
      </c>
      <c r="C66" s="311"/>
      <c r="D66" s="311"/>
      <c r="E66" s="311"/>
      <c r="F66" s="311"/>
      <c r="G66" s="311"/>
      <c r="H66" s="311"/>
      <c r="I66" s="311"/>
      <c r="J66" s="312"/>
      <c r="K66" s="185"/>
    </row>
    <row r="67" spans="1:23" ht="16.2" thickBot="1" x14ac:dyDescent="0.35">
      <c r="A67" s="184"/>
      <c r="B67" s="313" t="s">
        <v>882</v>
      </c>
      <c r="C67" s="314"/>
      <c r="D67" s="314"/>
      <c r="E67" s="314"/>
      <c r="F67" s="314"/>
      <c r="G67" s="314"/>
      <c r="H67" s="314"/>
      <c r="I67" s="314"/>
      <c r="J67" s="315"/>
      <c r="K67" s="185"/>
    </row>
    <row r="68" spans="1:23" ht="15" thickBot="1" x14ac:dyDescent="0.35">
      <c r="A68" s="208"/>
      <c r="B68" s="186" t="s">
        <v>876</v>
      </c>
      <c r="C68" s="187" t="s">
        <v>1</v>
      </c>
      <c r="D68" s="188" t="s">
        <v>2</v>
      </c>
      <c r="E68" s="188" t="s">
        <v>3</v>
      </c>
      <c r="F68" s="189" t="s">
        <v>4</v>
      </c>
      <c r="G68" s="189" t="s">
        <v>5</v>
      </c>
      <c r="H68" s="260" t="s">
        <v>720</v>
      </c>
      <c r="I68" s="189" t="s">
        <v>6</v>
      </c>
      <c r="J68" s="266" t="s">
        <v>7</v>
      </c>
      <c r="K68" s="209"/>
      <c r="L68" s="198"/>
      <c r="V68" s="183" t="s">
        <v>254</v>
      </c>
      <c r="W68" s="183" t="s">
        <v>255</v>
      </c>
    </row>
    <row r="69" spans="1:23" x14ac:dyDescent="0.3">
      <c r="A69" s="184"/>
      <c r="B69" s="214">
        <v>1</v>
      </c>
      <c r="C69" s="215">
        <v>42919</v>
      </c>
      <c r="D69" s="216" t="s">
        <v>16</v>
      </c>
      <c r="E69" s="216" t="s">
        <v>28</v>
      </c>
      <c r="F69" s="217">
        <v>180.8</v>
      </c>
      <c r="G69" s="217">
        <v>182.8</v>
      </c>
      <c r="H69" s="216">
        <v>2</v>
      </c>
      <c r="I69" s="218">
        <v>5000</v>
      </c>
      <c r="J69" s="273">
        <v>10000</v>
      </c>
      <c r="K69" s="185"/>
      <c r="V69" s="183">
        <v>1</v>
      </c>
      <c r="W69" s="183">
        <v>0</v>
      </c>
    </row>
    <row r="70" spans="1:23" x14ac:dyDescent="0.3">
      <c r="A70" s="184"/>
      <c r="B70" s="194">
        <v>2</v>
      </c>
      <c r="C70" s="195">
        <v>42920</v>
      </c>
      <c r="D70" s="196" t="s">
        <v>16</v>
      </c>
      <c r="E70" s="196" t="s">
        <v>28</v>
      </c>
      <c r="F70" s="210">
        <v>180.3</v>
      </c>
      <c r="G70" s="210">
        <v>181.9</v>
      </c>
      <c r="H70" s="196">
        <v>1.6</v>
      </c>
      <c r="I70" s="197">
        <v>5000</v>
      </c>
      <c r="J70" s="268">
        <v>8000</v>
      </c>
      <c r="K70" s="185"/>
      <c r="V70" s="183">
        <v>1</v>
      </c>
      <c r="W70" s="183">
        <v>0</v>
      </c>
    </row>
    <row r="71" spans="1:23" x14ac:dyDescent="0.3">
      <c r="A71" s="184"/>
      <c r="B71" s="194">
        <v>3</v>
      </c>
      <c r="C71" s="195">
        <v>42921</v>
      </c>
      <c r="D71" s="196" t="s">
        <v>23</v>
      </c>
      <c r="E71" s="196" t="s">
        <v>28</v>
      </c>
      <c r="F71" s="210">
        <v>180.8</v>
      </c>
      <c r="G71" s="210">
        <v>178.8</v>
      </c>
      <c r="H71" s="196">
        <v>2</v>
      </c>
      <c r="I71" s="197">
        <v>5000</v>
      </c>
      <c r="J71" s="268">
        <v>10000</v>
      </c>
      <c r="K71" s="185"/>
      <c r="V71" s="183">
        <v>1</v>
      </c>
      <c r="W71" s="183">
        <v>0</v>
      </c>
    </row>
    <row r="72" spans="1:23" x14ac:dyDescent="0.3">
      <c r="A72" s="184"/>
      <c r="B72" s="194">
        <v>4</v>
      </c>
      <c r="C72" s="195">
        <v>42922</v>
      </c>
      <c r="D72" s="196" t="s">
        <v>16</v>
      </c>
      <c r="E72" s="196" t="s">
        <v>28</v>
      </c>
      <c r="F72" s="210">
        <v>179.2</v>
      </c>
      <c r="G72" s="210">
        <v>181.2</v>
      </c>
      <c r="H72" s="196">
        <v>2</v>
      </c>
      <c r="I72" s="197">
        <v>5000</v>
      </c>
      <c r="J72" s="268">
        <v>10000</v>
      </c>
      <c r="K72" s="185"/>
      <c r="V72" s="183">
        <v>1</v>
      </c>
      <c r="W72" s="183">
        <v>0</v>
      </c>
    </row>
    <row r="73" spans="1:23" x14ac:dyDescent="0.3">
      <c r="A73" s="184"/>
      <c r="B73" s="194">
        <v>5</v>
      </c>
      <c r="C73" s="195">
        <v>42893</v>
      </c>
      <c r="D73" s="196" t="s">
        <v>16</v>
      </c>
      <c r="E73" s="196" t="s">
        <v>28</v>
      </c>
      <c r="F73" s="210">
        <v>180.5</v>
      </c>
      <c r="G73" s="210">
        <v>181.5</v>
      </c>
      <c r="H73" s="196">
        <v>1</v>
      </c>
      <c r="I73" s="197">
        <v>5000</v>
      </c>
      <c r="J73" s="268">
        <v>5000</v>
      </c>
      <c r="K73" s="185"/>
      <c r="V73" s="183">
        <v>1</v>
      </c>
      <c r="W73" s="183">
        <v>0</v>
      </c>
    </row>
    <row r="74" spans="1:23" x14ac:dyDescent="0.3">
      <c r="A74" s="184"/>
      <c r="B74" s="194">
        <v>6</v>
      </c>
      <c r="C74" s="195">
        <v>42926</v>
      </c>
      <c r="D74" s="196" t="s">
        <v>23</v>
      </c>
      <c r="E74" s="196" t="s">
        <v>28</v>
      </c>
      <c r="F74" s="210">
        <v>179.4</v>
      </c>
      <c r="G74" s="210">
        <v>177.7</v>
      </c>
      <c r="H74" s="196">
        <v>2</v>
      </c>
      <c r="I74" s="197">
        <v>5000</v>
      </c>
      <c r="J74" s="268">
        <v>10000</v>
      </c>
      <c r="K74" s="185"/>
      <c r="V74" s="183">
        <v>1</v>
      </c>
      <c r="W74" s="183">
        <v>0</v>
      </c>
    </row>
    <row r="75" spans="1:23" x14ac:dyDescent="0.3">
      <c r="A75" s="184"/>
      <c r="B75" s="194">
        <v>7</v>
      </c>
      <c r="C75" s="195">
        <v>42927</v>
      </c>
      <c r="D75" s="196" t="s">
        <v>23</v>
      </c>
      <c r="E75" s="196" t="s">
        <v>28</v>
      </c>
      <c r="F75" s="210">
        <v>179</v>
      </c>
      <c r="G75" s="210">
        <v>178.5</v>
      </c>
      <c r="H75" s="196">
        <v>0.5</v>
      </c>
      <c r="I75" s="197">
        <v>5000</v>
      </c>
      <c r="J75" s="268">
        <v>2500</v>
      </c>
      <c r="K75" s="185"/>
      <c r="V75" s="183">
        <v>1</v>
      </c>
      <c r="W75" s="183">
        <v>0</v>
      </c>
    </row>
    <row r="76" spans="1:23" x14ac:dyDescent="0.3">
      <c r="A76" s="184"/>
      <c r="B76" s="194">
        <v>8</v>
      </c>
      <c r="C76" s="195">
        <v>42928</v>
      </c>
      <c r="D76" s="196" t="s">
        <v>23</v>
      </c>
      <c r="E76" s="196" t="s">
        <v>28</v>
      </c>
      <c r="F76" s="210">
        <v>183.2</v>
      </c>
      <c r="G76" s="210">
        <v>184.2</v>
      </c>
      <c r="H76" s="196">
        <v>-1</v>
      </c>
      <c r="I76" s="197">
        <v>5000</v>
      </c>
      <c r="J76" s="268">
        <v>-5000</v>
      </c>
      <c r="K76" s="185"/>
      <c r="V76" s="183">
        <v>0</v>
      </c>
      <c r="W76" s="183">
        <v>1</v>
      </c>
    </row>
    <row r="77" spans="1:23" x14ac:dyDescent="0.3">
      <c r="A77" s="184"/>
      <c r="B77" s="194">
        <v>9</v>
      </c>
      <c r="C77" s="195">
        <v>42929</v>
      </c>
      <c r="D77" s="196" t="s">
        <v>16</v>
      </c>
      <c r="E77" s="196" t="s">
        <v>28</v>
      </c>
      <c r="F77" s="210">
        <v>182.5</v>
      </c>
      <c r="G77" s="210">
        <v>183.1</v>
      </c>
      <c r="H77" s="196">
        <v>0.6</v>
      </c>
      <c r="I77" s="197">
        <v>5000</v>
      </c>
      <c r="J77" s="268">
        <v>3000</v>
      </c>
      <c r="K77" s="185"/>
      <c r="V77" s="183">
        <v>1</v>
      </c>
      <c r="W77" s="183">
        <v>0</v>
      </c>
    </row>
    <row r="78" spans="1:23" x14ac:dyDescent="0.3">
      <c r="A78" s="184"/>
      <c r="B78" s="194">
        <v>10</v>
      </c>
      <c r="C78" s="195">
        <v>42930</v>
      </c>
      <c r="D78" s="196" t="s">
        <v>16</v>
      </c>
      <c r="E78" s="196" t="s">
        <v>28</v>
      </c>
      <c r="F78" s="210">
        <v>180</v>
      </c>
      <c r="G78" s="210">
        <v>179</v>
      </c>
      <c r="H78" s="196">
        <v>-1</v>
      </c>
      <c r="I78" s="197">
        <v>5000</v>
      </c>
      <c r="J78" s="268">
        <v>-5000</v>
      </c>
      <c r="K78" s="185"/>
      <c r="V78" s="183">
        <v>0</v>
      </c>
      <c r="W78" s="183">
        <v>1</v>
      </c>
    </row>
    <row r="79" spans="1:23" x14ac:dyDescent="0.3">
      <c r="A79" s="184"/>
      <c r="B79" s="194">
        <v>11</v>
      </c>
      <c r="C79" s="195">
        <v>42933</v>
      </c>
      <c r="D79" s="196" t="s">
        <v>16</v>
      </c>
      <c r="E79" s="196" t="s">
        <v>28</v>
      </c>
      <c r="F79" s="222">
        <v>181.5</v>
      </c>
      <c r="G79" s="222">
        <v>183</v>
      </c>
      <c r="H79" s="196">
        <v>1.5</v>
      </c>
      <c r="I79" s="197">
        <v>5000</v>
      </c>
      <c r="J79" s="268">
        <v>7500</v>
      </c>
      <c r="K79" s="185"/>
      <c r="V79" s="183">
        <v>1</v>
      </c>
      <c r="W79" s="183">
        <v>0</v>
      </c>
    </row>
    <row r="80" spans="1:23" x14ac:dyDescent="0.3">
      <c r="A80" s="184"/>
      <c r="B80" s="194">
        <v>12</v>
      </c>
      <c r="C80" s="195">
        <v>42934</v>
      </c>
      <c r="D80" s="196" t="s">
        <v>23</v>
      </c>
      <c r="E80" s="196" t="s">
        <v>28</v>
      </c>
      <c r="F80" s="222">
        <v>181.4</v>
      </c>
      <c r="G80" s="222">
        <v>179.4</v>
      </c>
      <c r="H80" s="196">
        <v>2</v>
      </c>
      <c r="I80" s="197">
        <v>5000</v>
      </c>
      <c r="J80" s="268">
        <v>10000</v>
      </c>
      <c r="K80" s="185"/>
      <c r="V80" s="183">
        <v>1</v>
      </c>
      <c r="W80" s="183">
        <v>0</v>
      </c>
    </row>
    <row r="81" spans="1:23" x14ac:dyDescent="0.3">
      <c r="A81" s="184"/>
      <c r="B81" s="194">
        <v>13</v>
      </c>
      <c r="C81" s="195">
        <v>42935</v>
      </c>
      <c r="D81" s="196" t="s">
        <v>23</v>
      </c>
      <c r="E81" s="196" t="s">
        <v>28</v>
      </c>
      <c r="F81" s="222">
        <v>178.8</v>
      </c>
      <c r="G81" s="222">
        <v>176.8</v>
      </c>
      <c r="H81" s="196">
        <v>2</v>
      </c>
      <c r="I81" s="197">
        <v>5000</v>
      </c>
      <c r="J81" s="268">
        <v>10000</v>
      </c>
      <c r="K81" s="185"/>
      <c r="V81" s="183">
        <v>1</v>
      </c>
      <c r="W81" s="183">
        <v>0</v>
      </c>
    </row>
    <row r="82" spans="1:23" x14ac:dyDescent="0.3">
      <c r="A82" s="184"/>
      <c r="B82" s="194">
        <v>14</v>
      </c>
      <c r="C82" s="195">
        <v>42936</v>
      </c>
      <c r="D82" s="196" t="s">
        <v>23</v>
      </c>
      <c r="E82" s="196" t="s">
        <v>28</v>
      </c>
      <c r="F82" s="222">
        <v>176.3</v>
      </c>
      <c r="G82" s="222">
        <v>175.4</v>
      </c>
      <c r="H82" s="196">
        <v>0.9</v>
      </c>
      <c r="I82" s="197">
        <v>5000</v>
      </c>
      <c r="J82" s="268">
        <v>4500</v>
      </c>
      <c r="K82" s="185"/>
      <c r="V82" s="183">
        <v>1</v>
      </c>
      <c r="W82" s="183">
        <v>0</v>
      </c>
    </row>
    <row r="83" spans="1:23" x14ac:dyDescent="0.3">
      <c r="A83" s="184"/>
      <c r="B83" s="194">
        <v>15</v>
      </c>
      <c r="C83" s="195">
        <v>42937</v>
      </c>
      <c r="D83" s="196" t="s">
        <v>23</v>
      </c>
      <c r="E83" s="196" t="s">
        <v>28</v>
      </c>
      <c r="F83" s="223">
        <v>177.5</v>
      </c>
      <c r="G83" s="222">
        <v>177</v>
      </c>
      <c r="H83" s="196">
        <v>0.5</v>
      </c>
      <c r="I83" s="197">
        <v>5000</v>
      </c>
      <c r="J83" s="268">
        <v>2500</v>
      </c>
      <c r="K83" s="185"/>
      <c r="V83" s="183">
        <v>1</v>
      </c>
      <c r="W83" s="183">
        <v>0</v>
      </c>
    </row>
    <row r="84" spans="1:23" x14ac:dyDescent="0.3">
      <c r="A84" s="184"/>
      <c r="B84" s="194">
        <v>16</v>
      </c>
      <c r="C84" s="195">
        <v>42940</v>
      </c>
      <c r="D84" s="196" t="s">
        <v>23</v>
      </c>
      <c r="E84" s="196" t="s">
        <v>28</v>
      </c>
      <c r="F84" s="222">
        <v>179.1</v>
      </c>
      <c r="G84" s="222">
        <v>178.7</v>
      </c>
      <c r="H84" s="196">
        <v>0.4</v>
      </c>
      <c r="I84" s="197">
        <v>5000</v>
      </c>
      <c r="J84" s="268">
        <v>2000</v>
      </c>
      <c r="K84" s="185"/>
      <c r="V84" s="183">
        <v>1</v>
      </c>
      <c r="W84" s="183">
        <v>0</v>
      </c>
    </row>
    <row r="85" spans="1:23" x14ac:dyDescent="0.3">
      <c r="A85" s="184"/>
      <c r="B85" s="194">
        <v>17</v>
      </c>
      <c r="C85" s="195">
        <v>42941</v>
      </c>
      <c r="D85" s="196" t="s">
        <v>16</v>
      </c>
      <c r="E85" s="196" t="s">
        <v>28</v>
      </c>
      <c r="F85" s="222">
        <v>181</v>
      </c>
      <c r="G85" s="222">
        <v>183</v>
      </c>
      <c r="H85" s="263">
        <v>2</v>
      </c>
      <c r="I85" s="197">
        <v>5000</v>
      </c>
      <c r="J85" s="268">
        <v>10000</v>
      </c>
      <c r="K85" s="185"/>
      <c r="V85" s="183">
        <v>1</v>
      </c>
      <c r="W85" s="183">
        <v>0</v>
      </c>
    </row>
    <row r="86" spans="1:23" x14ac:dyDescent="0.3">
      <c r="A86" s="184"/>
      <c r="B86" s="194">
        <v>18</v>
      </c>
      <c r="C86" s="195">
        <v>42942</v>
      </c>
      <c r="D86" s="196" t="s">
        <v>23</v>
      </c>
      <c r="E86" s="196" t="s">
        <v>28</v>
      </c>
      <c r="F86" s="197">
        <v>182</v>
      </c>
      <c r="G86" s="222">
        <v>180.5</v>
      </c>
      <c r="H86" s="196">
        <v>1.5</v>
      </c>
      <c r="I86" s="197">
        <v>5000</v>
      </c>
      <c r="J86" s="268">
        <v>7500</v>
      </c>
      <c r="K86" s="185"/>
      <c r="V86" s="183">
        <v>1</v>
      </c>
      <c r="W86" s="183">
        <v>0</v>
      </c>
    </row>
    <row r="87" spans="1:23" x14ac:dyDescent="0.3">
      <c r="A87" s="184"/>
      <c r="B87" s="194">
        <v>19</v>
      </c>
      <c r="C87" s="195">
        <v>42943</v>
      </c>
      <c r="D87" s="196" t="s">
        <v>23</v>
      </c>
      <c r="E87" s="196" t="s">
        <v>28</v>
      </c>
      <c r="F87" s="222">
        <v>180.5</v>
      </c>
      <c r="G87" s="222">
        <v>181.5</v>
      </c>
      <c r="H87" s="196">
        <v>-2</v>
      </c>
      <c r="I87" s="197">
        <v>5000</v>
      </c>
      <c r="J87" s="268">
        <v>-10000</v>
      </c>
      <c r="K87" s="185"/>
      <c r="V87" s="183">
        <v>0</v>
      </c>
      <c r="W87" s="183">
        <v>1</v>
      </c>
    </row>
    <row r="88" spans="1:23" x14ac:dyDescent="0.3">
      <c r="A88" s="184"/>
      <c r="B88" s="194">
        <v>20</v>
      </c>
      <c r="C88" s="195">
        <v>42944</v>
      </c>
      <c r="D88" s="196" t="s">
        <v>23</v>
      </c>
      <c r="E88" s="196" t="s">
        <v>28</v>
      </c>
      <c r="F88" s="222">
        <v>177.3</v>
      </c>
      <c r="G88" s="222">
        <v>177.8</v>
      </c>
      <c r="H88" s="263">
        <v>-0.5</v>
      </c>
      <c r="I88" s="197">
        <v>5000</v>
      </c>
      <c r="J88" s="268">
        <v>-2500</v>
      </c>
      <c r="K88" s="185"/>
      <c r="V88" s="183">
        <v>0</v>
      </c>
      <c r="W88" s="183">
        <v>1</v>
      </c>
    </row>
    <row r="89" spans="1:23" x14ac:dyDescent="0.3">
      <c r="A89" s="184"/>
      <c r="B89" s="194">
        <v>21</v>
      </c>
      <c r="C89" s="195">
        <v>42947</v>
      </c>
      <c r="D89" s="196" t="s">
        <v>16</v>
      </c>
      <c r="E89" s="196" t="s">
        <v>28</v>
      </c>
      <c r="F89" s="222">
        <v>179.5</v>
      </c>
      <c r="G89" s="222">
        <v>180.5</v>
      </c>
      <c r="H89" s="196">
        <v>1</v>
      </c>
      <c r="I89" s="197">
        <v>5000</v>
      </c>
      <c r="J89" s="268">
        <v>5000</v>
      </c>
      <c r="K89" s="185"/>
      <c r="V89" s="183">
        <v>1</v>
      </c>
      <c r="W89" s="183">
        <v>0</v>
      </c>
    </row>
    <row r="90" spans="1:23" x14ac:dyDescent="0.3">
      <c r="A90" s="184"/>
      <c r="B90" s="194">
        <v>22</v>
      </c>
      <c r="C90" s="195"/>
      <c r="D90" s="196"/>
      <c r="E90" s="196"/>
      <c r="F90" s="197"/>
      <c r="G90" s="197"/>
      <c r="H90" s="196"/>
      <c r="I90" s="197"/>
      <c r="J90" s="268">
        <v>0</v>
      </c>
      <c r="K90" s="185"/>
      <c r="V90" s="183">
        <v>0</v>
      </c>
      <c r="W90" s="183">
        <v>0</v>
      </c>
    </row>
    <row r="91" spans="1:23" ht="15" thickBot="1" x14ac:dyDescent="0.35">
      <c r="A91" s="184"/>
      <c r="B91" s="219">
        <v>23</v>
      </c>
      <c r="C91" s="220"/>
      <c r="D91" s="221"/>
      <c r="E91" s="221"/>
      <c r="F91" s="211"/>
      <c r="G91" s="211"/>
      <c r="H91" s="221"/>
      <c r="I91" s="211"/>
      <c r="J91" s="272">
        <v>0</v>
      </c>
      <c r="K91" s="185"/>
      <c r="V91" s="183">
        <v>0</v>
      </c>
      <c r="W91" s="183">
        <v>0</v>
      </c>
    </row>
    <row r="92" spans="1:23" ht="24" thickBot="1" x14ac:dyDescent="0.5">
      <c r="A92" s="184"/>
      <c r="B92" s="316" t="s">
        <v>879</v>
      </c>
      <c r="C92" s="317"/>
      <c r="D92" s="317"/>
      <c r="E92" s="317"/>
      <c r="F92" s="317"/>
      <c r="G92" s="317"/>
      <c r="H92" s="318"/>
      <c r="I92" s="212" t="s">
        <v>880</v>
      </c>
      <c r="J92" s="213">
        <v>95000</v>
      </c>
      <c r="K92" s="185"/>
      <c r="V92" s="183">
        <v>17</v>
      </c>
      <c r="W92" s="183">
        <v>4</v>
      </c>
    </row>
    <row r="93" spans="1:23" ht="30" customHeight="1" thickBot="1" x14ac:dyDescent="0.35">
      <c r="A93" s="205"/>
      <c r="B93" s="206"/>
      <c r="C93" s="206"/>
      <c r="D93" s="206"/>
      <c r="E93" s="206"/>
      <c r="F93" s="206"/>
      <c r="G93" s="206"/>
      <c r="H93" s="261"/>
      <c r="I93" s="206"/>
      <c r="J93" s="261"/>
      <c r="K93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1:H61"/>
    <mergeCell ref="B65:J65"/>
    <mergeCell ref="B66:J66"/>
    <mergeCell ref="B67:J67"/>
    <mergeCell ref="B92:H92"/>
  </mergeCells>
  <hyperlinks>
    <hyperlink ref="B29" r:id="rId1" xr:uid="{00000000-0004-0000-3700-000000000000}"/>
    <hyperlink ref="B61" r:id="rId2" xr:uid="{00000000-0004-0000-3700-000001000000}"/>
    <hyperlink ref="M4:M5" location="'JULY 2017'!A1" display="BULLION" xr:uid="{00000000-0004-0000-3700-000002000000}"/>
    <hyperlink ref="M6:M7" location="'JULY 2017'!A54" display="ENERGY" xr:uid="{00000000-0004-0000-3700-000003000000}"/>
    <hyperlink ref="B92" r:id="rId3" xr:uid="{00000000-0004-0000-3700-000004000000}"/>
    <hyperlink ref="M8:M9" location="'JULY 2017'!A86" display="BASE METAL" xr:uid="{00000000-0004-0000-3700-000005000000}"/>
    <hyperlink ref="M1" location="MASTER!A1" display="Back" xr:uid="{00000000-0004-0000-3700-000006000000}"/>
  </hyperlinks>
  <pageMargins left="0.7" right="0.7" top="0.75" bottom="0.75" header="0.3" footer="0.3"/>
  <pageSetup paperSize="9" orientation="portrait" r:id="rId4"/>
  <drawing r:id="rId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W92"/>
  <sheetViews>
    <sheetView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42948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20</v>
      </c>
      <c r="O4" s="355">
        <f>V29</f>
        <v>13</v>
      </c>
      <c r="P4" s="355">
        <f>W29</f>
        <v>7</v>
      </c>
      <c r="Q4" s="356">
        <f>N4-O4-P4</f>
        <v>0</v>
      </c>
      <c r="R4" s="343">
        <f>O4/N4</f>
        <v>0.65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42948</v>
      </c>
      <c r="D6" s="192" t="s">
        <v>23</v>
      </c>
      <c r="E6" s="192" t="s">
        <v>24</v>
      </c>
      <c r="F6" s="193">
        <v>28520</v>
      </c>
      <c r="G6" s="193">
        <v>28375</v>
      </c>
      <c r="H6" s="192">
        <v>145</v>
      </c>
      <c r="I6" s="193">
        <v>100</v>
      </c>
      <c r="J6" s="267">
        <f>H6*I6</f>
        <v>14500</v>
      </c>
      <c r="K6" s="185"/>
      <c r="M6" s="362" t="s">
        <v>258</v>
      </c>
      <c r="N6" s="347">
        <f>COUNT(C37:C59)</f>
        <v>20</v>
      </c>
      <c r="O6" s="348">
        <f>V60</f>
        <v>15</v>
      </c>
      <c r="P6" s="348">
        <f>W60</f>
        <v>5</v>
      </c>
      <c r="Q6" s="349">
        <f>N6-O6-P6</f>
        <v>0</v>
      </c>
      <c r="R6" s="345">
        <f t="shared" ref="R6" si="0">O6/N6</f>
        <v>0.75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f>B6+1</f>
        <v>2</v>
      </c>
      <c r="C7" s="195">
        <v>42949</v>
      </c>
      <c r="D7" s="196" t="s">
        <v>23</v>
      </c>
      <c r="E7" s="196" t="s">
        <v>24</v>
      </c>
      <c r="F7" s="197">
        <v>28690</v>
      </c>
      <c r="G7" s="197">
        <v>28490</v>
      </c>
      <c r="H7" s="196">
        <v>200</v>
      </c>
      <c r="I7" s="197">
        <v>100</v>
      </c>
      <c r="J7" s="268">
        <f t="shared" ref="J7:J28" si="1">H7*I7</f>
        <v>20000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f t="shared" ref="B8:B28" si="4">B7+1</f>
        <v>3</v>
      </c>
      <c r="C8" s="195">
        <v>42950</v>
      </c>
      <c r="D8" s="196" t="s">
        <v>23</v>
      </c>
      <c r="E8" s="196" t="s">
        <v>24</v>
      </c>
      <c r="F8" s="197">
        <v>28450</v>
      </c>
      <c r="G8" s="197">
        <v>28385</v>
      </c>
      <c r="H8" s="196">
        <v>65</v>
      </c>
      <c r="I8" s="197">
        <v>100</v>
      </c>
      <c r="J8" s="268">
        <f t="shared" si="1"/>
        <v>6500</v>
      </c>
      <c r="K8" s="185"/>
      <c r="M8" s="362" t="s">
        <v>877</v>
      </c>
      <c r="N8" s="347">
        <f>COUNT(C68:C90)</f>
        <v>20</v>
      </c>
      <c r="O8" s="348">
        <f>V91</f>
        <v>14</v>
      </c>
      <c r="P8" s="348">
        <f>W91</f>
        <v>6</v>
      </c>
      <c r="Q8" s="349">
        <f>N8-O8-P8</f>
        <v>0</v>
      </c>
      <c r="R8" s="345">
        <f t="shared" ref="R8" si="5">O8/N8</f>
        <v>0.7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f t="shared" si="4"/>
        <v>4</v>
      </c>
      <c r="C9" s="195">
        <v>42951</v>
      </c>
      <c r="D9" s="196" t="s">
        <v>23</v>
      </c>
      <c r="E9" s="196" t="s">
        <v>24</v>
      </c>
      <c r="F9" s="197">
        <v>28600</v>
      </c>
      <c r="G9" s="197">
        <v>28500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f t="shared" si="4"/>
        <v>5</v>
      </c>
      <c r="C10" s="195">
        <v>42955</v>
      </c>
      <c r="D10" s="196" t="s">
        <v>23</v>
      </c>
      <c r="E10" s="196" t="s">
        <v>24</v>
      </c>
      <c r="F10" s="197">
        <v>28480</v>
      </c>
      <c r="G10" s="197">
        <v>28330</v>
      </c>
      <c r="H10" s="196">
        <v>150</v>
      </c>
      <c r="I10" s="197">
        <v>100</v>
      </c>
      <c r="J10" s="268">
        <f t="shared" si="1"/>
        <v>15000</v>
      </c>
      <c r="K10" s="185"/>
      <c r="M10" s="319" t="s">
        <v>300</v>
      </c>
      <c r="N10" s="321">
        <f>SUM(N4:N9)</f>
        <v>60</v>
      </c>
      <c r="O10" s="321">
        <f>SUM(O4:O9)</f>
        <v>42</v>
      </c>
      <c r="P10" s="321">
        <f>SUM(P4:P9)</f>
        <v>18</v>
      </c>
      <c r="Q10" s="341">
        <f>SUM(Q4:Q9)</f>
        <v>0</v>
      </c>
      <c r="R10" s="343">
        <f t="shared" ref="R10" si="6">O10/N10</f>
        <v>0.7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f t="shared" si="4"/>
        <v>6</v>
      </c>
      <c r="C11" s="195">
        <v>42956</v>
      </c>
      <c r="D11" s="196" t="s">
        <v>23</v>
      </c>
      <c r="E11" s="196" t="s">
        <v>24</v>
      </c>
      <c r="F11" s="197">
        <v>28600</v>
      </c>
      <c r="G11" s="197">
        <v>28700</v>
      </c>
      <c r="H11" s="196">
        <v>-100</v>
      </c>
      <c r="I11" s="197">
        <v>100</v>
      </c>
      <c r="J11" s="268">
        <f t="shared" si="1"/>
        <v>-10000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f t="shared" si="4"/>
        <v>7</v>
      </c>
      <c r="C12" s="195">
        <v>42957</v>
      </c>
      <c r="D12" s="196" t="s">
        <v>23</v>
      </c>
      <c r="E12" s="196" t="s">
        <v>24</v>
      </c>
      <c r="F12" s="197">
        <v>28980</v>
      </c>
      <c r="G12" s="197">
        <v>29080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0.7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f t="shared" si="4"/>
        <v>8</v>
      </c>
      <c r="C13" s="195">
        <v>42958</v>
      </c>
      <c r="D13" s="196" t="s">
        <v>23</v>
      </c>
      <c r="E13" s="196" t="s">
        <v>24</v>
      </c>
      <c r="F13" s="197">
        <v>29200</v>
      </c>
      <c r="G13" s="197">
        <v>29100</v>
      </c>
      <c r="H13" s="196">
        <v>100</v>
      </c>
      <c r="I13" s="197">
        <v>100</v>
      </c>
      <c r="J13" s="268">
        <f t="shared" si="1"/>
        <v>10000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f t="shared" si="4"/>
        <v>9</v>
      </c>
      <c r="C14" s="195">
        <v>42961</v>
      </c>
      <c r="D14" s="196" t="s">
        <v>23</v>
      </c>
      <c r="E14" s="196" t="s">
        <v>24</v>
      </c>
      <c r="F14" s="197">
        <v>29110</v>
      </c>
      <c r="G14" s="197">
        <v>29030</v>
      </c>
      <c r="H14" s="196">
        <v>80</v>
      </c>
      <c r="I14" s="197">
        <v>100</v>
      </c>
      <c r="J14" s="268">
        <f t="shared" si="1"/>
        <v>8000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f t="shared" si="4"/>
        <v>10</v>
      </c>
      <c r="C15" s="195">
        <v>42963</v>
      </c>
      <c r="D15" s="196" t="s">
        <v>23</v>
      </c>
      <c r="E15" s="196" t="s">
        <v>24</v>
      </c>
      <c r="F15" s="197">
        <v>28950</v>
      </c>
      <c r="G15" s="197">
        <v>28810</v>
      </c>
      <c r="H15" s="196">
        <v>140</v>
      </c>
      <c r="I15" s="197">
        <v>100</v>
      </c>
      <c r="J15" s="268">
        <f t="shared" si="1"/>
        <v>14000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f t="shared" si="4"/>
        <v>11</v>
      </c>
      <c r="C16" s="195">
        <v>42964</v>
      </c>
      <c r="D16" s="196" t="s">
        <v>23</v>
      </c>
      <c r="E16" s="196" t="s">
        <v>24</v>
      </c>
      <c r="F16" s="197">
        <v>29220</v>
      </c>
      <c r="G16" s="197">
        <v>29080</v>
      </c>
      <c r="H16" s="196">
        <v>140</v>
      </c>
      <c r="I16" s="197">
        <v>100</v>
      </c>
      <c r="J16" s="268">
        <f t="shared" si="1"/>
        <v>14000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f t="shared" si="4"/>
        <v>12</v>
      </c>
      <c r="C17" s="195">
        <v>42965</v>
      </c>
      <c r="D17" s="196" t="s">
        <v>23</v>
      </c>
      <c r="E17" s="196" t="s">
        <v>24</v>
      </c>
      <c r="F17" s="197">
        <v>29190</v>
      </c>
      <c r="G17" s="197">
        <v>29290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f t="shared" si="4"/>
        <v>13</v>
      </c>
      <c r="C18" s="195">
        <v>42968</v>
      </c>
      <c r="D18" s="196" t="s">
        <v>23</v>
      </c>
      <c r="E18" s="196" t="s">
        <v>24</v>
      </c>
      <c r="F18" s="197">
        <v>29100</v>
      </c>
      <c r="G18" s="197">
        <v>29200</v>
      </c>
      <c r="H18" s="196">
        <v>-100</v>
      </c>
      <c r="I18" s="197">
        <v>100</v>
      </c>
      <c r="J18" s="268">
        <f t="shared" si="1"/>
        <v>-10000</v>
      </c>
      <c r="K18" s="185"/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f t="shared" si="4"/>
        <v>14</v>
      </c>
      <c r="C19" s="195">
        <v>42969</v>
      </c>
      <c r="D19" s="196" t="s">
        <v>23</v>
      </c>
      <c r="E19" s="196" t="s">
        <v>24</v>
      </c>
      <c r="F19" s="197">
        <v>29170</v>
      </c>
      <c r="G19" s="197">
        <v>29070</v>
      </c>
      <c r="H19" s="196">
        <v>100</v>
      </c>
      <c r="I19" s="197">
        <v>100</v>
      </c>
      <c r="J19" s="268">
        <f t="shared" si="1"/>
        <v>10000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f t="shared" si="4"/>
        <v>15</v>
      </c>
      <c r="C20" s="195">
        <v>42970</v>
      </c>
      <c r="D20" s="196" t="s">
        <v>23</v>
      </c>
      <c r="E20" s="196" t="s">
        <v>24</v>
      </c>
      <c r="F20" s="197">
        <v>29130</v>
      </c>
      <c r="G20" s="197">
        <v>29122</v>
      </c>
      <c r="H20" s="196">
        <v>-8</v>
      </c>
      <c r="I20" s="197">
        <v>100</v>
      </c>
      <c r="J20" s="268">
        <f t="shared" si="1"/>
        <v>-800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f t="shared" si="4"/>
        <v>16</v>
      </c>
      <c r="C21" s="195">
        <v>42971</v>
      </c>
      <c r="D21" s="196" t="s">
        <v>23</v>
      </c>
      <c r="E21" s="196" t="s">
        <v>24</v>
      </c>
      <c r="F21" s="197">
        <v>29180</v>
      </c>
      <c r="G21" s="197">
        <v>29080</v>
      </c>
      <c r="H21" s="196">
        <v>100</v>
      </c>
      <c r="I21" s="197">
        <v>100</v>
      </c>
      <c r="J21" s="268">
        <f t="shared" si="1"/>
        <v>10000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f t="shared" si="4"/>
        <v>17</v>
      </c>
      <c r="C22" s="195">
        <v>42975</v>
      </c>
      <c r="D22" s="196" t="s">
        <v>23</v>
      </c>
      <c r="E22" s="196" t="s">
        <v>24</v>
      </c>
      <c r="F22" s="197">
        <v>29280</v>
      </c>
      <c r="G22" s="197">
        <v>29380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f t="shared" si="4"/>
        <v>18</v>
      </c>
      <c r="C23" s="195">
        <v>42976</v>
      </c>
      <c r="D23" s="196" t="s">
        <v>23</v>
      </c>
      <c r="E23" s="196" t="s">
        <v>24</v>
      </c>
      <c r="F23" s="197">
        <v>29860</v>
      </c>
      <c r="G23" s="197">
        <v>29800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f t="shared" si="4"/>
        <v>19</v>
      </c>
      <c r="C24" s="195">
        <v>42977</v>
      </c>
      <c r="D24" s="196" t="s">
        <v>23</v>
      </c>
      <c r="E24" s="196" t="s">
        <v>24</v>
      </c>
      <c r="F24" s="197">
        <v>29530</v>
      </c>
      <c r="G24" s="197">
        <v>29470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f t="shared" si="4"/>
        <v>20</v>
      </c>
      <c r="C25" s="195">
        <v>42978</v>
      </c>
      <c r="D25" s="196" t="s">
        <v>23</v>
      </c>
      <c r="E25" s="196" t="s">
        <v>24</v>
      </c>
      <c r="F25" s="197">
        <v>29490</v>
      </c>
      <c r="G25" s="197">
        <v>29590</v>
      </c>
      <c r="H25" s="196">
        <v>-100</v>
      </c>
      <c r="I25" s="197">
        <v>100</v>
      </c>
      <c r="J25" s="268">
        <f t="shared" si="1"/>
        <v>-10000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f t="shared" si="4"/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f t="shared" si="4"/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>
        <f t="shared" si="4"/>
        <v>23</v>
      </c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83200</v>
      </c>
      <c r="K29" s="185"/>
      <c r="V29" s="183">
        <f>SUM(V6:V28)</f>
        <v>13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873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42948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42948</v>
      </c>
      <c r="D37" s="192" t="s">
        <v>23</v>
      </c>
      <c r="E37" s="192" t="s">
        <v>25</v>
      </c>
      <c r="F37" s="193">
        <v>3215</v>
      </c>
      <c r="G37" s="193">
        <v>3140</v>
      </c>
      <c r="H37" s="192">
        <v>75</v>
      </c>
      <c r="I37" s="193">
        <v>100</v>
      </c>
      <c r="J37" s="267">
        <f t="shared" ref="J37:J59" si="7">I37*H37</f>
        <v>7500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f>B37+1</f>
        <v>2</v>
      </c>
      <c r="C38" s="195">
        <v>42949</v>
      </c>
      <c r="D38" s="196" t="s">
        <v>23</v>
      </c>
      <c r="E38" s="196" t="s">
        <v>25</v>
      </c>
      <c r="F38" s="197">
        <v>3120</v>
      </c>
      <c r="G38" s="197">
        <v>3140</v>
      </c>
      <c r="H38" s="196">
        <v>-20</v>
      </c>
      <c r="I38" s="197">
        <v>100</v>
      </c>
      <c r="J38" s="268">
        <f t="shared" si="7"/>
        <v>-2000</v>
      </c>
      <c r="K38" s="185"/>
      <c r="V38" s="183">
        <f t="shared" ref="V38:V59" si="8">IF($J38&gt;0,1,0)</f>
        <v>0</v>
      </c>
      <c r="W38" s="183">
        <f t="shared" ref="W38:W59" si="9">IF($J38&lt;0,1,0)</f>
        <v>1</v>
      </c>
    </row>
    <row r="39" spans="1:23" x14ac:dyDescent="0.3">
      <c r="A39" s="184"/>
      <c r="B39" s="194">
        <f t="shared" ref="B39:B59" si="10">B38+1</f>
        <v>3</v>
      </c>
      <c r="C39" s="195">
        <v>42950</v>
      </c>
      <c r="D39" s="196" t="s">
        <v>16</v>
      </c>
      <c r="E39" s="196" t="s">
        <v>25</v>
      </c>
      <c r="F39" s="197">
        <v>3170</v>
      </c>
      <c r="G39" s="197">
        <v>3145</v>
      </c>
      <c r="H39" s="196">
        <v>-25</v>
      </c>
      <c r="I39" s="197">
        <v>100</v>
      </c>
      <c r="J39" s="268">
        <f t="shared" si="7"/>
        <v>-2500</v>
      </c>
      <c r="K39" s="185"/>
      <c r="V39" s="183">
        <f t="shared" si="8"/>
        <v>0</v>
      </c>
      <c r="W39" s="183">
        <f t="shared" si="9"/>
        <v>1</v>
      </c>
    </row>
    <row r="40" spans="1:23" x14ac:dyDescent="0.3">
      <c r="A40" s="184"/>
      <c r="B40" s="194">
        <f t="shared" si="10"/>
        <v>4</v>
      </c>
      <c r="C40" s="195">
        <v>42951</v>
      </c>
      <c r="D40" s="196" t="s">
        <v>23</v>
      </c>
      <c r="E40" s="196" t="s">
        <v>25</v>
      </c>
      <c r="F40" s="197">
        <v>3115</v>
      </c>
      <c r="G40" s="197">
        <v>3098</v>
      </c>
      <c r="H40" s="196">
        <v>17</v>
      </c>
      <c r="I40" s="197">
        <v>100</v>
      </c>
      <c r="J40" s="268">
        <f t="shared" si="7"/>
        <v>1700</v>
      </c>
      <c r="K40" s="185"/>
      <c r="V40" s="183">
        <f t="shared" si="8"/>
        <v>1</v>
      </c>
      <c r="W40" s="183">
        <f t="shared" si="9"/>
        <v>0</v>
      </c>
    </row>
    <row r="41" spans="1:23" x14ac:dyDescent="0.3">
      <c r="A41" s="184"/>
      <c r="B41" s="194">
        <f t="shared" si="10"/>
        <v>5</v>
      </c>
      <c r="C41" s="195">
        <v>42955</v>
      </c>
      <c r="D41" s="196" t="s">
        <v>23</v>
      </c>
      <c r="E41" s="196" t="s">
        <v>25</v>
      </c>
      <c r="F41" s="197">
        <v>3175</v>
      </c>
      <c r="G41" s="197">
        <v>3120</v>
      </c>
      <c r="H41" s="196">
        <v>55</v>
      </c>
      <c r="I41" s="197">
        <v>100</v>
      </c>
      <c r="J41" s="268">
        <f t="shared" si="7"/>
        <v>5500</v>
      </c>
      <c r="K41" s="185"/>
      <c r="V41" s="183">
        <f t="shared" si="8"/>
        <v>1</v>
      </c>
      <c r="W41" s="183">
        <f t="shared" si="9"/>
        <v>0</v>
      </c>
    </row>
    <row r="42" spans="1:23" x14ac:dyDescent="0.3">
      <c r="A42" s="184"/>
      <c r="B42" s="194">
        <f t="shared" si="10"/>
        <v>6</v>
      </c>
      <c r="C42" s="195">
        <v>42956</v>
      </c>
      <c r="D42" s="196" t="s">
        <v>23</v>
      </c>
      <c r="E42" s="196" t="s">
        <v>25</v>
      </c>
      <c r="F42" s="197">
        <v>3160</v>
      </c>
      <c r="G42" s="197">
        <v>3145</v>
      </c>
      <c r="H42" s="196">
        <v>15</v>
      </c>
      <c r="I42" s="197">
        <v>100</v>
      </c>
      <c r="J42" s="268">
        <f t="shared" si="7"/>
        <v>1500</v>
      </c>
      <c r="K42" s="185"/>
      <c r="V42" s="183">
        <f t="shared" si="8"/>
        <v>1</v>
      </c>
      <c r="W42" s="183">
        <f t="shared" si="9"/>
        <v>0</v>
      </c>
    </row>
    <row r="43" spans="1:23" x14ac:dyDescent="0.3">
      <c r="A43" s="184"/>
      <c r="B43" s="194">
        <f t="shared" si="10"/>
        <v>7</v>
      </c>
      <c r="C43" s="195">
        <v>42957</v>
      </c>
      <c r="D43" s="196" t="s">
        <v>23</v>
      </c>
      <c r="E43" s="196" t="s">
        <v>25</v>
      </c>
      <c r="F43" s="197">
        <v>3185</v>
      </c>
      <c r="G43" s="197">
        <v>3220</v>
      </c>
      <c r="H43" s="196">
        <v>-35</v>
      </c>
      <c r="I43" s="197">
        <v>100</v>
      </c>
      <c r="J43" s="268">
        <f t="shared" si="7"/>
        <v>-3500</v>
      </c>
      <c r="K43" s="185"/>
      <c r="V43" s="183">
        <f t="shared" si="8"/>
        <v>0</v>
      </c>
      <c r="W43" s="183">
        <f t="shared" si="9"/>
        <v>1</v>
      </c>
    </row>
    <row r="44" spans="1:23" x14ac:dyDescent="0.3">
      <c r="A44" s="184"/>
      <c r="B44" s="194">
        <f t="shared" si="10"/>
        <v>8</v>
      </c>
      <c r="C44" s="195">
        <v>42958</v>
      </c>
      <c r="D44" s="196" t="s">
        <v>23</v>
      </c>
      <c r="E44" s="196" t="s">
        <v>25</v>
      </c>
      <c r="F44" s="197">
        <v>3105</v>
      </c>
      <c r="G44" s="197">
        <v>3085</v>
      </c>
      <c r="H44" s="196">
        <v>20</v>
      </c>
      <c r="I44" s="197">
        <v>100</v>
      </c>
      <c r="J44" s="268">
        <f t="shared" si="7"/>
        <v>2000</v>
      </c>
      <c r="K44" s="185"/>
      <c r="V44" s="183">
        <f t="shared" si="8"/>
        <v>1</v>
      </c>
      <c r="W44" s="183">
        <f t="shared" si="9"/>
        <v>0</v>
      </c>
    </row>
    <row r="45" spans="1:23" x14ac:dyDescent="0.3">
      <c r="A45" s="184"/>
      <c r="B45" s="194">
        <f t="shared" si="10"/>
        <v>9</v>
      </c>
      <c r="C45" s="195">
        <v>42961</v>
      </c>
      <c r="D45" s="196" t="s">
        <v>23</v>
      </c>
      <c r="E45" s="196" t="s">
        <v>25</v>
      </c>
      <c r="F45" s="197">
        <v>3125</v>
      </c>
      <c r="G45" s="197">
        <v>3075</v>
      </c>
      <c r="H45" s="196">
        <v>50</v>
      </c>
      <c r="I45" s="197">
        <v>100</v>
      </c>
      <c r="J45" s="268">
        <f t="shared" si="7"/>
        <v>5000</v>
      </c>
      <c r="K45" s="185"/>
      <c r="V45" s="183">
        <f t="shared" si="8"/>
        <v>1</v>
      </c>
      <c r="W45" s="183">
        <f t="shared" si="9"/>
        <v>0</v>
      </c>
    </row>
    <row r="46" spans="1:23" x14ac:dyDescent="0.3">
      <c r="A46" s="184"/>
      <c r="B46" s="194">
        <f t="shared" si="10"/>
        <v>10</v>
      </c>
      <c r="C46" s="195">
        <v>42963</v>
      </c>
      <c r="D46" s="196" t="s">
        <v>23</v>
      </c>
      <c r="E46" s="196" t="s">
        <v>25</v>
      </c>
      <c r="F46" s="197">
        <v>3065</v>
      </c>
      <c r="G46" s="197">
        <v>3010</v>
      </c>
      <c r="H46" s="196">
        <v>55</v>
      </c>
      <c r="I46" s="197">
        <v>100</v>
      </c>
      <c r="J46" s="268">
        <f t="shared" si="7"/>
        <v>5500</v>
      </c>
      <c r="K46" s="185"/>
      <c r="V46" s="183">
        <f t="shared" si="8"/>
        <v>1</v>
      </c>
      <c r="W46" s="183">
        <f t="shared" si="9"/>
        <v>0</v>
      </c>
    </row>
    <row r="47" spans="1:23" x14ac:dyDescent="0.3">
      <c r="A47" s="184"/>
      <c r="B47" s="194">
        <f t="shared" si="10"/>
        <v>11</v>
      </c>
      <c r="C47" s="195">
        <v>42964</v>
      </c>
      <c r="D47" s="196" t="s">
        <v>23</v>
      </c>
      <c r="E47" s="196" t="s">
        <v>25</v>
      </c>
      <c r="F47" s="197">
        <v>3005</v>
      </c>
      <c r="G47" s="197">
        <v>2990</v>
      </c>
      <c r="H47" s="196">
        <v>15</v>
      </c>
      <c r="I47" s="197">
        <v>100</v>
      </c>
      <c r="J47" s="268">
        <f t="shared" si="7"/>
        <v>1500</v>
      </c>
      <c r="K47" s="185"/>
      <c r="V47" s="183">
        <f t="shared" si="8"/>
        <v>1</v>
      </c>
      <c r="W47" s="183">
        <f t="shared" si="9"/>
        <v>0</v>
      </c>
    </row>
    <row r="48" spans="1:23" x14ac:dyDescent="0.3">
      <c r="A48" s="184"/>
      <c r="B48" s="194">
        <f t="shared" si="10"/>
        <v>12</v>
      </c>
      <c r="C48" s="195">
        <v>42965</v>
      </c>
      <c r="D48" s="196" t="s">
        <v>23</v>
      </c>
      <c r="E48" s="196" t="s">
        <v>25</v>
      </c>
      <c r="F48" s="197">
        <v>3035</v>
      </c>
      <c r="G48" s="197">
        <v>3005</v>
      </c>
      <c r="H48" s="196">
        <v>30</v>
      </c>
      <c r="I48" s="197">
        <v>100</v>
      </c>
      <c r="J48" s="268">
        <f t="shared" si="7"/>
        <v>3000</v>
      </c>
      <c r="K48" s="185"/>
      <c r="V48" s="183">
        <f t="shared" si="8"/>
        <v>1</v>
      </c>
      <c r="W48" s="183">
        <f t="shared" si="9"/>
        <v>0</v>
      </c>
    </row>
    <row r="49" spans="1:23" x14ac:dyDescent="0.3">
      <c r="A49" s="184"/>
      <c r="B49" s="194">
        <f t="shared" si="10"/>
        <v>13</v>
      </c>
      <c r="C49" s="195">
        <v>42968</v>
      </c>
      <c r="D49" s="196" t="s">
        <v>23</v>
      </c>
      <c r="E49" s="196" t="s">
        <v>25</v>
      </c>
      <c r="F49" s="197">
        <v>3105</v>
      </c>
      <c r="G49" s="197">
        <v>3055</v>
      </c>
      <c r="H49" s="196">
        <v>50</v>
      </c>
      <c r="I49" s="197">
        <v>100</v>
      </c>
      <c r="J49" s="268">
        <f t="shared" si="7"/>
        <v>5000</v>
      </c>
      <c r="K49" s="185"/>
      <c r="V49" s="183">
        <f t="shared" si="8"/>
        <v>1</v>
      </c>
      <c r="W49" s="183">
        <f t="shared" si="9"/>
        <v>0</v>
      </c>
    </row>
    <row r="50" spans="1:23" x14ac:dyDescent="0.3">
      <c r="A50" s="184"/>
      <c r="B50" s="194">
        <f t="shared" si="10"/>
        <v>14</v>
      </c>
      <c r="C50" s="195">
        <v>42969</v>
      </c>
      <c r="D50" s="196" t="s">
        <v>23</v>
      </c>
      <c r="E50" s="196" t="s">
        <v>25</v>
      </c>
      <c r="F50" s="197">
        <v>3075</v>
      </c>
      <c r="G50" s="197">
        <v>3055</v>
      </c>
      <c r="H50" s="196">
        <v>20</v>
      </c>
      <c r="I50" s="197">
        <v>100</v>
      </c>
      <c r="J50" s="268">
        <f t="shared" si="7"/>
        <v>2000</v>
      </c>
      <c r="K50" s="185"/>
      <c r="V50" s="183">
        <f t="shared" si="8"/>
        <v>1</v>
      </c>
      <c r="W50" s="183">
        <f t="shared" si="9"/>
        <v>0</v>
      </c>
    </row>
    <row r="51" spans="1:23" x14ac:dyDescent="0.3">
      <c r="A51" s="184"/>
      <c r="B51" s="194">
        <f t="shared" si="10"/>
        <v>15</v>
      </c>
      <c r="C51" s="195">
        <v>42970</v>
      </c>
      <c r="D51" s="196" t="s">
        <v>23</v>
      </c>
      <c r="E51" s="196" t="s">
        <v>25</v>
      </c>
      <c r="F51" s="197">
        <v>3070</v>
      </c>
      <c r="G51" s="197">
        <v>3105</v>
      </c>
      <c r="H51" s="196">
        <v>-35</v>
      </c>
      <c r="I51" s="197">
        <v>100</v>
      </c>
      <c r="J51" s="268">
        <f t="shared" si="7"/>
        <v>-3500</v>
      </c>
      <c r="K51" s="185"/>
      <c r="V51" s="183">
        <f t="shared" si="8"/>
        <v>0</v>
      </c>
      <c r="W51" s="183">
        <f t="shared" si="9"/>
        <v>1</v>
      </c>
    </row>
    <row r="52" spans="1:23" x14ac:dyDescent="0.3">
      <c r="A52" s="184"/>
      <c r="B52" s="194">
        <f t="shared" si="10"/>
        <v>16</v>
      </c>
      <c r="C52" s="195">
        <v>42971</v>
      </c>
      <c r="D52" s="196" t="s">
        <v>23</v>
      </c>
      <c r="E52" s="196" t="s">
        <v>25</v>
      </c>
      <c r="F52" s="197">
        <v>3100</v>
      </c>
      <c r="G52" s="197">
        <v>3030</v>
      </c>
      <c r="H52" s="196">
        <v>70</v>
      </c>
      <c r="I52" s="197">
        <v>100</v>
      </c>
      <c r="J52" s="268">
        <f t="shared" si="7"/>
        <v>7000</v>
      </c>
      <c r="K52" s="185"/>
      <c r="V52" s="183">
        <f t="shared" si="8"/>
        <v>1</v>
      </c>
      <c r="W52" s="183">
        <f t="shared" si="9"/>
        <v>0</v>
      </c>
    </row>
    <row r="53" spans="1:23" x14ac:dyDescent="0.3">
      <c r="A53" s="184"/>
      <c r="B53" s="194">
        <f t="shared" si="10"/>
        <v>17</v>
      </c>
      <c r="C53" s="195">
        <v>42975</v>
      </c>
      <c r="D53" s="196" t="s">
        <v>23</v>
      </c>
      <c r="E53" s="196" t="s">
        <v>25</v>
      </c>
      <c r="F53" s="197">
        <v>3040</v>
      </c>
      <c r="G53" s="197">
        <v>2965</v>
      </c>
      <c r="H53" s="196">
        <v>75</v>
      </c>
      <c r="I53" s="197">
        <v>100</v>
      </c>
      <c r="J53" s="268">
        <f t="shared" si="7"/>
        <v>7500</v>
      </c>
      <c r="K53" s="185"/>
      <c r="V53" s="183">
        <f t="shared" si="8"/>
        <v>1</v>
      </c>
      <c r="W53" s="183">
        <f t="shared" si="9"/>
        <v>0</v>
      </c>
    </row>
    <row r="54" spans="1:23" x14ac:dyDescent="0.3">
      <c r="A54" s="255"/>
      <c r="B54" s="194">
        <f t="shared" si="10"/>
        <v>18</v>
      </c>
      <c r="C54" s="195">
        <v>42976</v>
      </c>
      <c r="D54" s="196" t="s">
        <v>23</v>
      </c>
      <c r="E54" s="196" t="s">
        <v>25</v>
      </c>
      <c r="F54" s="197">
        <v>3010</v>
      </c>
      <c r="G54" s="197">
        <v>2980</v>
      </c>
      <c r="H54" s="196">
        <v>30</v>
      </c>
      <c r="I54" s="197">
        <v>100</v>
      </c>
      <c r="J54" s="268">
        <f t="shared" si="7"/>
        <v>3000</v>
      </c>
      <c r="K54" s="185"/>
      <c r="V54" s="183">
        <f t="shared" si="8"/>
        <v>1</v>
      </c>
      <c r="W54" s="183">
        <f t="shared" si="9"/>
        <v>0</v>
      </c>
    </row>
    <row r="55" spans="1:23" x14ac:dyDescent="0.3">
      <c r="A55" s="184"/>
      <c r="B55" s="194">
        <f t="shared" si="10"/>
        <v>19</v>
      </c>
      <c r="C55" s="195">
        <v>42977</v>
      </c>
      <c r="D55" s="196" t="s">
        <v>23</v>
      </c>
      <c r="E55" s="196" t="s">
        <v>25</v>
      </c>
      <c r="F55" s="197">
        <v>2975</v>
      </c>
      <c r="G55" s="197">
        <v>2945</v>
      </c>
      <c r="H55" s="196">
        <v>30</v>
      </c>
      <c r="I55" s="197">
        <v>100</v>
      </c>
      <c r="J55" s="268">
        <f t="shared" si="7"/>
        <v>3000</v>
      </c>
      <c r="K55" s="185"/>
      <c r="V55" s="183">
        <f t="shared" si="8"/>
        <v>1</v>
      </c>
      <c r="W55" s="183">
        <f t="shared" si="9"/>
        <v>0</v>
      </c>
    </row>
    <row r="56" spans="1:23" x14ac:dyDescent="0.3">
      <c r="A56" s="184"/>
      <c r="B56" s="194">
        <f t="shared" si="10"/>
        <v>20</v>
      </c>
      <c r="C56" s="195">
        <v>42978</v>
      </c>
      <c r="D56" s="196" t="s">
        <v>23</v>
      </c>
      <c r="E56" s="196" t="s">
        <v>25</v>
      </c>
      <c r="F56" s="197">
        <v>2955</v>
      </c>
      <c r="G56" s="197">
        <v>2985</v>
      </c>
      <c r="H56" s="196">
        <v>-30</v>
      </c>
      <c r="I56" s="197">
        <v>100</v>
      </c>
      <c r="J56" s="268">
        <f t="shared" si="7"/>
        <v>-3000</v>
      </c>
      <c r="K56" s="185"/>
      <c r="V56" s="183">
        <f t="shared" si="8"/>
        <v>0</v>
      </c>
      <c r="W56" s="183">
        <f t="shared" si="9"/>
        <v>1</v>
      </c>
    </row>
    <row r="57" spans="1:23" x14ac:dyDescent="0.3">
      <c r="A57" s="184"/>
      <c r="B57" s="194">
        <f t="shared" si="10"/>
        <v>21</v>
      </c>
      <c r="C57" s="195"/>
      <c r="D57" s="196"/>
      <c r="E57" s="196"/>
      <c r="F57" s="197"/>
      <c r="G57" s="197"/>
      <c r="H57" s="196"/>
      <c r="I57" s="197"/>
      <c r="J57" s="268">
        <f t="shared" si="7"/>
        <v>0</v>
      </c>
      <c r="K57" s="185"/>
      <c r="V57" s="183">
        <f t="shared" si="8"/>
        <v>0</v>
      </c>
      <c r="W57" s="183">
        <f t="shared" si="9"/>
        <v>0</v>
      </c>
    </row>
    <row r="58" spans="1:23" x14ac:dyDescent="0.3">
      <c r="A58" s="184"/>
      <c r="B58" s="194">
        <f t="shared" si="10"/>
        <v>22</v>
      </c>
      <c r="C58" s="195"/>
      <c r="D58" s="196"/>
      <c r="E58" s="196"/>
      <c r="F58" s="197"/>
      <c r="G58" s="197"/>
      <c r="H58" s="196"/>
      <c r="I58" s="197"/>
      <c r="J58" s="268">
        <f t="shared" si="7"/>
        <v>0</v>
      </c>
      <c r="K58" s="185"/>
      <c r="V58" s="183">
        <f t="shared" si="8"/>
        <v>0</v>
      </c>
      <c r="W58" s="183">
        <f t="shared" si="9"/>
        <v>0</v>
      </c>
    </row>
    <row r="59" spans="1:23" ht="15" thickBot="1" x14ac:dyDescent="0.35">
      <c r="A59" s="184"/>
      <c r="B59" s="194">
        <f t="shared" si="10"/>
        <v>23</v>
      </c>
      <c r="C59" s="195"/>
      <c r="D59" s="196"/>
      <c r="E59" s="196"/>
      <c r="F59" s="197"/>
      <c r="G59" s="197"/>
      <c r="H59" s="196"/>
      <c r="I59" s="202"/>
      <c r="J59" s="269">
        <f t="shared" si="7"/>
        <v>0</v>
      </c>
      <c r="K59" s="185"/>
      <c r="V59" s="183">
        <f t="shared" si="8"/>
        <v>0</v>
      </c>
      <c r="W59" s="183">
        <f t="shared" si="9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46200</v>
      </c>
      <c r="K60" s="185"/>
      <c r="V60" s="183">
        <f>SUM(V37:V59)</f>
        <v>15</v>
      </c>
      <c r="W60" s="183">
        <f>SUM(W37:W59)</f>
        <v>5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42948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42948</v>
      </c>
      <c r="D68" s="216" t="s">
        <v>23</v>
      </c>
      <c r="E68" s="216" t="s">
        <v>28</v>
      </c>
      <c r="F68" s="256">
        <v>178.3</v>
      </c>
      <c r="G68" s="256">
        <v>177.3</v>
      </c>
      <c r="H68" s="216">
        <v>1</v>
      </c>
      <c r="I68" s="218">
        <v>5000</v>
      </c>
      <c r="J68" s="273">
        <f>I68*H68</f>
        <v>5000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f>B68+1</f>
        <v>2</v>
      </c>
      <c r="C69" s="195">
        <v>42949</v>
      </c>
      <c r="D69" s="196" t="s">
        <v>23</v>
      </c>
      <c r="E69" s="196" t="s">
        <v>28</v>
      </c>
      <c r="F69" s="197">
        <v>177</v>
      </c>
      <c r="G69" s="197">
        <v>176</v>
      </c>
      <c r="H69" s="196">
        <v>1</v>
      </c>
      <c r="I69" s="197">
        <v>5000</v>
      </c>
      <c r="J69" s="268">
        <f t="shared" ref="J69:J90" si="11">I69*H69</f>
        <v>5000</v>
      </c>
      <c r="K69" s="185"/>
      <c r="V69" s="183">
        <f t="shared" ref="V69:V90" si="12">IF($J69&gt;0,1,0)</f>
        <v>1</v>
      </c>
      <c r="W69" s="183">
        <f t="shared" ref="W69:W90" si="13">IF($J69&lt;0,1,0)</f>
        <v>0</v>
      </c>
    </row>
    <row r="70" spans="1:23" x14ac:dyDescent="0.3">
      <c r="A70" s="184"/>
      <c r="B70" s="194">
        <f t="shared" ref="B70:B90" si="14">B69+1</f>
        <v>3</v>
      </c>
      <c r="C70" s="195">
        <v>42950</v>
      </c>
      <c r="D70" s="196" t="s">
        <v>23</v>
      </c>
      <c r="E70" s="196" t="s">
        <v>28</v>
      </c>
      <c r="F70" s="210">
        <v>179.2</v>
      </c>
      <c r="G70" s="210">
        <v>177.7</v>
      </c>
      <c r="H70" s="196">
        <v>1.5</v>
      </c>
      <c r="I70" s="197">
        <v>5000</v>
      </c>
      <c r="J70" s="268">
        <f t="shared" si="11"/>
        <v>7500</v>
      </c>
      <c r="K70" s="185"/>
      <c r="V70" s="183">
        <f t="shared" si="12"/>
        <v>1</v>
      </c>
      <c r="W70" s="183">
        <f t="shared" si="13"/>
        <v>0</v>
      </c>
    </row>
    <row r="71" spans="1:23" x14ac:dyDescent="0.3">
      <c r="A71" s="184"/>
      <c r="B71" s="194">
        <f t="shared" si="14"/>
        <v>4</v>
      </c>
      <c r="C71" s="195">
        <v>42951</v>
      </c>
      <c r="D71" s="196" t="s">
        <v>23</v>
      </c>
      <c r="E71" s="196" t="s">
        <v>28</v>
      </c>
      <c r="F71" s="210">
        <v>179.2</v>
      </c>
      <c r="G71" s="210">
        <v>180.2</v>
      </c>
      <c r="H71" s="196">
        <v>-1</v>
      </c>
      <c r="I71" s="197">
        <v>5000</v>
      </c>
      <c r="J71" s="268">
        <f t="shared" si="11"/>
        <v>-5000</v>
      </c>
      <c r="K71" s="185"/>
      <c r="V71" s="183">
        <f t="shared" si="12"/>
        <v>0</v>
      </c>
      <c r="W71" s="183">
        <f t="shared" si="13"/>
        <v>1</v>
      </c>
    </row>
    <row r="72" spans="1:23" x14ac:dyDescent="0.3">
      <c r="A72" s="184"/>
      <c r="B72" s="194">
        <f t="shared" si="14"/>
        <v>5</v>
      </c>
      <c r="C72" s="195">
        <v>42955</v>
      </c>
      <c r="D72" s="196" t="s">
        <v>16</v>
      </c>
      <c r="E72" s="196" t="s">
        <v>28</v>
      </c>
      <c r="F72" s="210">
        <v>183</v>
      </c>
      <c r="G72" s="210">
        <v>184.9</v>
      </c>
      <c r="H72" s="196">
        <v>1.9</v>
      </c>
      <c r="I72" s="197">
        <v>5000</v>
      </c>
      <c r="J72" s="268">
        <f t="shared" si="11"/>
        <v>9500</v>
      </c>
      <c r="K72" s="185"/>
      <c r="V72" s="183">
        <f t="shared" si="12"/>
        <v>1</v>
      </c>
      <c r="W72" s="183">
        <f t="shared" si="13"/>
        <v>0</v>
      </c>
    </row>
    <row r="73" spans="1:23" x14ac:dyDescent="0.3">
      <c r="A73" s="184"/>
      <c r="B73" s="194">
        <f t="shared" si="14"/>
        <v>6</v>
      </c>
      <c r="C73" s="195">
        <v>42956</v>
      </c>
      <c r="D73" s="196" t="s">
        <v>23</v>
      </c>
      <c r="E73" s="196" t="s">
        <v>28</v>
      </c>
      <c r="F73" s="210">
        <v>189.7</v>
      </c>
      <c r="G73" s="210">
        <v>187.7</v>
      </c>
      <c r="H73" s="196">
        <v>2</v>
      </c>
      <c r="I73" s="197">
        <v>5000</v>
      </c>
      <c r="J73" s="268">
        <f t="shared" si="11"/>
        <v>10000</v>
      </c>
      <c r="K73" s="185"/>
      <c r="V73" s="183">
        <f t="shared" si="12"/>
        <v>1</v>
      </c>
      <c r="W73" s="183">
        <f t="shared" si="13"/>
        <v>0</v>
      </c>
    </row>
    <row r="74" spans="1:23" x14ac:dyDescent="0.3">
      <c r="A74" s="184"/>
      <c r="B74" s="194">
        <f t="shared" si="14"/>
        <v>7</v>
      </c>
      <c r="C74" s="195">
        <v>42957</v>
      </c>
      <c r="D74" s="196" t="s">
        <v>23</v>
      </c>
      <c r="E74" s="196" t="s">
        <v>28</v>
      </c>
      <c r="F74" s="210">
        <v>187.8</v>
      </c>
      <c r="G74" s="210">
        <v>188.8</v>
      </c>
      <c r="H74" s="263">
        <v>-1</v>
      </c>
      <c r="I74" s="197">
        <v>5000</v>
      </c>
      <c r="J74" s="268">
        <f t="shared" si="11"/>
        <v>-5000</v>
      </c>
      <c r="K74" s="185"/>
      <c r="V74" s="183">
        <f t="shared" si="12"/>
        <v>0</v>
      </c>
      <c r="W74" s="183">
        <f t="shared" si="13"/>
        <v>1</v>
      </c>
    </row>
    <row r="75" spans="1:23" x14ac:dyDescent="0.3">
      <c r="A75" s="184"/>
      <c r="B75" s="194">
        <f t="shared" si="14"/>
        <v>8</v>
      </c>
      <c r="C75" s="195">
        <v>42958</v>
      </c>
      <c r="D75" s="196" t="s">
        <v>23</v>
      </c>
      <c r="E75" s="196" t="s">
        <v>28</v>
      </c>
      <c r="F75" s="210">
        <v>186.2</v>
      </c>
      <c r="G75" s="210">
        <v>185.2</v>
      </c>
      <c r="H75" s="263">
        <v>1</v>
      </c>
      <c r="I75" s="197">
        <v>5000</v>
      </c>
      <c r="J75" s="268">
        <f t="shared" si="11"/>
        <v>5000</v>
      </c>
      <c r="K75" s="185"/>
      <c r="V75" s="183">
        <f t="shared" si="12"/>
        <v>1</v>
      </c>
      <c r="W75" s="183">
        <f t="shared" si="13"/>
        <v>0</v>
      </c>
    </row>
    <row r="76" spans="1:23" x14ac:dyDescent="0.3">
      <c r="A76" s="184"/>
      <c r="B76" s="194">
        <f t="shared" si="14"/>
        <v>9</v>
      </c>
      <c r="C76" s="195">
        <v>42961</v>
      </c>
      <c r="D76" s="196" t="s">
        <v>23</v>
      </c>
      <c r="E76" s="196" t="s">
        <v>28</v>
      </c>
      <c r="F76" s="210">
        <v>186.3</v>
      </c>
      <c r="G76" s="210">
        <v>185.3</v>
      </c>
      <c r="H76" s="263">
        <v>1</v>
      </c>
      <c r="I76" s="197">
        <v>5000</v>
      </c>
      <c r="J76" s="268">
        <f t="shared" si="11"/>
        <v>5000</v>
      </c>
      <c r="K76" s="185"/>
      <c r="V76" s="183">
        <f t="shared" si="12"/>
        <v>1</v>
      </c>
      <c r="W76" s="183">
        <f t="shared" si="13"/>
        <v>0</v>
      </c>
    </row>
    <row r="77" spans="1:23" x14ac:dyDescent="0.3">
      <c r="A77" s="184"/>
      <c r="B77" s="194">
        <f t="shared" si="14"/>
        <v>10</v>
      </c>
      <c r="C77" s="195">
        <v>42963</v>
      </c>
      <c r="D77" s="196" t="s">
        <v>23</v>
      </c>
      <c r="E77" s="196" t="s">
        <v>28</v>
      </c>
      <c r="F77" s="210">
        <v>192.7</v>
      </c>
      <c r="G77" s="210">
        <v>193.7</v>
      </c>
      <c r="H77" s="263">
        <v>-1</v>
      </c>
      <c r="I77" s="197">
        <v>5000</v>
      </c>
      <c r="J77" s="268">
        <f t="shared" si="11"/>
        <v>-5000</v>
      </c>
      <c r="K77" s="185"/>
      <c r="V77" s="183">
        <f t="shared" si="12"/>
        <v>0</v>
      </c>
      <c r="W77" s="183">
        <f t="shared" si="13"/>
        <v>1</v>
      </c>
    </row>
    <row r="78" spans="1:23" x14ac:dyDescent="0.3">
      <c r="A78" s="184"/>
      <c r="B78" s="194">
        <f t="shared" si="14"/>
        <v>11</v>
      </c>
      <c r="C78" s="195">
        <v>42964</v>
      </c>
      <c r="D78" s="196" t="s">
        <v>23</v>
      </c>
      <c r="E78" s="196" t="s">
        <v>29</v>
      </c>
      <c r="F78" s="222">
        <v>417</v>
      </c>
      <c r="G78" s="222">
        <v>415</v>
      </c>
      <c r="H78" s="263">
        <v>2</v>
      </c>
      <c r="I78" s="197">
        <v>1000</v>
      </c>
      <c r="J78" s="268">
        <f t="shared" si="11"/>
        <v>2000</v>
      </c>
      <c r="K78" s="185"/>
      <c r="V78" s="183">
        <f t="shared" si="12"/>
        <v>1</v>
      </c>
      <c r="W78" s="183">
        <f t="shared" si="13"/>
        <v>0</v>
      </c>
    </row>
    <row r="79" spans="1:23" x14ac:dyDescent="0.3">
      <c r="A79" s="184"/>
      <c r="B79" s="194">
        <f t="shared" si="14"/>
        <v>12</v>
      </c>
      <c r="C79" s="195">
        <v>42965</v>
      </c>
      <c r="D79" s="196" t="s">
        <v>23</v>
      </c>
      <c r="E79" s="196" t="s">
        <v>29</v>
      </c>
      <c r="F79" s="222">
        <v>418</v>
      </c>
      <c r="G79" s="222">
        <v>414</v>
      </c>
      <c r="H79" s="263">
        <v>4</v>
      </c>
      <c r="I79" s="197">
        <v>1000</v>
      </c>
      <c r="J79" s="268">
        <f t="shared" si="11"/>
        <v>4000</v>
      </c>
      <c r="K79" s="185"/>
      <c r="V79" s="183">
        <f t="shared" si="12"/>
        <v>1</v>
      </c>
      <c r="W79" s="183">
        <f t="shared" si="13"/>
        <v>0</v>
      </c>
    </row>
    <row r="80" spans="1:23" x14ac:dyDescent="0.3">
      <c r="A80" s="184"/>
      <c r="B80" s="194">
        <f t="shared" si="14"/>
        <v>13</v>
      </c>
      <c r="C80" s="195">
        <v>42968</v>
      </c>
      <c r="D80" s="196" t="s">
        <v>23</v>
      </c>
      <c r="E80" s="196" t="s">
        <v>29</v>
      </c>
      <c r="F80" s="222">
        <v>418</v>
      </c>
      <c r="G80" s="222">
        <v>422</v>
      </c>
      <c r="H80" s="263">
        <v>-4</v>
      </c>
      <c r="I80" s="197">
        <v>1000</v>
      </c>
      <c r="J80" s="268">
        <f t="shared" si="11"/>
        <v>-4000</v>
      </c>
      <c r="K80" s="185"/>
      <c r="V80" s="183">
        <f t="shared" si="12"/>
        <v>0</v>
      </c>
      <c r="W80" s="183">
        <f t="shared" si="13"/>
        <v>1</v>
      </c>
    </row>
    <row r="81" spans="1:23" x14ac:dyDescent="0.3">
      <c r="A81" s="184"/>
      <c r="B81" s="194">
        <f t="shared" si="14"/>
        <v>14</v>
      </c>
      <c r="C81" s="195">
        <v>42969</v>
      </c>
      <c r="D81" s="196" t="s">
        <v>16</v>
      </c>
      <c r="E81" s="196" t="s">
        <v>28</v>
      </c>
      <c r="F81" s="222">
        <v>200</v>
      </c>
      <c r="G81" s="222">
        <v>202</v>
      </c>
      <c r="H81" s="263">
        <v>2</v>
      </c>
      <c r="I81" s="197">
        <v>5000</v>
      </c>
      <c r="J81" s="268">
        <f t="shared" si="11"/>
        <v>10000</v>
      </c>
      <c r="K81" s="185"/>
      <c r="V81" s="183">
        <f t="shared" si="12"/>
        <v>1</v>
      </c>
      <c r="W81" s="183">
        <f t="shared" si="13"/>
        <v>0</v>
      </c>
    </row>
    <row r="82" spans="1:23" x14ac:dyDescent="0.3">
      <c r="A82" s="184"/>
      <c r="B82" s="194">
        <f t="shared" si="14"/>
        <v>15</v>
      </c>
      <c r="C82" s="195">
        <v>42970</v>
      </c>
      <c r="D82" s="196" t="s">
        <v>16</v>
      </c>
      <c r="E82" s="196" t="s">
        <v>28</v>
      </c>
      <c r="F82" s="223">
        <v>200</v>
      </c>
      <c r="G82" s="222">
        <v>201</v>
      </c>
      <c r="H82" s="263">
        <v>1</v>
      </c>
      <c r="I82" s="197">
        <v>5000</v>
      </c>
      <c r="J82" s="268">
        <f t="shared" si="11"/>
        <v>5000</v>
      </c>
      <c r="K82" s="185"/>
      <c r="V82" s="183">
        <f t="shared" si="12"/>
        <v>1</v>
      </c>
      <c r="W82" s="183">
        <f t="shared" si="13"/>
        <v>0</v>
      </c>
    </row>
    <row r="83" spans="1:23" x14ac:dyDescent="0.3">
      <c r="A83" s="184"/>
      <c r="B83" s="194">
        <f t="shared" si="14"/>
        <v>16</v>
      </c>
      <c r="C83" s="195">
        <v>42971</v>
      </c>
      <c r="D83" s="196" t="s">
        <v>16</v>
      </c>
      <c r="E83" s="196" t="s">
        <v>28</v>
      </c>
      <c r="F83" s="222">
        <v>199.5</v>
      </c>
      <c r="G83" s="222">
        <v>198.5</v>
      </c>
      <c r="H83" s="263">
        <v>-1</v>
      </c>
      <c r="I83" s="197">
        <v>5000</v>
      </c>
      <c r="J83" s="268">
        <f t="shared" si="11"/>
        <v>-5000</v>
      </c>
      <c r="K83" s="185"/>
      <c r="V83" s="183">
        <f t="shared" si="12"/>
        <v>0</v>
      </c>
      <c r="W83" s="183">
        <f t="shared" si="13"/>
        <v>1</v>
      </c>
    </row>
    <row r="84" spans="1:23" x14ac:dyDescent="0.3">
      <c r="A84" s="184"/>
      <c r="B84" s="194">
        <f t="shared" si="14"/>
        <v>17</v>
      </c>
      <c r="C84" s="195">
        <v>42975</v>
      </c>
      <c r="D84" s="196" t="s">
        <v>23</v>
      </c>
      <c r="E84" s="196" t="s">
        <v>28</v>
      </c>
      <c r="F84" s="222">
        <v>196.3</v>
      </c>
      <c r="G84" s="222">
        <v>196</v>
      </c>
      <c r="H84" s="263">
        <v>0.3</v>
      </c>
      <c r="I84" s="197">
        <v>5000</v>
      </c>
      <c r="J84" s="268">
        <f t="shared" si="11"/>
        <v>1500</v>
      </c>
      <c r="K84" s="185"/>
      <c r="V84" s="183">
        <f t="shared" si="12"/>
        <v>1</v>
      </c>
      <c r="W84" s="183">
        <f t="shared" si="13"/>
        <v>0</v>
      </c>
    </row>
    <row r="85" spans="1:23" x14ac:dyDescent="0.3">
      <c r="A85" s="184"/>
      <c r="B85" s="194">
        <f t="shared" si="14"/>
        <v>18</v>
      </c>
      <c r="C85" s="195">
        <v>42976</v>
      </c>
      <c r="D85" s="196" t="s">
        <v>23</v>
      </c>
      <c r="E85" s="196" t="s">
        <v>28</v>
      </c>
      <c r="F85" s="197">
        <v>198</v>
      </c>
      <c r="G85" s="222">
        <v>197.5</v>
      </c>
      <c r="H85" s="263">
        <v>0.5</v>
      </c>
      <c r="I85" s="197">
        <v>5000</v>
      </c>
      <c r="J85" s="268">
        <f t="shared" si="11"/>
        <v>2500</v>
      </c>
      <c r="K85" s="185"/>
      <c r="V85" s="183">
        <f t="shared" si="12"/>
        <v>1</v>
      </c>
      <c r="W85" s="183">
        <f t="shared" si="13"/>
        <v>0</v>
      </c>
    </row>
    <row r="86" spans="1:23" x14ac:dyDescent="0.3">
      <c r="A86" s="184"/>
      <c r="B86" s="194">
        <f t="shared" si="14"/>
        <v>19</v>
      </c>
      <c r="C86" s="195">
        <v>42977</v>
      </c>
      <c r="D86" s="196" t="s">
        <v>23</v>
      </c>
      <c r="E86" s="196" t="s">
        <v>28</v>
      </c>
      <c r="F86" s="222">
        <v>201</v>
      </c>
      <c r="G86" s="222">
        <v>199</v>
      </c>
      <c r="H86" s="263">
        <v>2</v>
      </c>
      <c r="I86" s="197">
        <v>5000</v>
      </c>
      <c r="J86" s="268">
        <f t="shared" si="11"/>
        <v>10000</v>
      </c>
      <c r="K86" s="185"/>
      <c r="V86" s="183">
        <f t="shared" si="12"/>
        <v>1</v>
      </c>
      <c r="W86" s="183">
        <f t="shared" si="13"/>
        <v>0</v>
      </c>
    </row>
    <row r="87" spans="1:23" x14ac:dyDescent="0.3">
      <c r="A87" s="184"/>
      <c r="B87" s="194">
        <f t="shared" si="14"/>
        <v>20</v>
      </c>
      <c r="C87" s="195">
        <v>42978</v>
      </c>
      <c r="D87" s="196" t="s">
        <v>23</v>
      </c>
      <c r="E87" s="196" t="s">
        <v>28</v>
      </c>
      <c r="F87" s="222">
        <v>199</v>
      </c>
      <c r="G87" s="222">
        <v>200</v>
      </c>
      <c r="H87" s="263">
        <v>-1</v>
      </c>
      <c r="I87" s="197">
        <v>5000</v>
      </c>
      <c r="J87" s="268">
        <f t="shared" si="11"/>
        <v>-5000</v>
      </c>
      <c r="K87" s="185"/>
      <c r="V87" s="183">
        <f t="shared" si="12"/>
        <v>0</v>
      </c>
      <c r="W87" s="183">
        <f t="shared" si="13"/>
        <v>1</v>
      </c>
    </row>
    <row r="88" spans="1:23" x14ac:dyDescent="0.3">
      <c r="A88" s="184"/>
      <c r="B88" s="194">
        <f t="shared" si="14"/>
        <v>21</v>
      </c>
      <c r="C88" s="195"/>
      <c r="D88" s="196"/>
      <c r="E88" s="196"/>
      <c r="F88" s="222"/>
      <c r="G88" s="222"/>
      <c r="H88" s="196"/>
      <c r="I88" s="197"/>
      <c r="J88" s="268">
        <f t="shared" si="11"/>
        <v>0</v>
      </c>
      <c r="K88" s="185"/>
      <c r="V88" s="183">
        <f t="shared" si="12"/>
        <v>0</v>
      </c>
      <c r="W88" s="183">
        <f t="shared" si="13"/>
        <v>0</v>
      </c>
    </row>
    <row r="89" spans="1:23" x14ac:dyDescent="0.3">
      <c r="A89" s="184"/>
      <c r="B89" s="194">
        <f t="shared" si="14"/>
        <v>22</v>
      </c>
      <c r="C89" s="195"/>
      <c r="D89" s="196"/>
      <c r="E89" s="196"/>
      <c r="F89" s="197"/>
      <c r="G89" s="197"/>
      <c r="H89" s="196"/>
      <c r="I89" s="197"/>
      <c r="J89" s="268">
        <f t="shared" si="11"/>
        <v>0</v>
      </c>
      <c r="K89" s="185"/>
      <c r="V89" s="183">
        <f t="shared" si="12"/>
        <v>0</v>
      </c>
      <c r="W89" s="183">
        <f t="shared" si="13"/>
        <v>0</v>
      </c>
    </row>
    <row r="90" spans="1:23" ht="15" thickBot="1" x14ac:dyDescent="0.35">
      <c r="A90" s="184"/>
      <c r="B90" s="219">
        <f t="shared" si="14"/>
        <v>23</v>
      </c>
      <c r="C90" s="220"/>
      <c r="D90" s="221"/>
      <c r="E90" s="221"/>
      <c r="F90" s="211"/>
      <c r="G90" s="211"/>
      <c r="H90" s="221"/>
      <c r="I90" s="211"/>
      <c r="J90" s="272">
        <f t="shared" si="11"/>
        <v>0</v>
      </c>
      <c r="K90" s="185"/>
      <c r="V90" s="183">
        <f t="shared" si="12"/>
        <v>0</v>
      </c>
      <c r="W90" s="183">
        <f t="shared" si="13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53000</v>
      </c>
      <c r="K91" s="185"/>
      <c r="V91" s="183">
        <f>SUM(V68:V90)</f>
        <v>14</v>
      </c>
      <c r="W91" s="183">
        <f>SUM(W68:W90)</f>
        <v>6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3800-000000000000}"/>
    <hyperlink ref="B60" r:id="rId2" xr:uid="{00000000-0004-0000-3800-000001000000}"/>
    <hyperlink ref="M4:M5" location="'AUG-2017'!A1" display="BULLION" xr:uid="{00000000-0004-0000-3800-000002000000}"/>
    <hyperlink ref="M6:M7" location="'AUG-2017'!A54" display="ENERGY" xr:uid="{00000000-0004-0000-3800-000003000000}"/>
    <hyperlink ref="B91" r:id="rId3" xr:uid="{00000000-0004-0000-3800-000004000000}"/>
    <hyperlink ref="M8:M9" location="'AUG-2017'!A86" display="BASE METAL" xr:uid="{00000000-0004-0000-3800-000005000000}"/>
    <hyperlink ref="M1" location="MASTER!A1" display="Back" xr:uid="{00000000-0004-0000-3800-000006000000}"/>
  </hyperlinks>
  <pageMargins left="0" right="0" top="0" bottom="0" header="0" footer="0"/>
  <pageSetup paperSize="9" orientation="portrait" r:id="rId4"/>
  <drawing r:id="rId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W92"/>
  <sheetViews>
    <sheetView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42979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21</v>
      </c>
      <c r="O4" s="355">
        <f>V29</f>
        <v>14</v>
      </c>
      <c r="P4" s="355">
        <f>W29</f>
        <v>6</v>
      </c>
      <c r="Q4" s="356">
        <f>N4-O4-P4</f>
        <v>1</v>
      </c>
      <c r="R4" s="343">
        <f>O4/N4</f>
        <v>0.66666666666666663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42979</v>
      </c>
      <c r="D6" s="192" t="s">
        <v>23</v>
      </c>
      <c r="E6" s="192" t="s">
        <v>24</v>
      </c>
      <c r="F6" s="193">
        <v>29750</v>
      </c>
      <c r="G6" s="193">
        <v>29850</v>
      </c>
      <c r="H6" s="192">
        <v>-100</v>
      </c>
      <c r="I6" s="193">
        <v>100</v>
      </c>
      <c r="J6" s="267">
        <f>H6*I6</f>
        <v>-10000</v>
      </c>
      <c r="K6" s="185"/>
      <c r="M6" s="362" t="s">
        <v>258</v>
      </c>
      <c r="N6" s="347">
        <f>COUNT(C37:C59)</f>
        <v>21</v>
      </c>
      <c r="O6" s="348">
        <f>V60</f>
        <v>14</v>
      </c>
      <c r="P6" s="348">
        <f>W60</f>
        <v>7</v>
      </c>
      <c r="Q6" s="349">
        <f>N6-O6-P6</f>
        <v>0</v>
      </c>
      <c r="R6" s="345">
        <f t="shared" ref="R6" si="0">O6/N6</f>
        <v>0.66666666666666663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f>B6+1</f>
        <v>2</v>
      </c>
      <c r="C7" s="195">
        <v>42982</v>
      </c>
      <c r="D7" s="196" t="s">
        <v>16</v>
      </c>
      <c r="E7" s="196" t="s">
        <v>24</v>
      </c>
      <c r="F7" s="197">
        <v>30200</v>
      </c>
      <c r="G7" s="197">
        <v>30100</v>
      </c>
      <c r="H7" s="196">
        <v>-100</v>
      </c>
      <c r="I7" s="197">
        <v>100</v>
      </c>
      <c r="J7" s="268">
        <f t="shared" ref="J7:J28" si="1">H7*I7</f>
        <v>-10000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f t="shared" ref="B8:B28" si="4">B7+1</f>
        <v>3</v>
      </c>
      <c r="C8" s="195">
        <v>42983</v>
      </c>
      <c r="D8" s="196" t="s">
        <v>23</v>
      </c>
      <c r="E8" s="196" t="s">
        <v>24</v>
      </c>
      <c r="F8" s="197">
        <v>30090</v>
      </c>
      <c r="G8" s="197">
        <v>29990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COUNT(C68:C90)</f>
        <v>21</v>
      </c>
      <c r="O8" s="348">
        <f>V91</f>
        <v>18</v>
      </c>
      <c r="P8" s="348">
        <f>W91</f>
        <v>3</v>
      </c>
      <c r="Q8" s="349">
        <f>N8-O8-P8</f>
        <v>0</v>
      </c>
      <c r="R8" s="345">
        <f t="shared" ref="R8" si="5">O8/N8</f>
        <v>0.8571428571428571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f t="shared" si="4"/>
        <v>4</v>
      </c>
      <c r="C9" s="195">
        <v>42984</v>
      </c>
      <c r="D9" s="196" t="s">
        <v>23</v>
      </c>
      <c r="E9" s="196" t="s">
        <v>24</v>
      </c>
      <c r="F9" s="197">
        <v>30260</v>
      </c>
      <c r="G9" s="197">
        <v>30060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f t="shared" si="4"/>
        <v>5</v>
      </c>
      <c r="C10" s="195">
        <v>42985</v>
      </c>
      <c r="D10" s="196" t="s">
        <v>23</v>
      </c>
      <c r="E10" s="196" t="s">
        <v>24</v>
      </c>
      <c r="F10" s="197">
        <v>30090</v>
      </c>
      <c r="G10" s="197">
        <v>30190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63</v>
      </c>
      <c r="O10" s="321">
        <f>SUM(O4:O9)</f>
        <v>46</v>
      </c>
      <c r="P10" s="321">
        <f>SUM(P4:P9)</f>
        <v>16</v>
      </c>
      <c r="Q10" s="341">
        <f>SUM(Q4:Q9)</f>
        <v>1</v>
      </c>
      <c r="R10" s="343">
        <f t="shared" ref="R10" si="6">O10/N10</f>
        <v>0.73015873015873012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f t="shared" si="4"/>
        <v>6</v>
      </c>
      <c r="C11" s="195">
        <v>42986</v>
      </c>
      <c r="D11" s="196" t="s">
        <v>23</v>
      </c>
      <c r="E11" s="196" t="s">
        <v>24</v>
      </c>
      <c r="F11" s="197">
        <v>30400</v>
      </c>
      <c r="G11" s="197">
        <v>30250</v>
      </c>
      <c r="H11" s="196">
        <v>150</v>
      </c>
      <c r="I11" s="197">
        <v>100</v>
      </c>
      <c r="J11" s="268">
        <f t="shared" si="1"/>
        <v>15000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f t="shared" si="4"/>
        <v>7</v>
      </c>
      <c r="C12" s="195">
        <v>42989</v>
      </c>
      <c r="D12" s="196" t="s">
        <v>23</v>
      </c>
      <c r="E12" s="196" t="s">
        <v>24</v>
      </c>
      <c r="F12" s="197">
        <v>30030</v>
      </c>
      <c r="G12" s="197">
        <v>29930</v>
      </c>
      <c r="H12" s="196">
        <v>100</v>
      </c>
      <c r="I12" s="197">
        <v>100</v>
      </c>
      <c r="J12" s="268">
        <f t="shared" si="1"/>
        <v>10000</v>
      </c>
      <c r="K12" s="185"/>
      <c r="M12" s="323" t="s">
        <v>878</v>
      </c>
      <c r="N12" s="324"/>
      <c r="O12" s="325"/>
      <c r="P12" s="332">
        <f>R10</f>
        <v>0.73015873015873012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f t="shared" si="4"/>
        <v>8</v>
      </c>
      <c r="C13" s="195">
        <v>42990</v>
      </c>
      <c r="D13" s="196" t="s">
        <v>23</v>
      </c>
      <c r="E13" s="196" t="s">
        <v>24</v>
      </c>
      <c r="F13" s="197">
        <v>29880</v>
      </c>
      <c r="G13" s="197">
        <v>29825</v>
      </c>
      <c r="H13" s="196">
        <v>55</v>
      </c>
      <c r="I13" s="197">
        <v>100</v>
      </c>
      <c r="J13" s="268">
        <f t="shared" si="1"/>
        <v>5500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f t="shared" si="4"/>
        <v>9</v>
      </c>
      <c r="C14" s="195">
        <v>42991</v>
      </c>
      <c r="D14" s="196" t="s">
        <v>23</v>
      </c>
      <c r="E14" s="196" t="s">
        <v>24</v>
      </c>
      <c r="F14" s="197">
        <v>30030</v>
      </c>
      <c r="G14" s="197">
        <v>29830</v>
      </c>
      <c r="H14" s="196">
        <v>200</v>
      </c>
      <c r="I14" s="197">
        <v>100</v>
      </c>
      <c r="J14" s="268">
        <f t="shared" si="1"/>
        <v>20000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f t="shared" si="4"/>
        <v>10</v>
      </c>
      <c r="C15" s="195">
        <v>42992</v>
      </c>
      <c r="D15" s="196" t="s">
        <v>23</v>
      </c>
      <c r="E15" s="196" t="s">
        <v>24</v>
      </c>
      <c r="F15" s="197">
        <v>29840</v>
      </c>
      <c r="G15" s="197">
        <v>29770</v>
      </c>
      <c r="H15" s="196">
        <v>70</v>
      </c>
      <c r="I15" s="197">
        <v>100</v>
      </c>
      <c r="J15" s="268">
        <f t="shared" si="1"/>
        <v>7000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f t="shared" si="4"/>
        <v>11</v>
      </c>
      <c r="C16" s="195">
        <v>42993</v>
      </c>
      <c r="D16" s="196" t="s">
        <v>23</v>
      </c>
      <c r="E16" s="196" t="s">
        <v>24</v>
      </c>
      <c r="F16" s="197">
        <v>29980</v>
      </c>
      <c r="G16" s="197">
        <v>29880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f t="shared" si="4"/>
        <v>12</v>
      </c>
      <c r="C17" s="195">
        <v>42996</v>
      </c>
      <c r="D17" s="196" t="s">
        <v>23</v>
      </c>
      <c r="E17" s="196" t="s">
        <v>24</v>
      </c>
      <c r="F17" s="197">
        <v>29720</v>
      </c>
      <c r="G17" s="197">
        <v>29580</v>
      </c>
      <c r="H17" s="196">
        <v>140</v>
      </c>
      <c r="I17" s="197">
        <v>100</v>
      </c>
      <c r="J17" s="268">
        <f t="shared" si="1"/>
        <v>14000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f t="shared" si="4"/>
        <v>13</v>
      </c>
      <c r="C18" s="195">
        <v>42997</v>
      </c>
      <c r="D18" s="196" t="s">
        <v>23</v>
      </c>
      <c r="E18" s="196" t="s">
        <v>24</v>
      </c>
      <c r="F18" s="197">
        <v>29600</v>
      </c>
      <c r="G18" s="197">
        <v>29600</v>
      </c>
      <c r="H18" s="196">
        <v>0</v>
      </c>
      <c r="I18" s="197">
        <v>100</v>
      </c>
      <c r="J18" s="268">
        <f t="shared" si="1"/>
        <v>0</v>
      </c>
      <c r="K18" s="185"/>
      <c r="V18" s="183">
        <f t="shared" si="2"/>
        <v>0</v>
      </c>
      <c r="W18" s="183">
        <f t="shared" si="3"/>
        <v>0</v>
      </c>
    </row>
    <row r="19" spans="1:23" x14ac:dyDescent="0.3">
      <c r="A19" s="184"/>
      <c r="B19" s="194">
        <f t="shared" si="4"/>
        <v>14</v>
      </c>
      <c r="C19" s="195">
        <v>42998</v>
      </c>
      <c r="D19" s="196" t="s">
        <v>23</v>
      </c>
      <c r="E19" s="196" t="s">
        <v>24</v>
      </c>
      <c r="F19" s="197">
        <v>29760</v>
      </c>
      <c r="G19" s="197">
        <v>29700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f t="shared" si="4"/>
        <v>15</v>
      </c>
      <c r="C20" s="195">
        <v>42999</v>
      </c>
      <c r="D20" s="196" t="s">
        <v>23</v>
      </c>
      <c r="E20" s="196" t="s">
        <v>24</v>
      </c>
      <c r="F20" s="197">
        <v>29500</v>
      </c>
      <c r="G20" s="197">
        <v>29600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f t="shared" si="4"/>
        <v>16</v>
      </c>
      <c r="C21" s="195">
        <v>43000</v>
      </c>
      <c r="D21" s="196" t="s">
        <v>23</v>
      </c>
      <c r="E21" s="196" t="s">
        <v>24</v>
      </c>
      <c r="F21" s="197">
        <v>29730</v>
      </c>
      <c r="G21" s="197">
        <v>29580</v>
      </c>
      <c r="H21" s="196">
        <v>-150</v>
      </c>
      <c r="I21" s="197">
        <v>100</v>
      </c>
      <c r="J21" s="268">
        <f t="shared" si="1"/>
        <v>-15000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f t="shared" si="4"/>
        <v>17</v>
      </c>
      <c r="C22" s="195">
        <v>43003</v>
      </c>
      <c r="D22" s="196" t="s">
        <v>23</v>
      </c>
      <c r="E22" s="196" t="s">
        <v>24</v>
      </c>
      <c r="F22" s="197">
        <v>29550</v>
      </c>
      <c r="G22" s="197">
        <v>29650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f t="shared" si="4"/>
        <v>18</v>
      </c>
      <c r="C23" s="195">
        <v>43004</v>
      </c>
      <c r="D23" s="196" t="s">
        <v>23</v>
      </c>
      <c r="E23" s="196" t="s">
        <v>24</v>
      </c>
      <c r="F23" s="197">
        <v>30100</v>
      </c>
      <c r="G23" s="197">
        <v>29910</v>
      </c>
      <c r="H23" s="196">
        <v>190</v>
      </c>
      <c r="I23" s="197">
        <v>100</v>
      </c>
      <c r="J23" s="268">
        <f t="shared" si="1"/>
        <v>19000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f t="shared" si="4"/>
        <v>19</v>
      </c>
      <c r="C24" s="195">
        <v>43005</v>
      </c>
      <c r="D24" s="196" t="s">
        <v>23</v>
      </c>
      <c r="E24" s="196" t="s">
        <v>24</v>
      </c>
      <c r="F24" s="197">
        <v>29870</v>
      </c>
      <c r="G24" s="197">
        <v>29670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f t="shared" si="4"/>
        <v>20</v>
      </c>
      <c r="C25" s="195">
        <v>43006</v>
      </c>
      <c r="D25" s="196" t="s">
        <v>23</v>
      </c>
      <c r="E25" s="196" t="s">
        <v>24</v>
      </c>
      <c r="F25" s="197">
        <v>29620</v>
      </c>
      <c r="G25" s="197">
        <v>29530</v>
      </c>
      <c r="H25" s="196">
        <v>90</v>
      </c>
      <c r="I25" s="197">
        <v>100</v>
      </c>
      <c r="J25" s="268">
        <f t="shared" si="1"/>
        <v>9000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f t="shared" si="4"/>
        <v>21</v>
      </c>
      <c r="C26" s="195">
        <v>43007</v>
      </c>
      <c r="D26" s="196" t="s">
        <v>23</v>
      </c>
      <c r="E26" s="196" t="s">
        <v>24</v>
      </c>
      <c r="F26" s="197">
        <v>29610</v>
      </c>
      <c r="G26" s="197">
        <v>29550</v>
      </c>
      <c r="H26" s="196">
        <v>60</v>
      </c>
      <c r="I26" s="197">
        <v>100</v>
      </c>
      <c r="J26" s="268">
        <f t="shared" si="1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f t="shared" si="4"/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>
        <f t="shared" si="4"/>
        <v>23</v>
      </c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106500</v>
      </c>
      <c r="K29" s="185"/>
      <c r="V29" s="183">
        <f>SUM(V6:V28)</f>
        <v>14</v>
      </c>
      <c r="W29" s="183">
        <f>SUM(W6:W28)</f>
        <v>6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873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42979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42979</v>
      </c>
      <c r="D37" s="192" t="s">
        <v>23</v>
      </c>
      <c r="E37" s="192" t="s">
        <v>25</v>
      </c>
      <c r="F37" s="193">
        <v>3005</v>
      </c>
      <c r="G37" s="193">
        <v>2985</v>
      </c>
      <c r="H37" s="192">
        <v>20</v>
      </c>
      <c r="I37" s="193">
        <v>100</v>
      </c>
      <c r="J37" s="267">
        <f t="shared" ref="J37:J59" si="7">I37*H37</f>
        <v>2000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f>B37+1</f>
        <v>2</v>
      </c>
      <c r="C38" s="195">
        <v>42982</v>
      </c>
      <c r="D38" s="196" t="s">
        <v>23</v>
      </c>
      <c r="E38" s="196" t="s">
        <v>25</v>
      </c>
      <c r="F38" s="197">
        <v>3045</v>
      </c>
      <c r="G38" s="197">
        <v>3025</v>
      </c>
      <c r="H38" s="196">
        <v>20</v>
      </c>
      <c r="I38" s="197">
        <v>100</v>
      </c>
      <c r="J38" s="268">
        <f t="shared" si="7"/>
        <v>2000</v>
      </c>
      <c r="K38" s="185"/>
      <c r="V38" s="183">
        <f t="shared" ref="V38:V59" si="8">IF($J38&gt;0,1,0)</f>
        <v>1</v>
      </c>
      <c r="W38" s="183">
        <f t="shared" ref="W38:W59" si="9">IF($J38&lt;0,1,0)</f>
        <v>0</v>
      </c>
    </row>
    <row r="39" spans="1:23" x14ac:dyDescent="0.3">
      <c r="A39" s="184"/>
      <c r="B39" s="194">
        <f t="shared" ref="B39:B59" si="10">B38+1</f>
        <v>3</v>
      </c>
      <c r="C39" s="195">
        <v>42983</v>
      </c>
      <c r="D39" s="196" t="s">
        <v>23</v>
      </c>
      <c r="E39" s="196" t="s">
        <v>25</v>
      </c>
      <c r="F39" s="197">
        <v>3080</v>
      </c>
      <c r="G39" s="197">
        <v>3110</v>
      </c>
      <c r="H39" s="196">
        <v>-30</v>
      </c>
      <c r="I39" s="197">
        <v>100</v>
      </c>
      <c r="J39" s="268">
        <f t="shared" si="7"/>
        <v>-3000</v>
      </c>
      <c r="K39" s="185"/>
      <c r="V39" s="183">
        <f t="shared" si="8"/>
        <v>0</v>
      </c>
      <c r="W39" s="183">
        <f t="shared" si="9"/>
        <v>1</v>
      </c>
    </row>
    <row r="40" spans="1:23" x14ac:dyDescent="0.3">
      <c r="A40" s="184"/>
      <c r="B40" s="194">
        <f t="shared" si="10"/>
        <v>4</v>
      </c>
      <c r="C40" s="195">
        <v>42984</v>
      </c>
      <c r="D40" s="196" t="s">
        <v>23</v>
      </c>
      <c r="E40" s="196" t="s">
        <v>25</v>
      </c>
      <c r="F40" s="197">
        <v>3145</v>
      </c>
      <c r="G40" s="197">
        <v>3155</v>
      </c>
      <c r="H40" s="196">
        <v>-10</v>
      </c>
      <c r="I40" s="197">
        <v>100</v>
      </c>
      <c r="J40" s="268">
        <f t="shared" si="7"/>
        <v>-1000</v>
      </c>
      <c r="K40" s="185"/>
      <c r="V40" s="183">
        <f t="shared" si="8"/>
        <v>0</v>
      </c>
      <c r="W40" s="183">
        <f t="shared" si="9"/>
        <v>1</v>
      </c>
    </row>
    <row r="41" spans="1:23" x14ac:dyDescent="0.3">
      <c r="A41" s="184"/>
      <c r="B41" s="194">
        <f t="shared" si="10"/>
        <v>5</v>
      </c>
      <c r="C41" s="195">
        <v>42985</v>
      </c>
      <c r="D41" s="196" t="s">
        <v>16</v>
      </c>
      <c r="E41" s="196" t="s">
        <v>25</v>
      </c>
      <c r="F41" s="197">
        <v>3145</v>
      </c>
      <c r="G41" s="197">
        <v>3150</v>
      </c>
      <c r="H41" s="196">
        <v>-5</v>
      </c>
      <c r="I41" s="197">
        <v>100</v>
      </c>
      <c r="J41" s="268">
        <f t="shared" si="7"/>
        <v>-500</v>
      </c>
      <c r="K41" s="185"/>
      <c r="V41" s="183">
        <f t="shared" si="8"/>
        <v>0</v>
      </c>
      <c r="W41" s="183">
        <f t="shared" si="9"/>
        <v>1</v>
      </c>
    </row>
    <row r="42" spans="1:23" x14ac:dyDescent="0.3">
      <c r="A42" s="184"/>
      <c r="B42" s="194">
        <f t="shared" si="10"/>
        <v>6</v>
      </c>
      <c r="C42" s="195">
        <v>42986</v>
      </c>
      <c r="D42" s="196" t="s">
        <v>23</v>
      </c>
      <c r="E42" s="196" t="s">
        <v>25</v>
      </c>
      <c r="F42" s="197">
        <v>3145</v>
      </c>
      <c r="G42" s="197">
        <v>3070</v>
      </c>
      <c r="H42" s="196">
        <v>75</v>
      </c>
      <c r="I42" s="197">
        <v>100</v>
      </c>
      <c r="J42" s="268">
        <f t="shared" si="7"/>
        <v>7500</v>
      </c>
      <c r="K42" s="185"/>
      <c r="V42" s="183">
        <f t="shared" si="8"/>
        <v>1</v>
      </c>
      <c r="W42" s="183">
        <f t="shared" si="9"/>
        <v>0</v>
      </c>
    </row>
    <row r="43" spans="1:23" x14ac:dyDescent="0.3">
      <c r="A43" s="184"/>
      <c r="B43" s="194">
        <f t="shared" si="10"/>
        <v>7</v>
      </c>
      <c r="C43" s="195">
        <v>42989</v>
      </c>
      <c r="D43" s="196" t="s">
        <v>23</v>
      </c>
      <c r="E43" s="196" t="s">
        <v>25</v>
      </c>
      <c r="F43" s="197">
        <v>3060</v>
      </c>
      <c r="G43" s="197">
        <v>3020</v>
      </c>
      <c r="H43" s="196">
        <v>40</v>
      </c>
      <c r="I43" s="197">
        <v>100</v>
      </c>
      <c r="J43" s="268">
        <f t="shared" si="7"/>
        <v>4000</v>
      </c>
      <c r="K43" s="185"/>
      <c r="V43" s="183">
        <f t="shared" si="8"/>
        <v>1</v>
      </c>
      <c r="W43" s="183">
        <f t="shared" si="9"/>
        <v>0</v>
      </c>
    </row>
    <row r="44" spans="1:23" x14ac:dyDescent="0.3">
      <c r="A44" s="184"/>
      <c r="B44" s="194">
        <f t="shared" si="10"/>
        <v>8</v>
      </c>
      <c r="C44" s="195">
        <v>42990</v>
      </c>
      <c r="D44" s="196" t="s">
        <v>23</v>
      </c>
      <c r="E44" s="196" t="s">
        <v>25</v>
      </c>
      <c r="F44" s="197">
        <v>3080</v>
      </c>
      <c r="G44" s="197">
        <v>3060</v>
      </c>
      <c r="H44" s="196">
        <v>20</v>
      </c>
      <c r="I44" s="197">
        <v>100</v>
      </c>
      <c r="J44" s="268">
        <f t="shared" si="7"/>
        <v>2000</v>
      </c>
      <c r="K44" s="185"/>
      <c r="V44" s="183">
        <f t="shared" si="8"/>
        <v>1</v>
      </c>
      <c r="W44" s="183">
        <f t="shared" si="9"/>
        <v>0</v>
      </c>
    </row>
    <row r="45" spans="1:23" x14ac:dyDescent="0.3">
      <c r="A45" s="184"/>
      <c r="B45" s="194">
        <f t="shared" si="10"/>
        <v>9</v>
      </c>
      <c r="C45" s="195">
        <v>42991</v>
      </c>
      <c r="D45" s="196" t="s">
        <v>23</v>
      </c>
      <c r="E45" s="196" t="s">
        <v>25</v>
      </c>
      <c r="F45" s="197">
        <v>3120</v>
      </c>
      <c r="G45" s="197">
        <v>3160</v>
      </c>
      <c r="H45" s="196">
        <v>-40</v>
      </c>
      <c r="I45" s="197">
        <v>100</v>
      </c>
      <c r="J45" s="268">
        <f t="shared" si="7"/>
        <v>-4000</v>
      </c>
      <c r="K45" s="185"/>
      <c r="V45" s="183">
        <f t="shared" si="8"/>
        <v>0</v>
      </c>
      <c r="W45" s="183">
        <f t="shared" si="9"/>
        <v>1</v>
      </c>
    </row>
    <row r="46" spans="1:23" x14ac:dyDescent="0.3">
      <c r="A46" s="184"/>
      <c r="B46" s="194">
        <f t="shared" si="10"/>
        <v>10</v>
      </c>
      <c r="C46" s="195">
        <v>42992</v>
      </c>
      <c r="D46" s="196" t="s">
        <v>23</v>
      </c>
      <c r="E46" s="196" t="s">
        <v>25</v>
      </c>
      <c r="F46" s="197">
        <v>3165</v>
      </c>
      <c r="G46" s="197">
        <v>3200</v>
      </c>
      <c r="H46" s="196">
        <v>-35</v>
      </c>
      <c r="I46" s="197">
        <v>100</v>
      </c>
      <c r="J46" s="268">
        <f t="shared" si="7"/>
        <v>-3500</v>
      </c>
      <c r="K46" s="185"/>
      <c r="V46" s="183">
        <f t="shared" si="8"/>
        <v>0</v>
      </c>
      <c r="W46" s="183">
        <f t="shared" si="9"/>
        <v>1</v>
      </c>
    </row>
    <row r="47" spans="1:23" x14ac:dyDescent="0.3">
      <c r="A47" s="184"/>
      <c r="B47" s="194">
        <f t="shared" si="10"/>
        <v>11</v>
      </c>
      <c r="C47" s="195">
        <v>42993</v>
      </c>
      <c r="D47" s="196" t="s">
        <v>23</v>
      </c>
      <c r="E47" s="196" t="s">
        <v>25</v>
      </c>
      <c r="F47" s="197">
        <v>3190</v>
      </c>
      <c r="G47" s="197">
        <v>3170</v>
      </c>
      <c r="H47" s="196">
        <v>-20</v>
      </c>
      <c r="I47" s="197">
        <v>100</v>
      </c>
      <c r="J47" s="268">
        <f t="shared" si="7"/>
        <v>-2000</v>
      </c>
      <c r="K47" s="185"/>
      <c r="V47" s="183">
        <f t="shared" si="8"/>
        <v>0</v>
      </c>
      <c r="W47" s="183">
        <f t="shared" si="9"/>
        <v>1</v>
      </c>
    </row>
    <row r="48" spans="1:23" x14ac:dyDescent="0.3">
      <c r="A48" s="184"/>
      <c r="B48" s="194">
        <f t="shared" si="10"/>
        <v>12</v>
      </c>
      <c r="C48" s="195">
        <v>42996</v>
      </c>
      <c r="D48" s="196" t="s">
        <v>16</v>
      </c>
      <c r="E48" s="196" t="s">
        <v>25</v>
      </c>
      <c r="F48" s="197">
        <v>3205</v>
      </c>
      <c r="G48" s="197">
        <v>3225</v>
      </c>
      <c r="H48" s="196">
        <v>20</v>
      </c>
      <c r="I48" s="197">
        <v>100</v>
      </c>
      <c r="J48" s="268">
        <f t="shared" si="7"/>
        <v>2000</v>
      </c>
      <c r="K48" s="185"/>
      <c r="V48" s="183">
        <f t="shared" si="8"/>
        <v>1</v>
      </c>
      <c r="W48" s="183">
        <f t="shared" si="9"/>
        <v>0</v>
      </c>
    </row>
    <row r="49" spans="1:23" x14ac:dyDescent="0.3">
      <c r="A49" s="184"/>
      <c r="B49" s="194">
        <f t="shared" si="10"/>
        <v>13</v>
      </c>
      <c r="C49" s="195">
        <v>42997</v>
      </c>
      <c r="D49" s="196" t="s">
        <v>23</v>
      </c>
      <c r="E49" s="196" t="s">
        <v>25</v>
      </c>
      <c r="F49" s="197">
        <v>3220</v>
      </c>
      <c r="G49" s="197">
        <v>3180</v>
      </c>
      <c r="H49" s="196">
        <v>40</v>
      </c>
      <c r="I49" s="197">
        <v>100</v>
      </c>
      <c r="J49" s="268">
        <f t="shared" si="7"/>
        <v>4000</v>
      </c>
      <c r="K49" s="185"/>
      <c r="V49" s="183">
        <f t="shared" si="8"/>
        <v>1</v>
      </c>
      <c r="W49" s="183">
        <f t="shared" si="9"/>
        <v>0</v>
      </c>
    </row>
    <row r="50" spans="1:23" x14ac:dyDescent="0.3">
      <c r="A50" s="184"/>
      <c r="B50" s="194">
        <f t="shared" si="10"/>
        <v>14</v>
      </c>
      <c r="C50" s="195">
        <v>42998</v>
      </c>
      <c r="D50" s="196" t="s">
        <v>23</v>
      </c>
      <c r="E50" s="196" t="s">
        <v>25</v>
      </c>
      <c r="F50" s="197">
        <v>3260</v>
      </c>
      <c r="G50" s="197">
        <v>3240</v>
      </c>
      <c r="H50" s="196">
        <v>20</v>
      </c>
      <c r="I50" s="197">
        <v>100</v>
      </c>
      <c r="J50" s="268">
        <f t="shared" si="7"/>
        <v>2000</v>
      </c>
      <c r="K50" s="185"/>
      <c r="V50" s="183">
        <f t="shared" si="8"/>
        <v>1</v>
      </c>
      <c r="W50" s="183">
        <f t="shared" si="9"/>
        <v>0</v>
      </c>
    </row>
    <row r="51" spans="1:23" x14ac:dyDescent="0.3">
      <c r="A51" s="184"/>
      <c r="B51" s="194">
        <f t="shared" si="10"/>
        <v>15</v>
      </c>
      <c r="C51" s="195">
        <v>42999</v>
      </c>
      <c r="D51" s="196" t="s">
        <v>23</v>
      </c>
      <c r="E51" s="196" t="s">
        <v>25</v>
      </c>
      <c r="F51" s="197">
        <v>3285</v>
      </c>
      <c r="G51" s="197">
        <v>3265</v>
      </c>
      <c r="H51" s="196">
        <v>20</v>
      </c>
      <c r="I51" s="197">
        <v>100</v>
      </c>
      <c r="J51" s="268">
        <f t="shared" si="7"/>
        <v>2000</v>
      </c>
      <c r="K51" s="185"/>
      <c r="V51" s="183">
        <f t="shared" si="8"/>
        <v>1</v>
      </c>
      <c r="W51" s="183">
        <f t="shared" si="9"/>
        <v>0</v>
      </c>
    </row>
    <row r="52" spans="1:23" x14ac:dyDescent="0.3">
      <c r="A52" s="184"/>
      <c r="B52" s="194">
        <f t="shared" si="10"/>
        <v>16</v>
      </c>
      <c r="C52" s="195">
        <v>43000</v>
      </c>
      <c r="D52" s="196" t="s">
        <v>23</v>
      </c>
      <c r="E52" s="196" t="s">
        <v>25</v>
      </c>
      <c r="F52" s="197">
        <v>3305</v>
      </c>
      <c r="G52" s="197">
        <v>3275</v>
      </c>
      <c r="H52" s="196">
        <v>30</v>
      </c>
      <c r="I52" s="197">
        <v>100</v>
      </c>
      <c r="J52" s="268">
        <f t="shared" si="7"/>
        <v>3000</v>
      </c>
      <c r="K52" s="185"/>
      <c r="V52" s="183">
        <f t="shared" si="8"/>
        <v>1</v>
      </c>
      <c r="W52" s="183">
        <f t="shared" si="9"/>
        <v>0</v>
      </c>
    </row>
    <row r="53" spans="1:23" x14ac:dyDescent="0.3">
      <c r="A53" s="184"/>
      <c r="B53" s="194">
        <f t="shared" si="10"/>
        <v>17</v>
      </c>
      <c r="C53" s="195">
        <v>43003</v>
      </c>
      <c r="D53" s="196" t="s">
        <v>23</v>
      </c>
      <c r="E53" s="196" t="s">
        <v>25</v>
      </c>
      <c r="F53" s="197">
        <v>3310</v>
      </c>
      <c r="G53" s="197">
        <v>3345</v>
      </c>
      <c r="H53" s="196">
        <v>-35</v>
      </c>
      <c r="I53" s="197">
        <v>100</v>
      </c>
      <c r="J53" s="268">
        <f t="shared" si="7"/>
        <v>-3500</v>
      </c>
      <c r="K53" s="185"/>
      <c r="V53" s="183">
        <f t="shared" si="8"/>
        <v>0</v>
      </c>
      <c r="W53" s="183">
        <f t="shared" si="9"/>
        <v>1</v>
      </c>
    </row>
    <row r="54" spans="1:23" x14ac:dyDescent="0.3">
      <c r="A54" s="255"/>
      <c r="B54" s="194">
        <f t="shared" si="10"/>
        <v>18</v>
      </c>
      <c r="C54" s="195">
        <v>43004</v>
      </c>
      <c r="D54" s="196" t="s">
        <v>23</v>
      </c>
      <c r="E54" s="196" t="s">
        <v>25</v>
      </c>
      <c r="F54" s="197">
        <v>3415</v>
      </c>
      <c r="G54" s="197">
        <v>3380</v>
      </c>
      <c r="H54" s="196">
        <v>35</v>
      </c>
      <c r="I54" s="197">
        <v>100</v>
      </c>
      <c r="J54" s="268">
        <f t="shared" si="7"/>
        <v>3500</v>
      </c>
      <c r="K54" s="185"/>
      <c r="V54" s="183">
        <f t="shared" si="8"/>
        <v>1</v>
      </c>
      <c r="W54" s="183">
        <f t="shared" si="9"/>
        <v>0</v>
      </c>
    </row>
    <row r="55" spans="1:23" x14ac:dyDescent="0.3">
      <c r="A55" s="184"/>
      <c r="B55" s="194">
        <f t="shared" si="10"/>
        <v>19</v>
      </c>
      <c r="C55" s="195">
        <v>43005</v>
      </c>
      <c r="D55" s="196" t="s">
        <v>23</v>
      </c>
      <c r="E55" s="196" t="s">
        <v>25</v>
      </c>
      <c r="F55" s="197">
        <v>3440</v>
      </c>
      <c r="G55" s="197">
        <v>3400</v>
      </c>
      <c r="H55" s="196">
        <v>40</v>
      </c>
      <c r="I55" s="197">
        <v>100</v>
      </c>
      <c r="J55" s="268">
        <f t="shared" si="7"/>
        <v>4000</v>
      </c>
      <c r="K55" s="185"/>
      <c r="V55" s="183">
        <f t="shared" si="8"/>
        <v>1</v>
      </c>
      <c r="W55" s="183">
        <f t="shared" si="9"/>
        <v>0</v>
      </c>
    </row>
    <row r="56" spans="1:23" x14ac:dyDescent="0.3">
      <c r="A56" s="184"/>
      <c r="B56" s="194">
        <f t="shared" si="10"/>
        <v>20</v>
      </c>
      <c r="C56" s="195">
        <v>43006</v>
      </c>
      <c r="D56" s="196" t="s">
        <v>23</v>
      </c>
      <c r="E56" s="196" t="s">
        <v>25</v>
      </c>
      <c r="F56" s="197">
        <v>3470</v>
      </c>
      <c r="G56" s="197">
        <v>3390</v>
      </c>
      <c r="H56" s="196">
        <v>80</v>
      </c>
      <c r="I56" s="197">
        <v>100</v>
      </c>
      <c r="J56" s="268">
        <f t="shared" si="7"/>
        <v>8000</v>
      </c>
      <c r="K56" s="185"/>
      <c r="V56" s="183">
        <f t="shared" si="8"/>
        <v>1</v>
      </c>
      <c r="W56" s="183">
        <f t="shared" si="9"/>
        <v>0</v>
      </c>
    </row>
    <row r="57" spans="1:23" x14ac:dyDescent="0.3">
      <c r="A57" s="184"/>
      <c r="B57" s="194">
        <f t="shared" si="10"/>
        <v>21</v>
      </c>
      <c r="C57" s="195">
        <v>43007</v>
      </c>
      <c r="D57" s="196" t="s">
        <v>23</v>
      </c>
      <c r="E57" s="196" t="s">
        <v>25</v>
      </c>
      <c r="F57" s="197">
        <v>3375</v>
      </c>
      <c r="G57" s="197">
        <v>3360</v>
      </c>
      <c r="H57" s="196">
        <v>15</v>
      </c>
      <c r="I57" s="197">
        <v>100</v>
      </c>
      <c r="J57" s="268">
        <f t="shared" si="7"/>
        <v>1500</v>
      </c>
      <c r="K57" s="185"/>
      <c r="V57" s="183">
        <f t="shared" si="8"/>
        <v>1</v>
      </c>
      <c r="W57" s="183">
        <f t="shared" si="9"/>
        <v>0</v>
      </c>
    </row>
    <row r="58" spans="1:23" x14ac:dyDescent="0.3">
      <c r="A58" s="184"/>
      <c r="B58" s="194">
        <f t="shared" si="10"/>
        <v>22</v>
      </c>
      <c r="C58" s="195"/>
      <c r="D58" s="196"/>
      <c r="E58" s="196"/>
      <c r="F58" s="197"/>
      <c r="G58" s="197"/>
      <c r="H58" s="196"/>
      <c r="I58" s="197"/>
      <c r="J58" s="268">
        <f t="shared" si="7"/>
        <v>0</v>
      </c>
      <c r="K58" s="185"/>
      <c r="V58" s="183">
        <f t="shared" si="8"/>
        <v>0</v>
      </c>
      <c r="W58" s="183">
        <f t="shared" si="9"/>
        <v>0</v>
      </c>
    </row>
    <row r="59" spans="1:23" ht="15" thickBot="1" x14ac:dyDescent="0.35">
      <c r="A59" s="184"/>
      <c r="B59" s="194">
        <f t="shared" si="10"/>
        <v>23</v>
      </c>
      <c r="C59" s="195"/>
      <c r="D59" s="196"/>
      <c r="E59" s="196"/>
      <c r="F59" s="197"/>
      <c r="G59" s="197"/>
      <c r="H59" s="196"/>
      <c r="I59" s="202"/>
      <c r="J59" s="269">
        <f t="shared" si="7"/>
        <v>0</v>
      </c>
      <c r="K59" s="185"/>
      <c r="V59" s="183">
        <f t="shared" si="8"/>
        <v>0</v>
      </c>
      <c r="W59" s="183">
        <f t="shared" si="9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30000</v>
      </c>
      <c r="K60" s="185"/>
      <c r="V60" s="183">
        <f>SUM(V37:V59)</f>
        <v>14</v>
      </c>
      <c r="W60" s="183">
        <f>SUM(W37:W59)</f>
        <v>7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42979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42979</v>
      </c>
      <c r="D68" s="216" t="s">
        <v>23</v>
      </c>
      <c r="E68" s="216" t="s">
        <v>29</v>
      </c>
      <c r="F68" s="256">
        <v>440.5</v>
      </c>
      <c r="G68" s="256">
        <v>438.5</v>
      </c>
      <c r="H68" s="216">
        <v>2</v>
      </c>
      <c r="I68" s="218">
        <v>1000</v>
      </c>
      <c r="J68" s="273">
        <f>I68*H68</f>
        <v>2000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f>B68+1</f>
        <v>2</v>
      </c>
      <c r="C69" s="195">
        <v>42982</v>
      </c>
      <c r="D69" s="196" t="s">
        <v>23</v>
      </c>
      <c r="E69" s="196" t="s">
        <v>28</v>
      </c>
      <c r="F69" s="222">
        <v>203.8</v>
      </c>
      <c r="G69" s="222">
        <v>204.8</v>
      </c>
      <c r="H69" s="196">
        <v>-1</v>
      </c>
      <c r="I69" s="197">
        <v>5000</v>
      </c>
      <c r="J69" s="268">
        <f t="shared" ref="J69:J90" si="11">I69*H69</f>
        <v>-5000</v>
      </c>
      <c r="K69" s="185"/>
      <c r="V69" s="183">
        <f t="shared" ref="V69:V90" si="12">IF($J69&gt;0,1,0)</f>
        <v>0</v>
      </c>
      <c r="W69" s="183">
        <f t="shared" ref="W69:W90" si="13">IF($J69&lt;0,1,0)</f>
        <v>1</v>
      </c>
    </row>
    <row r="70" spans="1:23" x14ac:dyDescent="0.3">
      <c r="A70" s="184"/>
      <c r="B70" s="194">
        <f t="shared" ref="B70:B90" si="14">B69+1</f>
        <v>3</v>
      </c>
      <c r="C70" s="195">
        <v>42983</v>
      </c>
      <c r="D70" s="196" t="s">
        <v>23</v>
      </c>
      <c r="E70" s="196" t="s">
        <v>28</v>
      </c>
      <c r="F70" s="222">
        <v>205</v>
      </c>
      <c r="G70" s="222">
        <v>203</v>
      </c>
      <c r="H70" s="196">
        <v>2</v>
      </c>
      <c r="I70" s="197">
        <v>5000</v>
      </c>
      <c r="J70" s="268">
        <f t="shared" si="11"/>
        <v>10000</v>
      </c>
      <c r="K70" s="185"/>
      <c r="V70" s="183">
        <f t="shared" si="12"/>
        <v>1</v>
      </c>
      <c r="W70" s="183">
        <f t="shared" si="13"/>
        <v>0</v>
      </c>
    </row>
    <row r="71" spans="1:23" x14ac:dyDescent="0.3">
      <c r="A71" s="184"/>
      <c r="B71" s="194">
        <f t="shared" si="14"/>
        <v>4</v>
      </c>
      <c r="C71" s="195">
        <v>42984</v>
      </c>
      <c r="D71" s="196" t="s">
        <v>23</v>
      </c>
      <c r="E71" s="196" t="s">
        <v>28</v>
      </c>
      <c r="F71" s="222">
        <v>199.2</v>
      </c>
      <c r="G71" s="222">
        <v>197.2</v>
      </c>
      <c r="H71" s="196">
        <v>2</v>
      </c>
      <c r="I71" s="197">
        <v>5000</v>
      </c>
      <c r="J71" s="268">
        <f t="shared" si="11"/>
        <v>10000</v>
      </c>
      <c r="K71" s="185"/>
      <c r="V71" s="183">
        <f t="shared" si="12"/>
        <v>1</v>
      </c>
      <c r="W71" s="183">
        <f t="shared" si="13"/>
        <v>0</v>
      </c>
    </row>
    <row r="72" spans="1:23" x14ac:dyDescent="0.3">
      <c r="A72" s="184"/>
      <c r="B72" s="194">
        <f t="shared" si="14"/>
        <v>5</v>
      </c>
      <c r="C72" s="195">
        <v>42985</v>
      </c>
      <c r="D72" s="196" t="s">
        <v>23</v>
      </c>
      <c r="E72" s="196" t="s">
        <v>28</v>
      </c>
      <c r="F72" s="210">
        <v>197.5</v>
      </c>
      <c r="G72" s="222">
        <v>196.95</v>
      </c>
      <c r="H72" s="196">
        <v>0.55000000000000004</v>
      </c>
      <c r="I72" s="197">
        <v>5000</v>
      </c>
      <c r="J72" s="268">
        <f t="shared" si="11"/>
        <v>2750</v>
      </c>
      <c r="K72" s="185"/>
      <c r="V72" s="183">
        <f t="shared" si="12"/>
        <v>1</v>
      </c>
      <c r="W72" s="183">
        <f t="shared" si="13"/>
        <v>0</v>
      </c>
    </row>
    <row r="73" spans="1:23" x14ac:dyDescent="0.3">
      <c r="A73" s="184"/>
      <c r="B73" s="194">
        <f t="shared" si="14"/>
        <v>6</v>
      </c>
      <c r="C73" s="195">
        <v>42986</v>
      </c>
      <c r="D73" s="196" t="s">
        <v>23</v>
      </c>
      <c r="E73" s="196" t="s">
        <v>28</v>
      </c>
      <c r="F73" s="197">
        <v>197</v>
      </c>
      <c r="G73" s="222">
        <v>195</v>
      </c>
      <c r="H73" s="196">
        <v>2</v>
      </c>
      <c r="I73" s="197">
        <v>5000</v>
      </c>
      <c r="J73" s="268">
        <f t="shared" si="11"/>
        <v>10000</v>
      </c>
      <c r="K73" s="185"/>
      <c r="V73" s="183">
        <f t="shared" si="12"/>
        <v>1</v>
      </c>
      <c r="W73" s="183">
        <f t="shared" si="13"/>
        <v>0</v>
      </c>
    </row>
    <row r="74" spans="1:23" x14ac:dyDescent="0.3">
      <c r="A74" s="184"/>
      <c r="B74" s="194">
        <f t="shared" si="14"/>
        <v>7</v>
      </c>
      <c r="C74" s="195">
        <v>42989</v>
      </c>
      <c r="D74" s="196" t="s">
        <v>23</v>
      </c>
      <c r="E74" s="196" t="s">
        <v>28</v>
      </c>
      <c r="F74" s="210">
        <v>197.7</v>
      </c>
      <c r="G74" s="210">
        <v>195.7</v>
      </c>
      <c r="H74" s="263">
        <v>2</v>
      </c>
      <c r="I74" s="197">
        <v>5000</v>
      </c>
      <c r="J74" s="268">
        <f t="shared" si="11"/>
        <v>10000</v>
      </c>
      <c r="K74" s="185"/>
      <c r="V74" s="183">
        <f t="shared" si="12"/>
        <v>1</v>
      </c>
      <c r="W74" s="183">
        <f t="shared" si="13"/>
        <v>0</v>
      </c>
    </row>
    <row r="75" spans="1:23" x14ac:dyDescent="0.3">
      <c r="A75" s="184"/>
      <c r="B75" s="194">
        <f t="shared" si="14"/>
        <v>8</v>
      </c>
      <c r="C75" s="195">
        <v>42990</v>
      </c>
      <c r="D75" s="196" t="s">
        <v>23</v>
      </c>
      <c r="E75" s="196" t="s">
        <v>28</v>
      </c>
      <c r="F75" s="210">
        <v>197.5</v>
      </c>
      <c r="G75" s="210">
        <v>195.5</v>
      </c>
      <c r="H75" s="196">
        <v>2</v>
      </c>
      <c r="I75" s="197">
        <v>5000</v>
      </c>
      <c r="J75" s="268">
        <f t="shared" si="11"/>
        <v>10000</v>
      </c>
      <c r="K75" s="185"/>
      <c r="V75" s="183">
        <f t="shared" si="12"/>
        <v>1</v>
      </c>
      <c r="W75" s="183">
        <f t="shared" si="13"/>
        <v>0</v>
      </c>
    </row>
    <row r="76" spans="1:23" x14ac:dyDescent="0.3">
      <c r="A76" s="184"/>
      <c r="B76" s="194">
        <f t="shared" si="14"/>
        <v>9</v>
      </c>
      <c r="C76" s="195">
        <v>42991</v>
      </c>
      <c r="D76" s="196" t="s">
        <v>23</v>
      </c>
      <c r="E76" s="196" t="s">
        <v>28</v>
      </c>
      <c r="F76" s="197">
        <v>195</v>
      </c>
      <c r="G76" s="210">
        <v>193.6</v>
      </c>
      <c r="H76" s="196">
        <v>1.4</v>
      </c>
      <c r="I76" s="197">
        <v>5000</v>
      </c>
      <c r="J76" s="268">
        <f t="shared" si="11"/>
        <v>7000</v>
      </c>
      <c r="K76" s="185"/>
      <c r="V76" s="183">
        <f t="shared" si="12"/>
        <v>1</v>
      </c>
      <c r="W76" s="183">
        <f t="shared" si="13"/>
        <v>0</v>
      </c>
    </row>
    <row r="77" spans="1:23" x14ac:dyDescent="0.3">
      <c r="A77" s="184"/>
      <c r="B77" s="194">
        <f t="shared" si="14"/>
        <v>10</v>
      </c>
      <c r="C77" s="195">
        <v>42992</v>
      </c>
      <c r="D77" s="196" t="s">
        <v>23</v>
      </c>
      <c r="E77" s="196" t="s">
        <v>28</v>
      </c>
      <c r="F77" s="210">
        <v>192.2</v>
      </c>
      <c r="G77" s="210">
        <v>190.7</v>
      </c>
      <c r="H77" s="196">
        <v>1.5</v>
      </c>
      <c r="I77" s="197">
        <v>5000</v>
      </c>
      <c r="J77" s="268">
        <f t="shared" si="11"/>
        <v>7500</v>
      </c>
      <c r="K77" s="185"/>
      <c r="V77" s="183">
        <f t="shared" si="12"/>
        <v>1</v>
      </c>
      <c r="W77" s="183">
        <f t="shared" si="13"/>
        <v>0</v>
      </c>
    </row>
    <row r="78" spans="1:23" x14ac:dyDescent="0.3">
      <c r="A78" s="184"/>
      <c r="B78" s="194">
        <f t="shared" si="14"/>
        <v>11</v>
      </c>
      <c r="C78" s="195">
        <v>42993</v>
      </c>
      <c r="D78" s="196" t="s">
        <v>23</v>
      </c>
      <c r="E78" s="196" t="s">
        <v>28</v>
      </c>
      <c r="F78" s="222">
        <v>193</v>
      </c>
      <c r="G78" s="222">
        <v>194</v>
      </c>
      <c r="H78" s="263">
        <v>-1</v>
      </c>
      <c r="I78" s="197">
        <v>5000</v>
      </c>
      <c r="J78" s="268">
        <f t="shared" si="11"/>
        <v>-5000</v>
      </c>
      <c r="K78" s="185"/>
      <c r="V78" s="183">
        <f t="shared" si="12"/>
        <v>0</v>
      </c>
      <c r="W78" s="183">
        <f t="shared" si="13"/>
        <v>1</v>
      </c>
    </row>
    <row r="79" spans="1:23" x14ac:dyDescent="0.3">
      <c r="A79" s="184"/>
      <c r="B79" s="194">
        <f t="shared" si="14"/>
        <v>12</v>
      </c>
      <c r="C79" s="195">
        <v>42996</v>
      </c>
      <c r="D79" s="196" t="s">
        <v>23</v>
      </c>
      <c r="E79" s="196" t="s">
        <v>28</v>
      </c>
      <c r="F79" s="222">
        <v>196.8</v>
      </c>
      <c r="G79" s="222">
        <v>197.8</v>
      </c>
      <c r="H79" s="263">
        <v>1</v>
      </c>
      <c r="I79" s="197">
        <v>5000</v>
      </c>
      <c r="J79" s="268">
        <f t="shared" si="11"/>
        <v>5000</v>
      </c>
      <c r="K79" s="185"/>
      <c r="V79" s="183">
        <f t="shared" si="12"/>
        <v>1</v>
      </c>
      <c r="W79" s="183">
        <f t="shared" si="13"/>
        <v>0</v>
      </c>
    </row>
    <row r="80" spans="1:23" x14ac:dyDescent="0.3">
      <c r="A80" s="184"/>
      <c r="B80" s="194">
        <f t="shared" si="14"/>
        <v>13</v>
      </c>
      <c r="C80" s="195">
        <v>42997</v>
      </c>
      <c r="D80" s="196" t="s">
        <v>23</v>
      </c>
      <c r="E80" s="196" t="s">
        <v>28</v>
      </c>
      <c r="F80" s="222">
        <v>199.6</v>
      </c>
      <c r="G80" s="222">
        <v>198</v>
      </c>
      <c r="H80" s="263">
        <v>1.6</v>
      </c>
      <c r="I80" s="197">
        <v>5000</v>
      </c>
      <c r="J80" s="268">
        <f t="shared" si="11"/>
        <v>8000</v>
      </c>
      <c r="K80" s="185"/>
      <c r="V80" s="183">
        <f t="shared" si="12"/>
        <v>1</v>
      </c>
      <c r="W80" s="183">
        <f t="shared" si="13"/>
        <v>0</v>
      </c>
    </row>
    <row r="81" spans="1:23" x14ac:dyDescent="0.3">
      <c r="A81" s="184"/>
      <c r="B81" s="194">
        <f t="shared" si="14"/>
        <v>14</v>
      </c>
      <c r="C81" s="195">
        <v>42998</v>
      </c>
      <c r="D81" s="196" t="s">
        <v>23</v>
      </c>
      <c r="E81" s="196" t="s">
        <v>29</v>
      </c>
      <c r="F81" s="222">
        <v>425</v>
      </c>
      <c r="G81" s="222">
        <v>423.5</v>
      </c>
      <c r="H81" s="263">
        <v>1.5</v>
      </c>
      <c r="I81" s="197">
        <v>1000</v>
      </c>
      <c r="J81" s="268">
        <f t="shared" si="11"/>
        <v>1500</v>
      </c>
      <c r="K81" s="185"/>
      <c r="V81" s="183">
        <f t="shared" si="12"/>
        <v>1</v>
      </c>
      <c r="W81" s="183">
        <f t="shared" si="13"/>
        <v>0</v>
      </c>
    </row>
    <row r="82" spans="1:23" x14ac:dyDescent="0.3">
      <c r="A82" s="184"/>
      <c r="B82" s="194">
        <f t="shared" si="14"/>
        <v>15</v>
      </c>
      <c r="C82" s="195">
        <v>42999</v>
      </c>
      <c r="D82" s="196" t="s">
        <v>23</v>
      </c>
      <c r="E82" s="196" t="s">
        <v>28</v>
      </c>
      <c r="F82" s="223">
        <v>200.3</v>
      </c>
      <c r="G82" s="222">
        <v>199.3</v>
      </c>
      <c r="H82" s="263">
        <v>1</v>
      </c>
      <c r="I82" s="197">
        <v>5000</v>
      </c>
      <c r="J82" s="268">
        <f t="shared" si="11"/>
        <v>5000</v>
      </c>
      <c r="K82" s="185"/>
      <c r="V82" s="183">
        <f t="shared" si="12"/>
        <v>1</v>
      </c>
      <c r="W82" s="183">
        <f t="shared" si="13"/>
        <v>0</v>
      </c>
    </row>
    <row r="83" spans="1:23" x14ac:dyDescent="0.3">
      <c r="A83" s="184"/>
      <c r="B83" s="194">
        <f t="shared" si="14"/>
        <v>16</v>
      </c>
      <c r="C83" s="195">
        <v>43000</v>
      </c>
      <c r="D83" s="196" t="s">
        <v>23</v>
      </c>
      <c r="E83" s="196" t="s">
        <v>28</v>
      </c>
      <c r="F83" s="222">
        <v>196.5</v>
      </c>
      <c r="G83" s="222">
        <v>196</v>
      </c>
      <c r="H83" s="263">
        <v>0.5</v>
      </c>
      <c r="I83" s="197">
        <v>5000</v>
      </c>
      <c r="J83" s="268">
        <f t="shared" si="11"/>
        <v>2500</v>
      </c>
      <c r="K83" s="185"/>
      <c r="V83" s="183">
        <f t="shared" si="12"/>
        <v>1</v>
      </c>
      <c r="W83" s="183">
        <f t="shared" si="13"/>
        <v>0</v>
      </c>
    </row>
    <row r="84" spans="1:23" x14ac:dyDescent="0.3">
      <c r="A84" s="184"/>
      <c r="B84" s="194">
        <f t="shared" si="14"/>
        <v>17</v>
      </c>
      <c r="C84" s="195">
        <v>43003</v>
      </c>
      <c r="D84" s="196" t="s">
        <v>23</v>
      </c>
      <c r="E84" s="196" t="s">
        <v>28</v>
      </c>
      <c r="F84" s="222">
        <v>201</v>
      </c>
      <c r="G84" s="222">
        <v>202</v>
      </c>
      <c r="H84" s="263">
        <v>-1</v>
      </c>
      <c r="I84" s="197">
        <v>5000</v>
      </c>
      <c r="J84" s="268">
        <f t="shared" si="11"/>
        <v>-5000</v>
      </c>
      <c r="K84" s="185"/>
      <c r="V84" s="183">
        <f t="shared" si="12"/>
        <v>0</v>
      </c>
      <c r="W84" s="183">
        <f t="shared" si="13"/>
        <v>1</v>
      </c>
    </row>
    <row r="85" spans="1:23" x14ac:dyDescent="0.3">
      <c r="A85" s="184"/>
      <c r="B85" s="194">
        <f t="shared" si="14"/>
        <v>18</v>
      </c>
      <c r="C85" s="195">
        <v>43004</v>
      </c>
      <c r="D85" s="196" t="s">
        <v>23</v>
      </c>
      <c r="E85" s="196" t="s">
        <v>29</v>
      </c>
      <c r="F85" s="222">
        <v>428.5</v>
      </c>
      <c r="G85" s="222">
        <v>422</v>
      </c>
      <c r="H85" s="263">
        <v>6.5</v>
      </c>
      <c r="I85" s="197">
        <v>1000</v>
      </c>
      <c r="J85" s="268">
        <f t="shared" si="11"/>
        <v>6500</v>
      </c>
      <c r="K85" s="185"/>
      <c r="V85" s="183">
        <f t="shared" si="12"/>
        <v>1</v>
      </c>
      <c r="W85" s="183">
        <f t="shared" si="13"/>
        <v>0</v>
      </c>
    </row>
    <row r="86" spans="1:23" x14ac:dyDescent="0.3">
      <c r="A86" s="184"/>
      <c r="B86" s="194">
        <f t="shared" si="14"/>
        <v>19</v>
      </c>
      <c r="C86" s="195">
        <v>43005</v>
      </c>
      <c r="D86" s="196" t="s">
        <v>23</v>
      </c>
      <c r="E86" s="196" t="s">
        <v>28</v>
      </c>
      <c r="F86" s="222">
        <v>208</v>
      </c>
      <c r="G86" s="222">
        <v>206</v>
      </c>
      <c r="H86" s="263">
        <v>2</v>
      </c>
      <c r="I86" s="197">
        <v>5000</v>
      </c>
      <c r="J86" s="268">
        <f t="shared" si="11"/>
        <v>10000</v>
      </c>
      <c r="K86" s="185"/>
      <c r="V86" s="183">
        <f t="shared" si="12"/>
        <v>1</v>
      </c>
      <c r="W86" s="183">
        <f t="shared" si="13"/>
        <v>0</v>
      </c>
    </row>
    <row r="87" spans="1:23" x14ac:dyDescent="0.3">
      <c r="A87" s="184"/>
      <c r="B87" s="194">
        <f t="shared" si="14"/>
        <v>20</v>
      </c>
      <c r="C87" s="195">
        <v>43006</v>
      </c>
      <c r="D87" s="196" t="s">
        <v>23</v>
      </c>
      <c r="E87" s="196" t="s">
        <v>28</v>
      </c>
      <c r="F87" s="222">
        <v>207.3</v>
      </c>
      <c r="G87" s="222">
        <v>206.3</v>
      </c>
      <c r="H87" s="263">
        <v>1</v>
      </c>
      <c r="I87" s="197">
        <v>5000</v>
      </c>
      <c r="J87" s="268">
        <f t="shared" si="11"/>
        <v>5000</v>
      </c>
      <c r="K87" s="185"/>
      <c r="V87" s="183">
        <f t="shared" si="12"/>
        <v>1</v>
      </c>
      <c r="W87" s="183">
        <f t="shared" si="13"/>
        <v>0</v>
      </c>
    </row>
    <row r="88" spans="1:23" x14ac:dyDescent="0.3">
      <c r="A88" s="184"/>
      <c r="B88" s="194">
        <f t="shared" si="14"/>
        <v>21</v>
      </c>
      <c r="C88" s="195">
        <v>43007</v>
      </c>
      <c r="D88" s="196" t="s">
        <v>23</v>
      </c>
      <c r="E88" s="196" t="s">
        <v>29</v>
      </c>
      <c r="F88" s="222">
        <v>432.5</v>
      </c>
      <c r="G88" s="222">
        <v>427</v>
      </c>
      <c r="H88" s="263">
        <v>5.5</v>
      </c>
      <c r="I88" s="197">
        <v>5000</v>
      </c>
      <c r="J88" s="268">
        <f t="shared" si="11"/>
        <v>27500</v>
      </c>
      <c r="K88" s="185"/>
      <c r="V88" s="183">
        <f t="shared" si="12"/>
        <v>1</v>
      </c>
      <c r="W88" s="183">
        <f t="shared" si="13"/>
        <v>0</v>
      </c>
    </row>
    <row r="89" spans="1:23" x14ac:dyDescent="0.3">
      <c r="A89" s="184"/>
      <c r="B89" s="194">
        <f t="shared" si="14"/>
        <v>22</v>
      </c>
      <c r="C89" s="195"/>
      <c r="D89" s="196"/>
      <c r="E89" s="196"/>
      <c r="F89" s="197"/>
      <c r="G89" s="197"/>
      <c r="H89" s="196"/>
      <c r="I89" s="197"/>
      <c r="J89" s="268">
        <f t="shared" si="11"/>
        <v>0</v>
      </c>
      <c r="K89" s="185"/>
      <c r="V89" s="183">
        <f t="shared" si="12"/>
        <v>0</v>
      </c>
      <c r="W89" s="183">
        <f t="shared" si="13"/>
        <v>0</v>
      </c>
    </row>
    <row r="90" spans="1:23" ht="15" thickBot="1" x14ac:dyDescent="0.35">
      <c r="A90" s="184"/>
      <c r="B90" s="219">
        <f t="shared" si="14"/>
        <v>23</v>
      </c>
      <c r="C90" s="220"/>
      <c r="D90" s="221"/>
      <c r="E90" s="221"/>
      <c r="F90" s="211"/>
      <c r="G90" s="211"/>
      <c r="H90" s="221"/>
      <c r="I90" s="211"/>
      <c r="J90" s="272">
        <f t="shared" si="11"/>
        <v>0</v>
      </c>
      <c r="K90" s="185"/>
      <c r="V90" s="183">
        <f t="shared" si="12"/>
        <v>0</v>
      </c>
      <c r="W90" s="183">
        <f t="shared" si="13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125250</v>
      </c>
      <c r="K91" s="185"/>
      <c r="V91" s="183">
        <f>SUM(V68:V90)</f>
        <v>18</v>
      </c>
      <c r="W91" s="183">
        <f>SUM(W68:W90)</f>
        <v>3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3900-000000000000}"/>
    <hyperlink ref="B60" r:id="rId2" xr:uid="{00000000-0004-0000-3900-000001000000}"/>
    <hyperlink ref="M4:M5" location="'SEP-2017'!A1" display="BULLION" xr:uid="{00000000-0004-0000-3900-000002000000}"/>
    <hyperlink ref="M6:M7" location="'SEP-2017'!A54" display="ENERGY" xr:uid="{00000000-0004-0000-3900-000003000000}"/>
    <hyperlink ref="B91" r:id="rId3" xr:uid="{00000000-0004-0000-3900-000004000000}"/>
    <hyperlink ref="M8:M9" location="'SEP-2017'!A86" display="BASE METAL" xr:uid="{00000000-0004-0000-3900-000005000000}"/>
    <hyperlink ref="M1" location="MASTER!A1" display="Back" xr:uid="{00000000-0004-0000-3900-000006000000}"/>
  </hyperlinks>
  <pageMargins left="0" right="0" top="0" bottom="0" header="0" footer="0"/>
  <pageSetup paperSize="9" orientation="portrait" r:id="rId4"/>
  <drawing r:id="rId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W92"/>
  <sheetViews>
    <sheetView topLeftCell="A62" workbookViewId="0">
      <selection activeCell="N83" sqref="N8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43009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11</v>
      </c>
      <c r="O4" s="355">
        <f>V29</f>
        <v>10</v>
      </c>
      <c r="P4" s="355">
        <f>W29</f>
        <v>1</v>
      </c>
      <c r="Q4" s="356">
        <f>N4-O4-P4</f>
        <v>0</v>
      </c>
      <c r="R4" s="343">
        <f>O4/N4</f>
        <v>0.90909090909090906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43011</v>
      </c>
      <c r="D6" s="192" t="s">
        <v>23</v>
      </c>
      <c r="E6" s="192" t="s">
        <v>24</v>
      </c>
      <c r="F6" s="193">
        <v>29560</v>
      </c>
      <c r="G6" s="193">
        <v>29500</v>
      </c>
      <c r="H6" s="192">
        <v>60</v>
      </c>
      <c r="I6" s="193">
        <v>100</v>
      </c>
      <c r="J6" s="267">
        <f>H6*I6</f>
        <v>6000</v>
      </c>
      <c r="K6" s="185"/>
      <c r="M6" s="362" t="s">
        <v>258</v>
      </c>
      <c r="N6" s="347">
        <f>COUNT(C37:C59)</f>
        <v>11</v>
      </c>
      <c r="O6" s="348">
        <f>V60</f>
        <v>9</v>
      </c>
      <c r="P6" s="348">
        <f>W60</f>
        <v>2</v>
      </c>
      <c r="Q6" s="349">
        <f>N6-O6-P6</f>
        <v>0</v>
      </c>
      <c r="R6" s="345">
        <f t="shared" ref="R6" si="0">O6/N6</f>
        <v>0.81818181818181823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f>B6+1</f>
        <v>2</v>
      </c>
      <c r="C7" s="195">
        <v>43012</v>
      </c>
      <c r="D7" s="196" t="s">
        <v>23</v>
      </c>
      <c r="E7" s="196" t="s">
        <v>24</v>
      </c>
      <c r="F7" s="197">
        <v>29530</v>
      </c>
      <c r="G7" s="197">
        <v>29385</v>
      </c>
      <c r="H7" s="196">
        <v>145</v>
      </c>
      <c r="I7" s="197">
        <v>100</v>
      </c>
      <c r="J7" s="268">
        <f t="shared" ref="J7:J28" si="1">H7*I7</f>
        <v>14500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f t="shared" ref="B8:B28" si="4">B7+1</f>
        <v>3</v>
      </c>
      <c r="C8" s="195">
        <v>43013</v>
      </c>
      <c r="D8" s="196" t="s">
        <v>23</v>
      </c>
      <c r="E8" s="196" t="s">
        <v>24</v>
      </c>
      <c r="F8" s="197">
        <v>29450</v>
      </c>
      <c r="G8" s="197">
        <v>29395</v>
      </c>
      <c r="H8" s="196">
        <v>55</v>
      </c>
      <c r="I8" s="197">
        <v>100</v>
      </c>
      <c r="J8" s="268">
        <f t="shared" si="1"/>
        <v>5500</v>
      </c>
      <c r="K8" s="185"/>
      <c r="M8" s="362" t="s">
        <v>877</v>
      </c>
      <c r="N8" s="347">
        <f>COUNT(C68:C90)</f>
        <v>11</v>
      </c>
      <c r="O8" s="348">
        <f>V91</f>
        <v>8</v>
      </c>
      <c r="P8" s="348">
        <f>W91</f>
        <v>3</v>
      </c>
      <c r="Q8" s="349">
        <f>N8-O8-P8</f>
        <v>0</v>
      </c>
      <c r="R8" s="345">
        <f t="shared" ref="R8" si="5">O8/N8</f>
        <v>0.72727272727272729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f t="shared" si="4"/>
        <v>4</v>
      </c>
      <c r="C9" s="195">
        <v>43014</v>
      </c>
      <c r="D9" s="196" t="s">
        <v>23</v>
      </c>
      <c r="E9" s="196" t="s">
        <v>24</v>
      </c>
      <c r="F9" s="197">
        <v>29370</v>
      </c>
      <c r="G9" s="197">
        <v>29470</v>
      </c>
      <c r="H9" s="196">
        <v>-100</v>
      </c>
      <c r="I9" s="258">
        <v>100</v>
      </c>
      <c r="J9" s="268">
        <f t="shared" si="1"/>
        <v>-10000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f t="shared" si="4"/>
        <v>5</v>
      </c>
      <c r="C10" s="195">
        <v>43017</v>
      </c>
      <c r="D10" s="196" t="s">
        <v>23</v>
      </c>
      <c r="E10" s="196" t="s">
        <v>24</v>
      </c>
      <c r="F10" s="197">
        <v>29700</v>
      </c>
      <c r="G10" s="197">
        <v>29690</v>
      </c>
      <c r="H10" s="196">
        <v>10</v>
      </c>
      <c r="I10" s="197">
        <v>100</v>
      </c>
      <c r="J10" s="268">
        <f t="shared" si="1"/>
        <v>1000</v>
      </c>
      <c r="K10" s="185"/>
      <c r="M10" s="319" t="s">
        <v>300</v>
      </c>
      <c r="N10" s="321">
        <f>SUM(N4:N9)</f>
        <v>33</v>
      </c>
      <c r="O10" s="321">
        <f>SUM(O4:O9)</f>
        <v>27</v>
      </c>
      <c r="P10" s="321">
        <f>SUM(P4:P9)</f>
        <v>6</v>
      </c>
      <c r="Q10" s="341">
        <f>SUM(Q4:Q9)</f>
        <v>0</v>
      </c>
      <c r="R10" s="343">
        <f t="shared" ref="R10" si="6">O10/N10</f>
        <v>0.81818181818181823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f t="shared" si="4"/>
        <v>6</v>
      </c>
      <c r="C11" s="195">
        <v>43018</v>
      </c>
      <c r="D11" s="196" t="s">
        <v>23</v>
      </c>
      <c r="E11" s="196" t="s">
        <v>24</v>
      </c>
      <c r="F11" s="197">
        <v>29820</v>
      </c>
      <c r="G11" s="197">
        <v>29800</v>
      </c>
      <c r="H11" s="196">
        <v>20</v>
      </c>
      <c r="I11" s="197">
        <v>100</v>
      </c>
      <c r="J11" s="268">
        <f t="shared" si="1"/>
        <v>2000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f t="shared" si="4"/>
        <v>7</v>
      </c>
      <c r="C12" s="195">
        <v>43019</v>
      </c>
      <c r="D12" s="196" t="s">
        <v>23</v>
      </c>
      <c r="E12" s="196" t="s">
        <v>24</v>
      </c>
      <c r="F12" s="197">
        <v>29810</v>
      </c>
      <c r="G12" s="197">
        <v>29710</v>
      </c>
      <c r="H12" s="196">
        <v>100</v>
      </c>
      <c r="I12" s="197">
        <v>100</v>
      </c>
      <c r="J12" s="268">
        <f t="shared" si="1"/>
        <v>10000</v>
      </c>
      <c r="K12" s="185"/>
      <c r="M12" s="323" t="s">
        <v>878</v>
      </c>
      <c r="N12" s="324"/>
      <c r="O12" s="325"/>
      <c r="P12" s="332">
        <f>R10</f>
        <v>0.81818181818181823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f t="shared" si="4"/>
        <v>8</v>
      </c>
      <c r="C13" s="195">
        <v>43020</v>
      </c>
      <c r="D13" s="196" t="s">
        <v>23</v>
      </c>
      <c r="E13" s="196" t="s">
        <v>24</v>
      </c>
      <c r="F13" s="197">
        <v>29890</v>
      </c>
      <c r="G13" s="197">
        <v>29730</v>
      </c>
      <c r="H13" s="196">
        <v>160</v>
      </c>
      <c r="I13" s="197">
        <v>100</v>
      </c>
      <c r="J13" s="268">
        <f t="shared" si="1"/>
        <v>16000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f t="shared" si="4"/>
        <v>9</v>
      </c>
      <c r="C14" s="195">
        <v>43021</v>
      </c>
      <c r="D14" s="196" t="s">
        <v>23</v>
      </c>
      <c r="E14" s="196" t="s">
        <v>24</v>
      </c>
      <c r="F14" s="197">
        <v>29840</v>
      </c>
      <c r="G14" s="197">
        <v>29740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f t="shared" si="4"/>
        <v>10</v>
      </c>
      <c r="C15" s="195">
        <v>43024</v>
      </c>
      <c r="D15" s="196" t="s">
        <v>23</v>
      </c>
      <c r="E15" s="196" t="s">
        <v>24</v>
      </c>
      <c r="F15" s="197">
        <v>29950</v>
      </c>
      <c r="G15" s="197">
        <v>29850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f t="shared" si="4"/>
        <v>11</v>
      </c>
      <c r="C16" s="195">
        <v>43025</v>
      </c>
      <c r="D16" s="196" t="s">
        <v>23</v>
      </c>
      <c r="E16" s="196" t="s">
        <v>24</v>
      </c>
      <c r="F16" s="197">
        <v>29720</v>
      </c>
      <c r="G16" s="197">
        <v>29580</v>
      </c>
      <c r="H16" s="196">
        <v>140</v>
      </c>
      <c r="I16" s="197">
        <v>100</v>
      </c>
      <c r="J16" s="268">
        <f t="shared" si="1"/>
        <v>14000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f t="shared" si="4"/>
        <v>12</v>
      </c>
      <c r="C17" s="195"/>
      <c r="D17" s="196"/>
      <c r="E17" s="196"/>
      <c r="F17" s="197"/>
      <c r="G17" s="197"/>
      <c r="H17" s="196"/>
      <c r="I17" s="197"/>
      <c r="J17" s="268">
        <f t="shared" si="1"/>
        <v>0</v>
      </c>
      <c r="K17" s="185"/>
      <c r="V17" s="183">
        <f t="shared" si="2"/>
        <v>0</v>
      </c>
      <c r="W17" s="183">
        <f t="shared" si="3"/>
        <v>0</v>
      </c>
    </row>
    <row r="18" spans="1:23" x14ac:dyDescent="0.3">
      <c r="A18" s="184"/>
      <c r="B18" s="194">
        <f t="shared" si="4"/>
        <v>13</v>
      </c>
      <c r="C18" s="195"/>
      <c r="D18" s="196"/>
      <c r="E18" s="196"/>
      <c r="F18" s="197"/>
      <c r="G18" s="197"/>
      <c r="H18" s="196"/>
      <c r="I18" s="197"/>
      <c r="J18" s="268">
        <f t="shared" si="1"/>
        <v>0</v>
      </c>
      <c r="K18" s="185"/>
      <c r="V18" s="183">
        <f t="shared" si="2"/>
        <v>0</v>
      </c>
      <c r="W18" s="183">
        <f t="shared" si="3"/>
        <v>0</v>
      </c>
    </row>
    <row r="19" spans="1:23" x14ac:dyDescent="0.3">
      <c r="A19" s="184"/>
      <c r="B19" s="194">
        <f t="shared" si="4"/>
        <v>14</v>
      </c>
      <c r="C19" s="195"/>
      <c r="D19" s="196"/>
      <c r="E19" s="196"/>
      <c r="F19" s="197"/>
      <c r="G19" s="197"/>
      <c r="H19" s="196"/>
      <c r="I19" s="197"/>
      <c r="J19" s="268">
        <f t="shared" si="1"/>
        <v>0</v>
      </c>
      <c r="K19" s="185"/>
      <c r="V19" s="183">
        <f t="shared" si="2"/>
        <v>0</v>
      </c>
      <c r="W19" s="183">
        <f t="shared" si="3"/>
        <v>0</v>
      </c>
    </row>
    <row r="20" spans="1:23" x14ac:dyDescent="0.3">
      <c r="A20" s="184"/>
      <c r="B20" s="194">
        <f t="shared" si="4"/>
        <v>15</v>
      </c>
      <c r="C20" s="195"/>
      <c r="D20" s="196"/>
      <c r="E20" s="196"/>
      <c r="F20" s="197"/>
      <c r="G20" s="197"/>
      <c r="H20" s="196"/>
      <c r="I20" s="197"/>
      <c r="J20" s="268">
        <f t="shared" si="1"/>
        <v>0</v>
      </c>
      <c r="K20" s="185"/>
      <c r="V20" s="183">
        <f t="shared" si="2"/>
        <v>0</v>
      </c>
      <c r="W20" s="183">
        <f t="shared" si="3"/>
        <v>0</v>
      </c>
    </row>
    <row r="21" spans="1:23" x14ac:dyDescent="0.3">
      <c r="A21" s="184"/>
      <c r="B21" s="194">
        <f t="shared" si="4"/>
        <v>16</v>
      </c>
      <c r="C21" s="195"/>
      <c r="D21" s="196"/>
      <c r="E21" s="196"/>
      <c r="F21" s="197"/>
      <c r="G21" s="197"/>
      <c r="H21" s="196"/>
      <c r="I21" s="197"/>
      <c r="J21" s="268">
        <f t="shared" si="1"/>
        <v>0</v>
      </c>
      <c r="K21" s="185"/>
      <c r="L21" s="183" t="s">
        <v>870</v>
      </c>
      <c r="V21" s="183">
        <f t="shared" si="2"/>
        <v>0</v>
      </c>
      <c r="W21" s="183">
        <f t="shared" si="3"/>
        <v>0</v>
      </c>
    </row>
    <row r="22" spans="1:23" x14ac:dyDescent="0.3">
      <c r="A22" s="184"/>
      <c r="B22" s="194">
        <f t="shared" si="4"/>
        <v>17</v>
      </c>
      <c r="C22" s="195"/>
      <c r="D22" s="196"/>
      <c r="E22" s="196"/>
      <c r="F22" s="197"/>
      <c r="G22" s="197"/>
      <c r="H22" s="196"/>
      <c r="I22" s="197"/>
      <c r="J22" s="268">
        <f t="shared" si="1"/>
        <v>0</v>
      </c>
      <c r="K22" s="185"/>
      <c r="V22" s="183">
        <f t="shared" si="2"/>
        <v>0</v>
      </c>
      <c r="W22" s="183">
        <f t="shared" si="3"/>
        <v>0</v>
      </c>
    </row>
    <row r="23" spans="1:23" x14ac:dyDescent="0.3">
      <c r="A23" s="184"/>
      <c r="B23" s="194">
        <f t="shared" si="4"/>
        <v>18</v>
      </c>
      <c r="C23" s="195"/>
      <c r="D23" s="196"/>
      <c r="E23" s="196"/>
      <c r="F23" s="197"/>
      <c r="G23" s="197"/>
      <c r="H23" s="196"/>
      <c r="I23" s="197"/>
      <c r="J23" s="268">
        <f t="shared" si="1"/>
        <v>0</v>
      </c>
      <c r="K23" s="185"/>
      <c r="V23" s="183">
        <f t="shared" si="2"/>
        <v>0</v>
      </c>
      <c r="W23" s="183">
        <f t="shared" si="3"/>
        <v>0</v>
      </c>
    </row>
    <row r="24" spans="1:23" x14ac:dyDescent="0.3">
      <c r="A24" s="184"/>
      <c r="B24" s="194">
        <f t="shared" si="4"/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f t="shared" si="4"/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f t="shared" si="4"/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f t="shared" si="4"/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>
        <f t="shared" si="4"/>
        <v>23</v>
      </c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79000</v>
      </c>
      <c r="K29" s="185"/>
      <c r="V29" s="183">
        <f>SUM(V6:V28)</f>
        <v>10</v>
      </c>
      <c r="W29" s="183">
        <f>SUM(W6:W28)</f>
        <v>1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873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43009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43011</v>
      </c>
      <c r="D37" s="192" t="s">
        <v>23</v>
      </c>
      <c r="E37" s="192" t="s">
        <v>25</v>
      </c>
      <c r="F37" s="193">
        <v>3330</v>
      </c>
      <c r="G37" s="193">
        <v>3301</v>
      </c>
      <c r="H37" s="192">
        <v>29</v>
      </c>
      <c r="I37" s="193">
        <v>100</v>
      </c>
      <c r="J37" s="267">
        <f t="shared" ref="J37:J59" si="7">I37*H37</f>
        <v>2900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f>B37+1</f>
        <v>2</v>
      </c>
      <c r="C38" s="195">
        <v>43012</v>
      </c>
      <c r="D38" s="196" t="s">
        <v>23</v>
      </c>
      <c r="E38" s="196" t="s">
        <v>25</v>
      </c>
      <c r="F38" s="197">
        <v>3280</v>
      </c>
      <c r="G38" s="197">
        <v>3255</v>
      </c>
      <c r="H38" s="196">
        <v>20</v>
      </c>
      <c r="I38" s="197">
        <v>100</v>
      </c>
      <c r="J38" s="268">
        <f t="shared" si="7"/>
        <v>2000</v>
      </c>
      <c r="K38" s="185"/>
      <c r="V38" s="183">
        <f t="shared" ref="V38:V59" si="8">IF($J38&gt;0,1,0)</f>
        <v>1</v>
      </c>
      <c r="W38" s="183">
        <f t="shared" ref="W38:W59" si="9">IF($J38&lt;0,1,0)</f>
        <v>0</v>
      </c>
    </row>
    <row r="39" spans="1:23" x14ac:dyDescent="0.3">
      <c r="A39" s="184"/>
      <c r="B39" s="194">
        <f t="shared" ref="B39:B59" si="10">B38+1</f>
        <v>3</v>
      </c>
      <c r="C39" s="195">
        <v>43013</v>
      </c>
      <c r="D39" s="196" t="s">
        <v>23</v>
      </c>
      <c r="E39" s="196" t="s">
        <v>25</v>
      </c>
      <c r="F39" s="197">
        <v>3275</v>
      </c>
      <c r="G39" s="197">
        <v>3310</v>
      </c>
      <c r="H39" s="263">
        <v>-35</v>
      </c>
      <c r="I39" s="197">
        <v>100</v>
      </c>
      <c r="J39" s="268">
        <f t="shared" si="7"/>
        <v>-3500</v>
      </c>
      <c r="K39" s="185"/>
      <c r="V39" s="183">
        <f t="shared" si="8"/>
        <v>0</v>
      </c>
      <c r="W39" s="183">
        <f t="shared" si="9"/>
        <v>1</v>
      </c>
    </row>
    <row r="40" spans="1:23" x14ac:dyDescent="0.3">
      <c r="A40" s="184"/>
      <c r="B40" s="194">
        <f t="shared" si="10"/>
        <v>4</v>
      </c>
      <c r="C40" s="195">
        <v>43014</v>
      </c>
      <c r="D40" s="196" t="s">
        <v>23</v>
      </c>
      <c r="E40" s="196" t="s">
        <v>25</v>
      </c>
      <c r="F40" s="197">
        <v>3320</v>
      </c>
      <c r="G40" s="197">
        <v>3240</v>
      </c>
      <c r="H40" s="196">
        <v>80</v>
      </c>
      <c r="I40" s="197">
        <v>100</v>
      </c>
      <c r="J40" s="268">
        <f t="shared" si="7"/>
        <v>8000</v>
      </c>
      <c r="K40" s="185"/>
      <c r="V40" s="183">
        <f t="shared" si="8"/>
        <v>1</v>
      </c>
      <c r="W40" s="183">
        <f t="shared" si="9"/>
        <v>0</v>
      </c>
    </row>
    <row r="41" spans="1:23" x14ac:dyDescent="0.3">
      <c r="A41" s="184"/>
      <c r="B41" s="194">
        <f t="shared" si="10"/>
        <v>5</v>
      </c>
      <c r="C41" s="195">
        <v>43017</v>
      </c>
      <c r="D41" s="196" t="s">
        <v>23</v>
      </c>
      <c r="E41" s="196" t="s">
        <v>25</v>
      </c>
      <c r="F41" s="197">
        <v>3240</v>
      </c>
      <c r="G41" s="197">
        <v>3220</v>
      </c>
      <c r="H41" s="196">
        <v>20</v>
      </c>
      <c r="I41" s="197">
        <v>100</v>
      </c>
      <c r="J41" s="268">
        <f t="shared" si="7"/>
        <v>2000</v>
      </c>
      <c r="K41" s="185"/>
      <c r="V41" s="183">
        <f t="shared" si="8"/>
        <v>1</v>
      </c>
      <c r="W41" s="183">
        <f t="shared" si="9"/>
        <v>0</v>
      </c>
    </row>
    <row r="42" spans="1:23" x14ac:dyDescent="0.3">
      <c r="A42" s="184"/>
      <c r="B42" s="194">
        <f t="shared" si="10"/>
        <v>6</v>
      </c>
      <c r="C42" s="195">
        <v>43018</v>
      </c>
      <c r="D42" s="196" t="s">
        <v>23</v>
      </c>
      <c r="E42" s="196" t="s">
        <v>25</v>
      </c>
      <c r="F42" s="197">
        <v>3260</v>
      </c>
      <c r="G42" s="197">
        <v>3300</v>
      </c>
      <c r="H42" s="263">
        <v>-40</v>
      </c>
      <c r="I42" s="197">
        <v>100</v>
      </c>
      <c r="J42" s="268">
        <f t="shared" si="7"/>
        <v>-4000</v>
      </c>
      <c r="K42" s="185"/>
      <c r="V42" s="183">
        <f t="shared" si="8"/>
        <v>0</v>
      </c>
      <c r="W42" s="183">
        <f t="shared" si="9"/>
        <v>1</v>
      </c>
    </row>
    <row r="43" spans="1:23" x14ac:dyDescent="0.3">
      <c r="A43" s="184"/>
      <c r="B43" s="194">
        <f t="shared" si="10"/>
        <v>7</v>
      </c>
      <c r="C43" s="195">
        <v>43019</v>
      </c>
      <c r="D43" s="196" t="s">
        <v>23</v>
      </c>
      <c r="E43" s="196" t="s">
        <v>25</v>
      </c>
      <c r="F43" s="197">
        <v>3360</v>
      </c>
      <c r="G43" s="197">
        <v>3310</v>
      </c>
      <c r="H43" s="196">
        <v>50</v>
      </c>
      <c r="I43" s="197">
        <v>100</v>
      </c>
      <c r="J43" s="268">
        <f t="shared" si="7"/>
        <v>5000</v>
      </c>
      <c r="K43" s="185"/>
      <c r="V43" s="183">
        <f t="shared" si="8"/>
        <v>1</v>
      </c>
      <c r="W43" s="183">
        <f t="shared" si="9"/>
        <v>0</v>
      </c>
    </row>
    <row r="44" spans="1:23" x14ac:dyDescent="0.3">
      <c r="A44" s="184"/>
      <c r="B44" s="194">
        <f t="shared" si="10"/>
        <v>8</v>
      </c>
      <c r="C44" s="195">
        <v>43020</v>
      </c>
      <c r="D44" s="196" t="s">
        <v>23</v>
      </c>
      <c r="E44" s="196" t="s">
        <v>25</v>
      </c>
      <c r="F44" s="197">
        <v>3315</v>
      </c>
      <c r="G44" s="197">
        <v>3275</v>
      </c>
      <c r="H44" s="196">
        <v>40</v>
      </c>
      <c r="I44" s="197">
        <v>100</v>
      </c>
      <c r="J44" s="268">
        <f t="shared" si="7"/>
        <v>4000</v>
      </c>
      <c r="K44" s="185"/>
      <c r="V44" s="183">
        <f t="shared" si="8"/>
        <v>1</v>
      </c>
      <c r="W44" s="183">
        <f t="shared" si="9"/>
        <v>0</v>
      </c>
    </row>
    <row r="45" spans="1:23" x14ac:dyDescent="0.3">
      <c r="A45" s="184"/>
      <c r="B45" s="194">
        <f t="shared" si="10"/>
        <v>9</v>
      </c>
      <c r="C45" s="195">
        <v>43021</v>
      </c>
      <c r="D45" s="196" t="s">
        <v>23</v>
      </c>
      <c r="E45" s="196" t="s">
        <v>25</v>
      </c>
      <c r="F45" s="197">
        <v>3340</v>
      </c>
      <c r="G45" s="197">
        <v>3300</v>
      </c>
      <c r="H45" s="196">
        <v>40</v>
      </c>
      <c r="I45" s="197">
        <v>100</v>
      </c>
      <c r="J45" s="268">
        <f t="shared" si="7"/>
        <v>4000</v>
      </c>
      <c r="K45" s="185"/>
      <c r="V45" s="183">
        <f t="shared" si="8"/>
        <v>1</v>
      </c>
      <c r="W45" s="183">
        <f t="shared" si="9"/>
        <v>0</v>
      </c>
    </row>
    <row r="46" spans="1:23" x14ac:dyDescent="0.3">
      <c r="A46" s="184"/>
      <c r="B46" s="194">
        <f t="shared" si="10"/>
        <v>10</v>
      </c>
      <c r="C46" s="195">
        <v>43024</v>
      </c>
      <c r="D46" s="196" t="s">
        <v>23</v>
      </c>
      <c r="E46" s="196" t="s">
        <v>25</v>
      </c>
      <c r="F46" s="197">
        <v>3370</v>
      </c>
      <c r="G46" s="197">
        <v>3350</v>
      </c>
      <c r="H46" s="196">
        <v>20</v>
      </c>
      <c r="I46" s="197">
        <v>100</v>
      </c>
      <c r="J46" s="268">
        <f t="shared" si="7"/>
        <v>2000</v>
      </c>
      <c r="K46" s="185"/>
      <c r="V46" s="183">
        <f t="shared" si="8"/>
        <v>1</v>
      </c>
      <c r="W46" s="183">
        <f t="shared" si="9"/>
        <v>0</v>
      </c>
    </row>
    <row r="47" spans="1:23" x14ac:dyDescent="0.3">
      <c r="A47" s="184"/>
      <c r="B47" s="194">
        <f t="shared" si="10"/>
        <v>11</v>
      </c>
      <c r="C47" s="195">
        <v>43025</v>
      </c>
      <c r="D47" s="196" t="s">
        <v>23</v>
      </c>
      <c r="E47" s="196" t="s">
        <v>25</v>
      </c>
      <c r="F47" s="197">
        <v>3385</v>
      </c>
      <c r="G47" s="197">
        <v>3335</v>
      </c>
      <c r="H47" s="196">
        <v>50</v>
      </c>
      <c r="I47" s="197">
        <v>100</v>
      </c>
      <c r="J47" s="268">
        <f t="shared" si="7"/>
        <v>5000</v>
      </c>
      <c r="K47" s="185"/>
      <c r="V47" s="183">
        <f t="shared" si="8"/>
        <v>1</v>
      </c>
      <c r="W47" s="183">
        <f t="shared" si="9"/>
        <v>0</v>
      </c>
    </row>
    <row r="48" spans="1:23" x14ac:dyDescent="0.3">
      <c r="A48" s="184"/>
      <c r="B48" s="194">
        <f t="shared" si="10"/>
        <v>12</v>
      </c>
      <c r="C48" s="195"/>
      <c r="D48" s="196"/>
      <c r="E48" s="196"/>
      <c r="F48" s="197"/>
      <c r="G48" s="197"/>
      <c r="H48" s="196"/>
      <c r="I48" s="197"/>
      <c r="J48" s="268">
        <f t="shared" si="7"/>
        <v>0</v>
      </c>
      <c r="K48" s="185"/>
      <c r="V48" s="183">
        <f t="shared" si="8"/>
        <v>0</v>
      </c>
      <c r="W48" s="183">
        <f t="shared" si="9"/>
        <v>0</v>
      </c>
    </row>
    <row r="49" spans="1:23" x14ac:dyDescent="0.3">
      <c r="A49" s="184"/>
      <c r="B49" s="194">
        <f t="shared" si="10"/>
        <v>13</v>
      </c>
      <c r="C49" s="195"/>
      <c r="D49" s="196"/>
      <c r="E49" s="196"/>
      <c r="F49" s="197"/>
      <c r="G49" s="197"/>
      <c r="H49" s="196"/>
      <c r="I49" s="197"/>
      <c r="J49" s="268">
        <f t="shared" si="7"/>
        <v>0</v>
      </c>
      <c r="K49" s="185"/>
      <c r="V49" s="183">
        <f t="shared" si="8"/>
        <v>0</v>
      </c>
      <c r="W49" s="183">
        <f t="shared" si="9"/>
        <v>0</v>
      </c>
    </row>
    <row r="50" spans="1:23" x14ac:dyDescent="0.3">
      <c r="A50" s="184"/>
      <c r="B50" s="194">
        <f t="shared" si="10"/>
        <v>14</v>
      </c>
      <c r="C50" s="195"/>
      <c r="D50" s="196"/>
      <c r="E50" s="196"/>
      <c r="F50" s="197"/>
      <c r="G50" s="197"/>
      <c r="H50" s="196"/>
      <c r="I50" s="197"/>
      <c r="J50" s="268">
        <f t="shared" si="7"/>
        <v>0</v>
      </c>
      <c r="K50" s="185"/>
      <c r="V50" s="183">
        <f t="shared" si="8"/>
        <v>0</v>
      </c>
      <c r="W50" s="183">
        <f t="shared" si="9"/>
        <v>0</v>
      </c>
    </row>
    <row r="51" spans="1:23" x14ac:dyDescent="0.3">
      <c r="A51" s="184"/>
      <c r="B51" s="194">
        <f t="shared" si="10"/>
        <v>15</v>
      </c>
      <c r="C51" s="195"/>
      <c r="D51" s="196"/>
      <c r="E51" s="196"/>
      <c r="F51" s="197"/>
      <c r="G51" s="197"/>
      <c r="H51" s="196"/>
      <c r="I51" s="197"/>
      <c r="J51" s="268">
        <f t="shared" si="7"/>
        <v>0</v>
      </c>
      <c r="K51" s="185"/>
      <c r="V51" s="183">
        <f t="shared" si="8"/>
        <v>0</v>
      </c>
      <c r="W51" s="183">
        <f t="shared" si="9"/>
        <v>0</v>
      </c>
    </row>
    <row r="52" spans="1:23" x14ac:dyDescent="0.3">
      <c r="A52" s="184"/>
      <c r="B52" s="194">
        <f t="shared" si="10"/>
        <v>16</v>
      </c>
      <c r="C52" s="195"/>
      <c r="D52" s="196"/>
      <c r="E52" s="196"/>
      <c r="F52" s="197"/>
      <c r="G52" s="197"/>
      <c r="H52" s="196"/>
      <c r="I52" s="197"/>
      <c r="J52" s="268">
        <f t="shared" si="7"/>
        <v>0</v>
      </c>
      <c r="K52" s="185"/>
      <c r="V52" s="183">
        <f t="shared" si="8"/>
        <v>0</v>
      </c>
      <c r="W52" s="183">
        <f t="shared" si="9"/>
        <v>0</v>
      </c>
    </row>
    <row r="53" spans="1:23" x14ac:dyDescent="0.3">
      <c r="A53" s="184"/>
      <c r="B53" s="194">
        <f t="shared" si="10"/>
        <v>17</v>
      </c>
      <c r="C53" s="195"/>
      <c r="D53" s="196"/>
      <c r="E53" s="196"/>
      <c r="F53" s="197"/>
      <c r="G53" s="197"/>
      <c r="H53" s="196"/>
      <c r="I53" s="197"/>
      <c r="J53" s="268">
        <f t="shared" si="7"/>
        <v>0</v>
      </c>
      <c r="K53" s="185"/>
      <c r="V53" s="183">
        <f t="shared" si="8"/>
        <v>0</v>
      </c>
      <c r="W53" s="183">
        <f t="shared" si="9"/>
        <v>0</v>
      </c>
    </row>
    <row r="54" spans="1:23" x14ac:dyDescent="0.3">
      <c r="A54" s="255"/>
      <c r="B54" s="194">
        <f t="shared" si="10"/>
        <v>18</v>
      </c>
      <c r="C54" s="195"/>
      <c r="D54" s="196"/>
      <c r="E54" s="196"/>
      <c r="F54" s="197"/>
      <c r="G54" s="197"/>
      <c r="H54" s="196"/>
      <c r="I54" s="197"/>
      <c r="J54" s="268">
        <f t="shared" si="7"/>
        <v>0</v>
      </c>
      <c r="K54" s="185"/>
      <c r="V54" s="183">
        <f t="shared" si="8"/>
        <v>0</v>
      </c>
      <c r="W54" s="183">
        <f t="shared" si="9"/>
        <v>0</v>
      </c>
    </row>
    <row r="55" spans="1:23" x14ac:dyDescent="0.3">
      <c r="A55" s="184"/>
      <c r="B55" s="194">
        <f t="shared" si="10"/>
        <v>19</v>
      </c>
      <c r="C55" s="195"/>
      <c r="D55" s="196"/>
      <c r="E55" s="196"/>
      <c r="F55" s="197"/>
      <c r="G55" s="197"/>
      <c r="H55" s="196"/>
      <c r="I55" s="197"/>
      <c r="J55" s="268">
        <f t="shared" si="7"/>
        <v>0</v>
      </c>
      <c r="K55" s="185"/>
      <c r="V55" s="183">
        <f t="shared" si="8"/>
        <v>0</v>
      </c>
      <c r="W55" s="183">
        <f t="shared" si="9"/>
        <v>0</v>
      </c>
    </row>
    <row r="56" spans="1:23" x14ac:dyDescent="0.3">
      <c r="A56" s="184"/>
      <c r="B56" s="194">
        <f t="shared" si="10"/>
        <v>20</v>
      </c>
      <c r="C56" s="195"/>
      <c r="D56" s="196"/>
      <c r="E56" s="196"/>
      <c r="F56" s="197"/>
      <c r="G56" s="197"/>
      <c r="H56" s="196"/>
      <c r="I56" s="197"/>
      <c r="J56" s="268">
        <f t="shared" si="7"/>
        <v>0</v>
      </c>
      <c r="K56" s="185"/>
      <c r="V56" s="183">
        <f t="shared" si="8"/>
        <v>0</v>
      </c>
      <c r="W56" s="183">
        <f t="shared" si="9"/>
        <v>0</v>
      </c>
    </row>
    <row r="57" spans="1:23" x14ac:dyDescent="0.3">
      <c r="A57" s="184"/>
      <c r="B57" s="194">
        <f t="shared" si="10"/>
        <v>21</v>
      </c>
      <c r="C57" s="195"/>
      <c r="D57" s="196"/>
      <c r="E57" s="196"/>
      <c r="F57" s="197"/>
      <c r="G57" s="197"/>
      <c r="H57" s="196"/>
      <c r="I57" s="197"/>
      <c r="J57" s="268">
        <f t="shared" si="7"/>
        <v>0</v>
      </c>
      <c r="K57" s="185"/>
      <c r="V57" s="183">
        <f t="shared" si="8"/>
        <v>0</v>
      </c>
      <c r="W57" s="183">
        <f t="shared" si="9"/>
        <v>0</v>
      </c>
    </row>
    <row r="58" spans="1:23" x14ac:dyDescent="0.3">
      <c r="A58" s="184"/>
      <c r="B58" s="194">
        <f t="shared" si="10"/>
        <v>22</v>
      </c>
      <c r="C58" s="195"/>
      <c r="D58" s="196"/>
      <c r="E58" s="196"/>
      <c r="F58" s="197"/>
      <c r="G58" s="197"/>
      <c r="H58" s="196"/>
      <c r="I58" s="197"/>
      <c r="J58" s="268">
        <f t="shared" si="7"/>
        <v>0</v>
      </c>
      <c r="K58" s="185"/>
      <c r="V58" s="183">
        <f t="shared" si="8"/>
        <v>0</v>
      </c>
      <c r="W58" s="183">
        <f t="shared" si="9"/>
        <v>0</v>
      </c>
    </row>
    <row r="59" spans="1:23" ht="15" thickBot="1" x14ac:dyDescent="0.35">
      <c r="A59" s="184"/>
      <c r="B59" s="194">
        <f t="shared" si="10"/>
        <v>23</v>
      </c>
      <c r="C59" s="195"/>
      <c r="D59" s="196"/>
      <c r="E59" s="196"/>
      <c r="F59" s="197"/>
      <c r="G59" s="197"/>
      <c r="H59" s="196"/>
      <c r="I59" s="202"/>
      <c r="J59" s="269">
        <f t="shared" si="7"/>
        <v>0</v>
      </c>
      <c r="K59" s="185"/>
      <c r="V59" s="183">
        <f t="shared" si="8"/>
        <v>0</v>
      </c>
      <c r="W59" s="183">
        <f t="shared" si="9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27400</v>
      </c>
      <c r="K60" s="185"/>
      <c r="V60" s="183">
        <f>SUM(V37:V59)</f>
        <v>9</v>
      </c>
      <c r="W60" s="183">
        <f>SUM(W37:W59)</f>
        <v>2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43009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43011</v>
      </c>
      <c r="D68" s="216" t="s">
        <v>23</v>
      </c>
      <c r="E68" s="216" t="s">
        <v>28</v>
      </c>
      <c r="F68" s="256">
        <v>212</v>
      </c>
      <c r="G68" s="256">
        <v>213</v>
      </c>
      <c r="H68" s="264">
        <v>-1</v>
      </c>
      <c r="I68" s="218">
        <v>5000</v>
      </c>
      <c r="J68" s="270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f>B68+1</f>
        <v>2</v>
      </c>
      <c r="C69" s="195">
        <v>43012</v>
      </c>
      <c r="D69" s="196" t="s">
        <v>23</v>
      </c>
      <c r="E69" s="196" t="s">
        <v>29</v>
      </c>
      <c r="F69" s="222">
        <v>429</v>
      </c>
      <c r="G69" s="222">
        <v>427</v>
      </c>
      <c r="H69" s="196">
        <v>2</v>
      </c>
      <c r="I69" s="197">
        <v>1000</v>
      </c>
      <c r="J69" s="271">
        <f t="shared" ref="J69:J90" si="11">I69*H69</f>
        <v>2000</v>
      </c>
      <c r="K69" s="185"/>
      <c r="V69" s="183">
        <f t="shared" ref="V69:V90" si="12">IF($J69&gt;0,1,0)</f>
        <v>1</v>
      </c>
      <c r="W69" s="183">
        <f t="shared" ref="W69:W90" si="13">IF($J69&lt;0,1,0)</f>
        <v>0</v>
      </c>
    </row>
    <row r="70" spans="1:23" x14ac:dyDescent="0.3">
      <c r="A70" s="184"/>
      <c r="B70" s="194">
        <f t="shared" ref="B70:B90" si="14">B69+1</f>
        <v>3</v>
      </c>
      <c r="C70" s="195">
        <v>43013</v>
      </c>
      <c r="D70" s="196" t="s">
        <v>23</v>
      </c>
      <c r="E70" s="196" t="s">
        <v>29</v>
      </c>
      <c r="F70" s="222">
        <v>430</v>
      </c>
      <c r="G70" s="222">
        <v>434</v>
      </c>
      <c r="H70" s="263">
        <v>-4</v>
      </c>
      <c r="I70" s="197">
        <v>1000</v>
      </c>
      <c r="J70" s="271">
        <f t="shared" si="11"/>
        <v>-4000</v>
      </c>
      <c r="K70" s="185"/>
      <c r="V70" s="183">
        <f t="shared" si="12"/>
        <v>0</v>
      </c>
      <c r="W70" s="183">
        <f t="shared" si="13"/>
        <v>1</v>
      </c>
    </row>
    <row r="71" spans="1:23" x14ac:dyDescent="0.3">
      <c r="A71" s="184"/>
      <c r="B71" s="194">
        <f t="shared" si="14"/>
        <v>4</v>
      </c>
      <c r="C71" s="195">
        <v>43014</v>
      </c>
      <c r="D71" s="196" t="s">
        <v>23</v>
      </c>
      <c r="E71" s="196" t="s">
        <v>28</v>
      </c>
      <c r="F71" s="222">
        <v>216.2</v>
      </c>
      <c r="G71" s="222">
        <v>214.2</v>
      </c>
      <c r="H71" s="196">
        <v>2</v>
      </c>
      <c r="I71" s="197">
        <v>5000</v>
      </c>
      <c r="J71" s="268">
        <f t="shared" si="11"/>
        <v>10000</v>
      </c>
      <c r="K71" s="185"/>
      <c r="V71" s="183">
        <f t="shared" si="12"/>
        <v>1</v>
      </c>
      <c r="W71" s="183">
        <f t="shared" si="13"/>
        <v>0</v>
      </c>
    </row>
    <row r="72" spans="1:23" x14ac:dyDescent="0.3">
      <c r="A72" s="184"/>
      <c r="B72" s="194">
        <f t="shared" si="14"/>
        <v>5</v>
      </c>
      <c r="C72" s="195">
        <v>43017</v>
      </c>
      <c r="D72" s="196" t="s">
        <v>23</v>
      </c>
      <c r="E72" s="196" t="s">
        <v>29</v>
      </c>
      <c r="F72" s="197">
        <v>439</v>
      </c>
      <c r="G72" s="222">
        <v>437.5</v>
      </c>
      <c r="H72" s="196">
        <v>1.5</v>
      </c>
      <c r="I72" s="197">
        <v>1000</v>
      </c>
      <c r="J72" s="268">
        <f t="shared" si="11"/>
        <v>1500</v>
      </c>
      <c r="K72" s="185"/>
      <c r="V72" s="183">
        <f t="shared" si="12"/>
        <v>1</v>
      </c>
      <c r="W72" s="183">
        <f t="shared" si="13"/>
        <v>0</v>
      </c>
    </row>
    <row r="73" spans="1:23" x14ac:dyDescent="0.3">
      <c r="A73" s="184"/>
      <c r="B73" s="194">
        <f t="shared" si="14"/>
        <v>6</v>
      </c>
      <c r="C73" s="195">
        <v>43018</v>
      </c>
      <c r="D73" s="196" t="s">
        <v>23</v>
      </c>
      <c r="E73" s="196" t="s">
        <v>29</v>
      </c>
      <c r="F73" s="197">
        <v>440</v>
      </c>
      <c r="G73" s="222">
        <v>438.5</v>
      </c>
      <c r="H73" s="196">
        <v>1.5</v>
      </c>
      <c r="I73" s="197">
        <v>1000</v>
      </c>
      <c r="J73" s="268">
        <f t="shared" si="11"/>
        <v>1500</v>
      </c>
      <c r="K73" s="185"/>
      <c r="V73" s="183">
        <f t="shared" si="12"/>
        <v>1</v>
      </c>
      <c r="W73" s="183">
        <f t="shared" si="13"/>
        <v>0</v>
      </c>
    </row>
    <row r="74" spans="1:23" x14ac:dyDescent="0.3">
      <c r="A74" s="184"/>
      <c r="B74" s="194">
        <f t="shared" si="14"/>
        <v>7</v>
      </c>
      <c r="C74" s="195">
        <v>43019</v>
      </c>
      <c r="D74" s="196" t="s">
        <v>23</v>
      </c>
      <c r="E74" s="196" t="s">
        <v>28</v>
      </c>
      <c r="F74" s="197">
        <v>214</v>
      </c>
      <c r="G74" s="197">
        <v>212</v>
      </c>
      <c r="H74" s="263">
        <v>2</v>
      </c>
      <c r="I74" s="197">
        <v>5000</v>
      </c>
      <c r="J74" s="268">
        <f t="shared" si="11"/>
        <v>10000</v>
      </c>
      <c r="K74" s="185"/>
      <c r="V74" s="183">
        <f t="shared" si="12"/>
        <v>1</v>
      </c>
      <c r="W74" s="183">
        <f t="shared" si="13"/>
        <v>0</v>
      </c>
    </row>
    <row r="75" spans="1:23" x14ac:dyDescent="0.3">
      <c r="A75" s="184"/>
      <c r="B75" s="194">
        <f t="shared" si="14"/>
        <v>8</v>
      </c>
      <c r="C75" s="195">
        <v>43020</v>
      </c>
      <c r="D75" s="196" t="s">
        <v>16</v>
      </c>
      <c r="E75" s="196" t="s">
        <v>28</v>
      </c>
      <c r="F75" s="210">
        <v>213.9</v>
      </c>
      <c r="G75" s="210">
        <v>215.5</v>
      </c>
      <c r="H75" s="196">
        <v>1.6</v>
      </c>
      <c r="I75" s="197">
        <v>5000</v>
      </c>
      <c r="J75" s="268">
        <f t="shared" si="11"/>
        <v>8000</v>
      </c>
      <c r="K75" s="185"/>
      <c r="V75" s="183">
        <f t="shared" si="12"/>
        <v>1</v>
      </c>
      <c r="W75" s="183">
        <f t="shared" si="13"/>
        <v>0</v>
      </c>
    </row>
    <row r="76" spans="1:23" x14ac:dyDescent="0.3">
      <c r="A76" s="184"/>
      <c r="B76" s="194">
        <f t="shared" si="14"/>
        <v>9</v>
      </c>
      <c r="C76" s="195">
        <v>43021</v>
      </c>
      <c r="D76" s="196" t="s">
        <v>16</v>
      </c>
      <c r="E76" s="196" t="s">
        <v>28</v>
      </c>
      <c r="F76" s="222">
        <v>214.6</v>
      </c>
      <c r="G76" s="222">
        <v>215.6</v>
      </c>
      <c r="H76" s="196">
        <v>1</v>
      </c>
      <c r="I76" s="197">
        <v>5000</v>
      </c>
      <c r="J76" s="268">
        <f t="shared" si="11"/>
        <v>5000</v>
      </c>
      <c r="K76" s="185"/>
      <c r="V76" s="183">
        <f t="shared" si="12"/>
        <v>1</v>
      </c>
      <c r="W76" s="183">
        <f t="shared" si="13"/>
        <v>0</v>
      </c>
    </row>
    <row r="77" spans="1:23" x14ac:dyDescent="0.3">
      <c r="A77" s="184"/>
      <c r="B77" s="194">
        <f t="shared" si="14"/>
        <v>10</v>
      </c>
      <c r="C77" s="195">
        <v>43024</v>
      </c>
      <c r="D77" s="196" t="s">
        <v>16</v>
      </c>
      <c r="E77" s="196" t="s">
        <v>28</v>
      </c>
      <c r="F77" s="222">
        <v>214.5</v>
      </c>
      <c r="G77" s="222">
        <v>213.5</v>
      </c>
      <c r="H77" s="196">
        <v>-1</v>
      </c>
      <c r="I77" s="197">
        <v>5000</v>
      </c>
      <c r="J77" s="268">
        <f t="shared" si="11"/>
        <v>-5000</v>
      </c>
      <c r="K77" s="185"/>
      <c r="V77" s="183">
        <f t="shared" si="12"/>
        <v>0</v>
      </c>
      <c r="W77" s="183">
        <f t="shared" si="13"/>
        <v>1</v>
      </c>
    </row>
    <row r="78" spans="1:23" x14ac:dyDescent="0.3">
      <c r="A78" s="184"/>
      <c r="B78" s="194">
        <f t="shared" si="14"/>
        <v>11</v>
      </c>
      <c r="C78" s="195">
        <v>43025</v>
      </c>
      <c r="D78" s="196" t="s">
        <v>23</v>
      </c>
      <c r="E78" s="196" t="s">
        <v>28</v>
      </c>
      <c r="F78" s="222">
        <v>204</v>
      </c>
      <c r="G78" s="222">
        <v>202</v>
      </c>
      <c r="H78" s="263">
        <v>2</v>
      </c>
      <c r="I78" s="197">
        <v>5000</v>
      </c>
      <c r="J78" s="268">
        <f t="shared" si="11"/>
        <v>10000</v>
      </c>
      <c r="K78" s="185"/>
      <c r="V78" s="183">
        <f t="shared" si="12"/>
        <v>1</v>
      </c>
      <c r="W78" s="183">
        <f t="shared" si="13"/>
        <v>0</v>
      </c>
    </row>
    <row r="79" spans="1:23" x14ac:dyDescent="0.3">
      <c r="A79" s="184"/>
      <c r="B79" s="194">
        <f t="shared" si="14"/>
        <v>12</v>
      </c>
      <c r="C79" s="195"/>
      <c r="D79" s="196"/>
      <c r="E79" s="196"/>
      <c r="F79" s="222"/>
      <c r="G79" s="222"/>
      <c r="H79" s="196"/>
      <c r="I79" s="197"/>
      <c r="J79" s="268">
        <f t="shared" si="11"/>
        <v>0</v>
      </c>
      <c r="K79" s="185"/>
      <c r="V79" s="183">
        <f t="shared" si="12"/>
        <v>0</v>
      </c>
      <c r="W79" s="183">
        <f t="shared" si="13"/>
        <v>0</v>
      </c>
    </row>
    <row r="80" spans="1:23" x14ac:dyDescent="0.3">
      <c r="A80" s="184"/>
      <c r="B80" s="194">
        <f t="shared" si="14"/>
        <v>13</v>
      </c>
      <c r="C80" s="195"/>
      <c r="D80" s="196"/>
      <c r="E80" s="196"/>
      <c r="F80" s="222"/>
      <c r="G80" s="222"/>
      <c r="H80" s="196"/>
      <c r="I80" s="197"/>
      <c r="J80" s="268">
        <f t="shared" si="11"/>
        <v>0</v>
      </c>
      <c r="K80" s="185"/>
      <c r="V80" s="183">
        <f t="shared" si="12"/>
        <v>0</v>
      </c>
      <c r="W80" s="183">
        <f t="shared" si="13"/>
        <v>0</v>
      </c>
    </row>
    <row r="81" spans="1:23" x14ac:dyDescent="0.3">
      <c r="A81" s="184"/>
      <c r="B81" s="194">
        <f t="shared" si="14"/>
        <v>14</v>
      </c>
      <c r="C81" s="195"/>
      <c r="D81" s="196"/>
      <c r="E81" s="196"/>
      <c r="F81" s="222"/>
      <c r="G81" s="222"/>
      <c r="H81" s="196"/>
      <c r="I81" s="197"/>
      <c r="J81" s="268">
        <f t="shared" si="11"/>
        <v>0</v>
      </c>
      <c r="K81" s="185"/>
      <c r="V81" s="183">
        <f t="shared" si="12"/>
        <v>0</v>
      </c>
      <c r="W81" s="183">
        <f t="shared" si="13"/>
        <v>0</v>
      </c>
    </row>
    <row r="82" spans="1:23" x14ac:dyDescent="0.3">
      <c r="A82" s="184"/>
      <c r="B82" s="194">
        <f t="shared" si="14"/>
        <v>15</v>
      </c>
      <c r="C82" s="195"/>
      <c r="D82" s="196"/>
      <c r="E82" s="196"/>
      <c r="F82" s="223"/>
      <c r="G82" s="222"/>
      <c r="H82" s="196"/>
      <c r="I82" s="197"/>
      <c r="J82" s="268">
        <f t="shared" si="11"/>
        <v>0</v>
      </c>
      <c r="K82" s="185"/>
      <c r="V82" s="183">
        <f t="shared" si="12"/>
        <v>0</v>
      </c>
      <c r="W82" s="183">
        <f t="shared" si="13"/>
        <v>0</v>
      </c>
    </row>
    <row r="83" spans="1:23" x14ac:dyDescent="0.3">
      <c r="A83" s="184"/>
      <c r="B83" s="194">
        <f t="shared" si="14"/>
        <v>16</v>
      </c>
      <c r="C83" s="195"/>
      <c r="D83" s="196"/>
      <c r="E83" s="196"/>
      <c r="F83" s="222"/>
      <c r="G83" s="222"/>
      <c r="H83" s="196"/>
      <c r="I83" s="197"/>
      <c r="J83" s="268">
        <f t="shared" si="11"/>
        <v>0</v>
      </c>
      <c r="K83" s="185"/>
      <c r="V83" s="183">
        <f t="shared" si="12"/>
        <v>0</v>
      </c>
      <c r="W83" s="183">
        <f t="shared" si="13"/>
        <v>0</v>
      </c>
    </row>
    <row r="84" spans="1:23" x14ac:dyDescent="0.3">
      <c r="A84" s="184"/>
      <c r="B84" s="194">
        <f t="shared" si="14"/>
        <v>17</v>
      </c>
      <c r="C84" s="195"/>
      <c r="D84" s="196"/>
      <c r="E84" s="196"/>
      <c r="F84" s="222"/>
      <c r="G84" s="222"/>
      <c r="H84" s="265"/>
      <c r="I84" s="197"/>
      <c r="J84" s="268">
        <f t="shared" si="11"/>
        <v>0</v>
      </c>
      <c r="K84" s="185"/>
      <c r="V84" s="183">
        <f t="shared" si="12"/>
        <v>0</v>
      </c>
      <c r="W84" s="183">
        <f t="shared" si="13"/>
        <v>0</v>
      </c>
    </row>
    <row r="85" spans="1:23" x14ac:dyDescent="0.3">
      <c r="A85" s="184"/>
      <c r="B85" s="194">
        <f t="shared" si="14"/>
        <v>18</v>
      </c>
      <c r="C85" s="195"/>
      <c r="D85" s="196"/>
      <c r="E85" s="196"/>
      <c r="F85" s="222"/>
      <c r="G85" s="222"/>
      <c r="H85" s="196"/>
      <c r="I85" s="197"/>
      <c r="J85" s="268">
        <f t="shared" si="11"/>
        <v>0</v>
      </c>
      <c r="K85" s="185"/>
      <c r="V85" s="183">
        <f t="shared" si="12"/>
        <v>0</v>
      </c>
      <c r="W85" s="183">
        <f t="shared" si="13"/>
        <v>0</v>
      </c>
    </row>
    <row r="86" spans="1:23" x14ac:dyDescent="0.3">
      <c r="A86" s="184"/>
      <c r="B86" s="194">
        <f t="shared" si="14"/>
        <v>19</v>
      </c>
      <c r="C86" s="195"/>
      <c r="D86" s="196"/>
      <c r="E86" s="196"/>
      <c r="F86" s="222"/>
      <c r="G86" s="222"/>
      <c r="H86" s="196"/>
      <c r="I86" s="197"/>
      <c r="J86" s="268">
        <f t="shared" si="11"/>
        <v>0</v>
      </c>
      <c r="K86" s="185"/>
      <c r="V86" s="183">
        <f t="shared" si="12"/>
        <v>0</v>
      </c>
      <c r="W86" s="183">
        <f t="shared" si="13"/>
        <v>0</v>
      </c>
    </row>
    <row r="87" spans="1:23" x14ac:dyDescent="0.3">
      <c r="A87" s="184"/>
      <c r="B87" s="194">
        <f t="shared" si="14"/>
        <v>20</v>
      </c>
      <c r="C87" s="195"/>
      <c r="D87" s="196"/>
      <c r="E87" s="196"/>
      <c r="F87" s="222"/>
      <c r="G87" s="222"/>
      <c r="H87" s="265"/>
      <c r="I87" s="197"/>
      <c r="J87" s="268">
        <f t="shared" si="11"/>
        <v>0</v>
      </c>
      <c r="K87" s="185"/>
      <c r="V87" s="183">
        <f t="shared" si="12"/>
        <v>0</v>
      </c>
      <c r="W87" s="183">
        <f t="shared" si="13"/>
        <v>0</v>
      </c>
    </row>
    <row r="88" spans="1:23" x14ac:dyDescent="0.3">
      <c r="A88" s="184"/>
      <c r="B88" s="194">
        <f t="shared" si="14"/>
        <v>21</v>
      </c>
      <c r="C88" s="195"/>
      <c r="D88" s="196"/>
      <c r="E88" s="196"/>
      <c r="F88" s="222"/>
      <c r="G88" s="222"/>
      <c r="H88" s="196"/>
      <c r="I88" s="197"/>
      <c r="J88" s="268">
        <f t="shared" si="11"/>
        <v>0</v>
      </c>
      <c r="K88" s="185"/>
      <c r="V88" s="183">
        <f t="shared" si="12"/>
        <v>0</v>
      </c>
      <c r="W88" s="183">
        <f t="shared" si="13"/>
        <v>0</v>
      </c>
    </row>
    <row r="89" spans="1:23" x14ac:dyDescent="0.3">
      <c r="A89" s="184"/>
      <c r="B89" s="194">
        <f t="shared" si="14"/>
        <v>22</v>
      </c>
      <c r="C89" s="195"/>
      <c r="D89" s="196"/>
      <c r="E89" s="196"/>
      <c r="F89" s="197"/>
      <c r="G89" s="197"/>
      <c r="H89" s="196"/>
      <c r="I89" s="197"/>
      <c r="J89" s="268">
        <f t="shared" si="11"/>
        <v>0</v>
      </c>
      <c r="K89" s="185"/>
      <c r="V89" s="183">
        <f t="shared" si="12"/>
        <v>0</v>
      </c>
      <c r="W89" s="183">
        <f t="shared" si="13"/>
        <v>0</v>
      </c>
    </row>
    <row r="90" spans="1:23" ht="15" thickBot="1" x14ac:dyDescent="0.35">
      <c r="A90" s="184"/>
      <c r="B90" s="219">
        <f t="shared" si="14"/>
        <v>23</v>
      </c>
      <c r="C90" s="220"/>
      <c r="D90" s="221"/>
      <c r="E90" s="221"/>
      <c r="F90" s="211"/>
      <c r="G90" s="211"/>
      <c r="H90" s="221"/>
      <c r="I90" s="211"/>
      <c r="J90" s="272">
        <f t="shared" si="11"/>
        <v>0</v>
      </c>
      <c r="K90" s="185"/>
      <c r="V90" s="183">
        <f t="shared" si="12"/>
        <v>0</v>
      </c>
      <c r="W90" s="183">
        <f t="shared" si="13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34000</v>
      </c>
      <c r="K91" s="185"/>
      <c r="V91" s="183">
        <f>SUM(V68:V90)</f>
        <v>8</v>
      </c>
      <c r="W91" s="183">
        <f>SUM(W68:W90)</f>
        <v>3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3A00-000000000000}"/>
    <hyperlink ref="B60" r:id="rId2" xr:uid="{00000000-0004-0000-3A00-000001000000}"/>
    <hyperlink ref="M4:M5" location="'OCT-2017'!A1" display="BULLION" xr:uid="{00000000-0004-0000-3A00-000002000000}"/>
    <hyperlink ref="M6:M7" location="'OCT-2017'!A54" display="ENERGY" xr:uid="{00000000-0004-0000-3A00-000003000000}"/>
    <hyperlink ref="B91" r:id="rId3" xr:uid="{00000000-0004-0000-3A00-000004000000}"/>
    <hyperlink ref="M8:M9" location="'OCT-2017'!A86" display="BASE METAL" xr:uid="{00000000-0004-0000-3A00-000005000000}"/>
    <hyperlink ref="M1" location="MASTER!A1" display="Back" xr:uid="{00000000-0004-0000-3A00-000006000000}"/>
  </hyperlinks>
  <pageMargins left="0" right="0" top="0" bottom="0" header="0" footer="0"/>
  <pageSetup paperSize="9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79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46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5">
        <v>41396</v>
      </c>
      <c r="C5" s="23" t="s">
        <v>16</v>
      </c>
      <c r="D5" s="24" t="s">
        <v>22</v>
      </c>
      <c r="E5" s="26">
        <v>44375</v>
      </c>
      <c r="F5" s="26">
        <v>44850</v>
      </c>
      <c r="G5" s="25">
        <v>30</v>
      </c>
      <c r="H5" s="29">
        <v>14250</v>
      </c>
      <c r="I5" s="20"/>
    </row>
    <row r="6" spans="1:10" x14ac:dyDescent="0.3">
      <c r="A6" s="20"/>
      <c r="B6" s="5">
        <v>41397</v>
      </c>
      <c r="C6" s="23" t="s">
        <v>16</v>
      </c>
      <c r="D6" s="24" t="s">
        <v>24</v>
      </c>
      <c r="E6" s="25">
        <v>27000</v>
      </c>
      <c r="F6" s="26">
        <v>27125</v>
      </c>
      <c r="G6" s="25">
        <v>100</v>
      </c>
      <c r="H6" s="29">
        <v>12500</v>
      </c>
      <c r="I6" s="20"/>
    </row>
    <row r="7" spans="1:10" x14ac:dyDescent="0.3">
      <c r="A7" s="20"/>
      <c r="B7" s="5">
        <v>41400</v>
      </c>
      <c r="C7" s="23" t="s">
        <v>16</v>
      </c>
      <c r="D7" s="24" t="s">
        <v>22</v>
      </c>
      <c r="E7" s="25">
        <v>45250</v>
      </c>
      <c r="F7" s="26">
        <v>45550</v>
      </c>
      <c r="G7" s="25">
        <v>30</v>
      </c>
      <c r="H7" s="29">
        <v>9000</v>
      </c>
      <c r="I7" s="20"/>
    </row>
    <row r="8" spans="1:10" x14ac:dyDescent="0.3">
      <c r="A8" s="20"/>
      <c r="B8" s="5">
        <v>41401</v>
      </c>
      <c r="C8" s="23" t="s">
        <v>23</v>
      </c>
      <c r="D8" s="24" t="s">
        <v>22</v>
      </c>
      <c r="E8" s="26">
        <v>44600</v>
      </c>
      <c r="F8" s="29">
        <v>44200</v>
      </c>
      <c r="G8" s="25">
        <v>30</v>
      </c>
      <c r="H8" s="29">
        <v>12000</v>
      </c>
      <c r="I8" s="20"/>
    </row>
    <row r="9" spans="1:10" x14ac:dyDescent="0.3">
      <c r="A9" s="20"/>
      <c r="B9" s="5">
        <v>41402</v>
      </c>
      <c r="C9" s="23" t="s">
        <v>23</v>
      </c>
      <c r="D9" s="24" t="s">
        <v>24</v>
      </c>
      <c r="E9" s="25">
        <v>26790</v>
      </c>
      <c r="F9" s="26">
        <v>26715</v>
      </c>
      <c r="G9" s="25">
        <v>100</v>
      </c>
      <c r="H9" s="29">
        <v>7500</v>
      </c>
      <c r="I9" s="20"/>
    </row>
    <row r="10" spans="1:10" x14ac:dyDescent="0.3">
      <c r="A10" s="20"/>
      <c r="B10" s="5">
        <v>41403</v>
      </c>
      <c r="C10" s="23" t="s">
        <v>16</v>
      </c>
      <c r="D10" s="24" t="s">
        <v>22</v>
      </c>
      <c r="E10" s="25">
        <v>44800</v>
      </c>
      <c r="F10" s="26">
        <v>45180</v>
      </c>
      <c r="G10" s="25">
        <v>30</v>
      </c>
      <c r="H10" s="29">
        <v>11400</v>
      </c>
      <c r="I10" s="20"/>
    </row>
    <row r="11" spans="1:10" x14ac:dyDescent="0.3">
      <c r="A11" s="20"/>
      <c r="B11" s="5">
        <v>41404</v>
      </c>
      <c r="C11" s="23" t="s">
        <v>16</v>
      </c>
      <c r="D11" s="24" t="s">
        <v>24</v>
      </c>
      <c r="E11" s="25">
        <v>27030</v>
      </c>
      <c r="F11" s="26">
        <v>27095</v>
      </c>
      <c r="G11" s="25">
        <v>100</v>
      </c>
      <c r="H11" s="29">
        <v>6500</v>
      </c>
      <c r="I11" s="20"/>
    </row>
    <row r="12" spans="1:10" x14ac:dyDescent="0.3">
      <c r="A12" s="20"/>
      <c r="B12" s="5">
        <v>41407</v>
      </c>
      <c r="C12" s="23" t="s">
        <v>23</v>
      </c>
      <c r="D12" s="24" t="s">
        <v>22</v>
      </c>
      <c r="E12" s="25">
        <v>45040</v>
      </c>
      <c r="F12" s="26">
        <v>44865</v>
      </c>
      <c r="G12" s="25">
        <v>30</v>
      </c>
      <c r="H12" s="29">
        <v>5250</v>
      </c>
      <c r="I12" s="20"/>
    </row>
    <row r="13" spans="1:10" x14ac:dyDescent="0.3">
      <c r="A13" s="20"/>
      <c r="B13" s="5">
        <v>41408</v>
      </c>
      <c r="C13" s="23" t="s">
        <v>23</v>
      </c>
      <c r="D13" s="24" t="s">
        <v>24</v>
      </c>
      <c r="E13" s="25">
        <v>26910</v>
      </c>
      <c r="F13" s="26">
        <v>26810</v>
      </c>
      <c r="G13" s="25">
        <v>100</v>
      </c>
      <c r="H13" s="29">
        <v>10000</v>
      </c>
      <c r="I13" s="20"/>
    </row>
    <row r="14" spans="1:10" x14ac:dyDescent="0.3">
      <c r="A14" s="20"/>
      <c r="B14" s="5">
        <v>41409</v>
      </c>
      <c r="C14" s="23" t="s">
        <v>23</v>
      </c>
      <c r="D14" s="24" t="s">
        <v>22</v>
      </c>
      <c r="E14" s="25">
        <v>43850</v>
      </c>
      <c r="F14" s="26">
        <v>43450</v>
      </c>
      <c r="G14" s="25">
        <v>30</v>
      </c>
      <c r="H14" s="29">
        <v>12000</v>
      </c>
      <c r="I14" s="20"/>
    </row>
    <row r="15" spans="1:10" x14ac:dyDescent="0.3">
      <c r="A15" s="20"/>
      <c r="B15" s="5">
        <v>41410</v>
      </c>
      <c r="C15" s="23" t="s">
        <v>23</v>
      </c>
      <c r="D15" s="24" t="s">
        <v>22</v>
      </c>
      <c r="E15" s="25">
        <v>42900</v>
      </c>
      <c r="F15" s="26">
        <v>42710</v>
      </c>
      <c r="G15" s="25">
        <v>30</v>
      </c>
      <c r="H15" s="29">
        <v>5700</v>
      </c>
      <c r="I15" s="20"/>
    </row>
    <row r="16" spans="1:10" x14ac:dyDescent="0.3">
      <c r="A16" s="20"/>
      <c r="B16" s="5">
        <v>41411</v>
      </c>
      <c r="C16" s="23" t="s">
        <v>23</v>
      </c>
      <c r="D16" s="24" t="s">
        <v>24</v>
      </c>
      <c r="E16" s="25">
        <v>26075</v>
      </c>
      <c r="F16" s="26">
        <v>26020</v>
      </c>
      <c r="G16" s="25">
        <v>100</v>
      </c>
      <c r="H16" s="29">
        <v>5500</v>
      </c>
      <c r="I16" s="20"/>
    </row>
    <row r="17" spans="1:9" x14ac:dyDescent="0.3">
      <c r="A17" s="20"/>
      <c r="B17" s="5">
        <v>41414</v>
      </c>
      <c r="C17" s="23" t="s">
        <v>23</v>
      </c>
      <c r="D17" s="24" t="s">
        <v>22</v>
      </c>
      <c r="E17" s="25">
        <v>40900</v>
      </c>
      <c r="F17" s="26">
        <v>41200</v>
      </c>
      <c r="G17" s="25">
        <v>30</v>
      </c>
      <c r="H17" s="29">
        <v>-9000</v>
      </c>
      <c r="I17" s="20"/>
    </row>
    <row r="18" spans="1:9" x14ac:dyDescent="0.3">
      <c r="A18" s="20"/>
      <c r="B18" s="5">
        <v>41415</v>
      </c>
      <c r="C18" s="23" t="s">
        <v>16</v>
      </c>
      <c r="D18" s="24" t="s">
        <v>24</v>
      </c>
      <c r="E18" s="25">
        <v>26250</v>
      </c>
      <c r="F18" s="26">
        <v>26200</v>
      </c>
      <c r="G18" s="25">
        <v>100</v>
      </c>
      <c r="H18" s="29">
        <v>-5000</v>
      </c>
      <c r="I18" s="20"/>
    </row>
    <row r="19" spans="1:9" x14ac:dyDescent="0.3">
      <c r="A19" s="20"/>
      <c r="B19" s="5">
        <v>41416</v>
      </c>
      <c r="C19" s="23" t="s">
        <v>16</v>
      </c>
      <c r="D19" s="24" t="s">
        <v>22</v>
      </c>
      <c r="E19" s="25">
        <v>43120</v>
      </c>
      <c r="F19" s="26">
        <v>43500</v>
      </c>
      <c r="G19" s="25">
        <v>30</v>
      </c>
      <c r="H19" s="29">
        <v>11400</v>
      </c>
      <c r="I19" s="20"/>
    </row>
    <row r="20" spans="1:9" x14ac:dyDescent="0.3">
      <c r="A20" s="20"/>
      <c r="B20" s="5">
        <v>41417</v>
      </c>
      <c r="C20" s="23" t="s">
        <v>16</v>
      </c>
      <c r="D20" s="24" t="s">
        <v>24</v>
      </c>
      <c r="E20" s="25">
        <v>26070</v>
      </c>
      <c r="F20" s="26">
        <v>26175</v>
      </c>
      <c r="G20" s="25">
        <v>100</v>
      </c>
      <c r="H20" s="29">
        <v>10500</v>
      </c>
      <c r="I20" s="20"/>
    </row>
    <row r="21" spans="1:9" x14ac:dyDescent="0.3">
      <c r="A21" s="20"/>
      <c r="B21" s="5">
        <v>41418</v>
      </c>
      <c r="C21" s="23" t="s">
        <v>23</v>
      </c>
      <c r="D21" s="24" t="s">
        <v>24</v>
      </c>
      <c r="E21" s="25">
        <v>26400</v>
      </c>
      <c r="F21" s="26">
        <v>26280</v>
      </c>
      <c r="G21" s="25">
        <v>100</v>
      </c>
      <c r="H21" s="29">
        <v>12000</v>
      </c>
      <c r="I21" s="20"/>
    </row>
    <row r="22" spans="1:9" x14ac:dyDescent="0.3">
      <c r="A22" s="20"/>
      <c r="B22" s="5">
        <v>41421</v>
      </c>
      <c r="C22" s="23" t="s">
        <v>23</v>
      </c>
      <c r="D22" s="24" t="s">
        <v>24</v>
      </c>
      <c r="E22" s="25">
        <v>26430</v>
      </c>
      <c r="F22" s="26">
        <v>26410</v>
      </c>
      <c r="G22" s="25">
        <v>100</v>
      </c>
      <c r="H22" s="29">
        <v>2000</v>
      </c>
      <c r="I22" s="20"/>
    </row>
    <row r="23" spans="1:9" x14ac:dyDescent="0.3">
      <c r="A23" s="20"/>
      <c r="B23" s="5">
        <v>41422</v>
      </c>
      <c r="C23" s="23" t="s">
        <v>23</v>
      </c>
      <c r="D23" s="24" t="s">
        <v>24</v>
      </c>
      <c r="E23" s="25">
        <v>26380</v>
      </c>
      <c r="F23" s="26">
        <v>26260</v>
      </c>
      <c r="G23" s="25">
        <v>100</v>
      </c>
      <c r="H23" s="29">
        <v>12000</v>
      </c>
      <c r="I23" s="20"/>
    </row>
    <row r="24" spans="1:9" x14ac:dyDescent="0.3">
      <c r="A24" s="20"/>
      <c r="B24" s="5">
        <v>41423</v>
      </c>
      <c r="C24" s="23" t="s">
        <v>23</v>
      </c>
      <c r="D24" s="24" t="s">
        <v>24</v>
      </c>
      <c r="E24" s="25">
        <v>26460</v>
      </c>
      <c r="F24" s="26">
        <v>26415</v>
      </c>
      <c r="G24" s="25">
        <v>100</v>
      </c>
      <c r="H24" s="29">
        <v>4500</v>
      </c>
      <c r="I24" s="20"/>
    </row>
    <row r="25" spans="1:9" x14ac:dyDescent="0.3">
      <c r="A25" s="20"/>
      <c r="B25" s="5">
        <v>41424</v>
      </c>
      <c r="C25" s="23" t="s">
        <v>16</v>
      </c>
      <c r="D25" s="24" t="s">
        <v>24</v>
      </c>
      <c r="E25" s="25">
        <v>26670</v>
      </c>
      <c r="F25" s="26">
        <v>26810</v>
      </c>
      <c r="G25" s="25">
        <v>100</v>
      </c>
      <c r="H25" s="29">
        <v>14000</v>
      </c>
      <c r="I25" s="20"/>
    </row>
    <row r="26" spans="1:9" x14ac:dyDescent="0.3">
      <c r="A26" s="20"/>
      <c r="B26" s="5">
        <v>41425</v>
      </c>
      <c r="C26" s="23" t="s">
        <v>16</v>
      </c>
      <c r="D26" s="24" t="s">
        <v>24</v>
      </c>
      <c r="E26" s="25">
        <v>27240</v>
      </c>
      <c r="F26" s="26">
        <v>27305</v>
      </c>
      <c r="G26" s="25">
        <v>100</v>
      </c>
      <c r="H26" s="29">
        <v>6500</v>
      </c>
      <c r="I26" s="20"/>
    </row>
    <row r="27" spans="1:9" x14ac:dyDescent="0.3">
      <c r="A27" s="20"/>
      <c r="B27" s="31"/>
      <c r="C27" s="31"/>
      <c r="D27" s="31"/>
      <c r="E27" s="31"/>
      <c r="F27" s="31"/>
      <c r="G27" s="31"/>
      <c r="H27" s="32">
        <v>170500</v>
      </c>
      <c r="I27" s="20"/>
    </row>
    <row r="28" spans="1:9" ht="15.6" x14ac:dyDescent="0.3">
      <c r="A28" s="20"/>
      <c r="B28" s="295" t="s">
        <v>47</v>
      </c>
      <c r="C28" s="295"/>
      <c r="D28" s="295"/>
      <c r="E28" s="295"/>
      <c r="F28" s="295"/>
      <c r="G28" s="295"/>
      <c r="H28" s="295"/>
      <c r="I28" s="20"/>
    </row>
    <row r="29" spans="1:9" x14ac:dyDescent="0.3">
      <c r="A29" s="20"/>
      <c r="B29" s="5">
        <v>41396</v>
      </c>
      <c r="C29" s="23" t="s">
        <v>16</v>
      </c>
      <c r="D29" s="23" t="s">
        <v>26</v>
      </c>
      <c r="E29" s="26">
        <v>233.5</v>
      </c>
      <c r="F29" s="26">
        <v>235</v>
      </c>
      <c r="G29" s="25">
        <v>1250</v>
      </c>
      <c r="H29" s="29">
        <v>1875</v>
      </c>
      <c r="I29" s="20"/>
    </row>
    <row r="30" spans="1:9" x14ac:dyDescent="0.3">
      <c r="A30" s="20"/>
      <c r="B30" s="5">
        <v>41397</v>
      </c>
      <c r="C30" s="23" t="s">
        <v>16</v>
      </c>
      <c r="D30" s="24" t="s">
        <v>25</v>
      </c>
      <c r="E30" s="26">
        <v>5055</v>
      </c>
      <c r="F30" s="26">
        <v>5088</v>
      </c>
      <c r="G30" s="25">
        <v>100</v>
      </c>
      <c r="H30" s="29">
        <v>3300</v>
      </c>
      <c r="I30" s="20"/>
    </row>
    <row r="31" spans="1:9" x14ac:dyDescent="0.3">
      <c r="A31" s="20"/>
      <c r="B31" s="5">
        <v>41400</v>
      </c>
      <c r="C31" s="23" t="s">
        <v>16</v>
      </c>
      <c r="D31" s="24" t="s">
        <v>25</v>
      </c>
      <c r="E31" s="26">
        <v>5190</v>
      </c>
      <c r="F31" s="26">
        <v>5210</v>
      </c>
      <c r="G31" s="25">
        <v>100</v>
      </c>
      <c r="H31" s="29">
        <v>2000</v>
      </c>
      <c r="I31" s="20"/>
    </row>
    <row r="32" spans="1:9" x14ac:dyDescent="0.3">
      <c r="A32" s="20"/>
      <c r="B32" s="5">
        <v>41401</v>
      </c>
      <c r="C32" s="23" t="s">
        <v>16</v>
      </c>
      <c r="D32" s="24" t="s">
        <v>25</v>
      </c>
      <c r="E32" s="26">
        <v>5165</v>
      </c>
      <c r="F32" s="26">
        <v>5194</v>
      </c>
      <c r="G32" s="25">
        <v>100</v>
      </c>
      <c r="H32" s="29">
        <v>2900</v>
      </c>
      <c r="I32" s="20"/>
    </row>
    <row r="33" spans="1:9" x14ac:dyDescent="0.3">
      <c r="A33" s="20"/>
      <c r="B33" s="5">
        <v>41402</v>
      </c>
      <c r="C33" s="23" t="s">
        <v>23</v>
      </c>
      <c r="D33" s="24" t="s">
        <v>25</v>
      </c>
      <c r="E33" s="26">
        <v>5175</v>
      </c>
      <c r="F33" s="26">
        <v>5156</v>
      </c>
      <c r="G33" s="25">
        <v>100</v>
      </c>
      <c r="H33" s="29">
        <v>1900</v>
      </c>
      <c r="I33" s="20"/>
    </row>
    <row r="34" spans="1:9" x14ac:dyDescent="0.3">
      <c r="A34" s="20"/>
      <c r="B34" s="5">
        <v>41403</v>
      </c>
      <c r="C34" s="23" t="s">
        <v>16</v>
      </c>
      <c r="D34" s="24" t="s">
        <v>25</v>
      </c>
      <c r="E34" s="26">
        <v>5230</v>
      </c>
      <c r="F34" s="26">
        <v>5205</v>
      </c>
      <c r="G34" s="25">
        <v>100</v>
      </c>
      <c r="H34" s="29">
        <v>-2500</v>
      </c>
      <c r="I34" s="20"/>
    </row>
    <row r="35" spans="1:9" x14ac:dyDescent="0.3">
      <c r="A35" s="20"/>
      <c r="B35" s="5">
        <v>41404</v>
      </c>
      <c r="C35" s="23" t="s">
        <v>16</v>
      </c>
      <c r="D35" s="24" t="s">
        <v>25</v>
      </c>
      <c r="E35" s="26">
        <v>5220</v>
      </c>
      <c r="F35" s="26">
        <v>5248</v>
      </c>
      <c r="G35" s="25">
        <v>100</v>
      </c>
      <c r="H35" s="29">
        <v>2800</v>
      </c>
      <c r="I35" s="20"/>
    </row>
    <row r="36" spans="1:9" x14ac:dyDescent="0.3">
      <c r="A36" s="20"/>
      <c r="B36" s="5">
        <v>41407</v>
      </c>
      <c r="C36" s="23" t="s">
        <v>23</v>
      </c>
      <c r="D36" s="24" t="s">
        <v>25</v>
      </c>
      <c r="E36" s="26">
        <v>5235</v>
      </c>
      <c r="F36" s="26">
        <v>5216</v>
      </c>
      <c r="G36" s="25">
        <v>100</v>
      </c>
      <c r="H36" s="29">
        <v>1900</v>
      </c>
      <c r="I36" s="20"/>
    </row>
    <row r="37" spans="1:9" x14ac:dyDescent="0.3">
      <c r="A37" s="20"/>
      <c r="B37" s="5">
        <v>41408</v>
      </c>
      <c r="C37" s="23" t="s">
        <v>23</v>
      </c>
      <c r="D37" s="24" t="s">
        <v>25</v>
      </c>
      <c r="E37" s="26">
        <v>5225</v>
      </c>
      <c r="F37" s="26">
        <v>5195</v>
      </c>
      <c r="G37" s="25">
        <v>100</v>
      </c>
      <c r="H37" s="29">
        <v>3000</v>
      </c>
      <c r="I37" s="20"/>
    </row>
    <row r="38" spans="1:9" x14ac:dyDescent="0.3">
      <c r="A38" s="20"/>
      <c r="B38" s="5">
        <v>41409</v>
      </c>
      <c r="C38" s="23" t="s">
        <v>23</v>
      </c>
      <c r="D38" s="24" t="s">
        <v>25</v>
      </c>
      <c r="E38" s="26">
        <v>5171</v>
      </c>
      <c r="F38" s="26">
        <v>5141</v>
      </c>
      <c r="G38" s="25">
        <v>100</v>
      </c>
      <c r="H38" s="29">
        <v>3000</v>
      </c>
      <c r="I38" s="20"/>
    </row>
    <row r="39" spans="1:9" x14ac:dyDescent="0.3">
      <c r="A39" s="20"/>
      <c r="B39" s="5">
        <v>41410</v>
      </c>
      <c r="C39" s="23" t="s">
        <v>23</v>
      </c>
      <c r="D39" s="24" t="s">
        <v>25</v>
      </c>
      <c r="E39" s="26">
        <v>5175</v>
      </c>
      <c r="F39" s="29">
        <v>5153</v>
      </c>
      <c r="G39" s="25">
        <v>100</v>
      </c>
      <c r="H39" s="29">
        <v>2200</v>
      </c>
      <c r="I39" s="20"/>
    </row>
    <row r="40" spans="1:9" x14ac:dyDescent="0.3">
      <c r="A40" s="20"/>
      <c r="B40" s="5">
        <v>41411</v>
      </c>
      <c r="C40" s="23" t="s">
        <v>23</v>
      </c>
      <c r="D40" s="24" t="s">
        <v>25</v>
      </c>
      <c r="E40" s="26">
        <v>5284</v>
      </c>
      <c r="F40" s="26">
        <v>5271</v>
      </c>
      <c r="G40" s="25">
        <v>100</v>
      </c>
      <c r="H40" s="29">
        <v>1300</v>
      </c>
      <c r="I40" s="20"/>
    </row>
    <row r="41" spans="1:9" x14ac:dyDescent="0.3">
      <c r="A41" s="20"/>
      <c r="B41" s="5">
        <v>41414</v>
      </c>
      <c r="C41" s="23" t="s">
        <v>23</v>
      </c>
      <c r="D41" s="24" t="s">
        <v>25</v>
      </c>
      <c r="E41" s="26">
        <v>5280</v>
      </c>
      <c r="F41" s="26">
        <v>5250</v>
      </c>
      <c r="G41" s="25">
        <v>100</v>
      </c>
      <c r="H41" s="29">
        <v>3000</v>
      </c>
      <c r="I41" s="20"/>
    </row>
    <row r="42" spans="1:9" x14ac:dyDescent="0.3">
      <c r="A42" s="20"/>
      <c r="B42" s="5">
        <v>41415</v>
      </c>
      <c r="C42" s="23" t="s">
        <v>23</v>
      </c>
      <c r="D42" s="24" t="s">
        <v>25</v>
      </c>
      <c r="E42" s="26">
        <v>5362</v>
      </c>
      <c r="F42" s="26">
        <v>5382</v>
      </c>
      <c r="G42" s="25">
        <v>100</v>
      </c>
      <c r="H42" s="29">
        <v>-2000</v>
      </c>
      <c r="I42" s="20"/>
    </row>
    <row r="43" spans="1:9" x14ac:dyDescent="0.3">
      <c r="A43" s="20"/>
      <c r="B43" s="5">
        <v>41416</v>
      </c>
      <c r="C43" s="23" t="s">
        <v>23</v>
      </c>
      <c r="D43" s="23" t="s">
        <v>26</v>
      </c>
      <c r="E43" s="26">
        <v>234.5</v>
      </c>
      <c r="F43" s="26">
        <v>232.4</v>
      </c>
      <c r="G43" s="25">
        <v>1250</v>
      </c>
      <c r="H43" s="29">
        <v>2624.9999999999927</v>
      </c>
      <c r="I43" s="20"/>
    </row>
    <row r="44" spans="1:9" x14ac:dyDescent="0.3">
      <c r="A44" s="20"/>
      <c r="B44" s="5">
        <v>41417</v>
      </c>
      <c r="C44" s="23" t="s">
        <v>23</v>
      </c>
      <c r="D44" s="24" t="s">
        <v>25</v>
      </c>
      <c r="E44" s="26">
        <v>5250</v>
      </c>
      <c r="F44" s="26">
        <v>5211</v>
      </c>
      <c r="G44" s="25">
        <v>100</v>
      </c>
      <c r="H44" s="29">
        <v>3900</v>
      </c>
      <c r="I44" s="20"/>
    </row>
    <row r="45" spans="1:9" x14ac:dyDescent="0.3">
      <c r="A45" s="20"/>
      <c r="B45" s="5">
        <v>41418</v>
      </c>
      <c r="C45" s="23" t="s">
        <v>16</v>
      </c>
      <c r="D45" s="24" t="s">
        <v>25</v>
      </c>
      <c r="E45" s="26">
        <v>5235</v>
      </c>
      <c r="F45" s="26">
        <v>5241</v>
      </c>
      <c r="G45" s="25">
        <v>100</v>
      </c>
      <c r="H45" s="29">
        <v>600</v>
      </c>
      <c r="I45" s="20"/>
    </row>
    <row r="46" spans="1:9" x14ac:dyDescent="0.3">
      <c r="A46" s="20"/>
      <c r="B46" s="5">
        <v>41421</v>
      </c>
      <c r="C46" s="23" t="s">
        <v>23</v>
      </c>
      <c r="D46" s="23" t="s">
        <v>26</v>
      </c>
      <c r="E46" s="26">
        <v>236.3</v>
      </c>
      <c r="F46" s="26">
        <v>235.3</v>
      </c>
      <c r="G46" s="25">
        <v>1250</v>
      </c>
      <c r="H46" s="29">
        <v>1250</v>
      </c>
      <c r="I46" s="20"/>
    </row>
    <row r="47" spans="1:9" x14ac:dyDescent="0.3">
      <c r="A47" s="20"/>
      <c r="B47" s="5">
        <v>41422</v>
      </c>
      <c r="C47" s="23" t="s">
        <v>23</v>
      </c>
      <c r="D47" s="24" t="s">
        <v>25</v>
      </c>
      <c r="E47" s="26">
        <v>5235</v>
      </c>
      <c r="F47" s="26">
        <v>5255</v>
      </c>
      <c r="G47" s="25">
        <v>100</v>
      </c>
      <c r="H47" s="29">
        <v>-2000</v>
      </c>
      <c r="I47" s="20"/>
    </row>
    <row r="48" spans="1:9" x14ac:dyDescent="0.3">
      <c r="A48" s="20"/>
      <c r="B48" s="5">
        <v>41423</v>
      </c>
      <c r="C48" s="23" t="s">
        <v>23</v>
      </c>
      <c r="D48" s="24" t="s">
        <v>25</v>
      </c>
      <c r="E48" s="26">
        <v>5335</v>
      </c>
      <c r="F48" s="26">
        <v>5320</v>
      </c>
      <c r="G48" s="25">
        <v>100</v>
      </c>
      <c r="H48" s="29">
        <v>1500</v>
      </c>
      <c r="I48" s="20"/>
    </row>
    <row r="49" spans="1:9" x14ac:dyDescent="0.3">
      <c r="A49" s="20"/>
      <c r="B49" s="5">
        <v>41424</v>
      </c>
      <c r="C49" s="23" t="s">
        <v>23</v>
      </c>
      <c r="D49" s="24" t="s">
        <v>25</v>
      </c>
      <c r="E49" s="26">
        <v>5240</v>
      </c>
      <c r="F49" s="26">
        <v>5232</v>
      </c>
      <c r="G49" s="25">
        <v>100</v>
      </c>
      <c r="H49" s="29">
        <v>800</v>
      </c>
      <c r="I49" s="20"/>
    </row>
    <row r="50" spans="1:9" x14ac:dyDescent="0.3">
      <c r="A50" s="20"/>
      <c r="B50" s="34"/>
      <c r="C50" s="23"/>
      <c r="D50" s="24"/>
      <c r="E50" s="25"/>
      <c r="F50" s="26"/>
      <c r="G50" s="25"/>
      <c r="H50" s="33">
        <v>33350</v>
      </c>
      <c r="I50" s="20"/>
    </row>
    <row r="51" spans="1:9" x14ac:dyDescent="0.3">
      <c r="A51" s="20"/>
      <c r="B51" s="18"/>
      <c r="C51" s="18"/>
      <c r="D51" s="18"/>
      <c r="E51" s="18"/>
      <c r="F51" s="18"/>
      <c r="G51" s="18"/>
      <c r="H51" s="18"/>
      <c r="I51" s="20"/>
    </row>
    <row r="52" spans="1:9" ht="15.6" x14ac:dyDescent="0.3">
      <c r="A52" s="20"/>
      <c r="B52" s="295" t="s">
        <v>48</v>
      </c>
      <c r="C52" s="295"/>
      <c r="D52" s="295"/>
      <c r="E52" s="295"/>
      <c r="F52" s="295"/>
      <c r="G52" s="295"/>
      <c r="H52" s="295"/>
      <c r="I52" s="20"/>
    </row>
    <row r="53" spans="1:9" x14ac:dyDescent="0.3">
      <c r="A53" s="20"/>
      <c r="B53" s="5">
        <v>41396</v>
      </c>
      <c r="C53" s="23" t="s">
        <v>16</v>
      </c>
      <c r="D53" s="24" t="s">
        <v>27</v>
      </c>
      <c r="E53" s="26">
        <v>106.4</v>
      </c>
      <c r="F53" s="26">
        <v>107.35</v>
      </c>
      <c r="G53" s="25">
        <v>5000</v>
      </c>
      <c r="H53" s="29">
        <v>4749.9999999999436</v>
      </c>
      <c r="I53" s="20"/>
    </row>
    <row r="54" spans="1:9" x14ac:dyDescent="0.3">
      <c r="A54" s="20"/>
      <c r="B54" s="5">
        <v>41397</v>
      </c>
      <c r="C54" s="23" t="s">
        <v>16</v>
      </c>
      <c r="D54" s="24" t="s">
        <v>27</v>
      </c>
      <c r="E54" s="26">
        <v>106.4</v>
      </c>
      <c r="F54" s="26">
        <v>107.35</v>
      </c>
      <c r="G54" s="25">
        <v>5000</v>
      </c>
      <c r="H54" s="29">
        <v>4749.9999999999436</v>
      </c>
      <c r="I54" s="20"/>
    </row>
    <row r="55" spans="1:9" x14ac:dyDescent="0.3">
      <c r="A55" s="20"/>
      <c r="B55" s="5">
        <v>41400</v>
      </c>
      <c r="C55" s="23" t="s">
        <v>16</v>
      </c>
      <c r="D55" s="24" t="s">
        <v>27</v>
      </c>
      <c r="E55" s="26">
        <v>109.7</v>
      </c>
      <c r="F55" s="29">
        <v>110.65</v>
      </c>
      <c r="G55" s="25">
        <v>5000</v>
      </c>
      <c r="H55" s="29">
        <v>4750.0000000000146</v>
      </c>
      <c r="I55" s="20"/>
    </row>
    <row r="56" spans="1:9" x14ac:dyDescent="0.3">
      <c r="A56" s="20"/>
      <c r="B56" s="5">
        <v>41401</v>
      </c>
      <c r="C56" s="23" t="s">
        <v>16</v>
      </c>
      <c r="D56" s="24" t="s">
        <v>27</v>
      </c>
      <c r="E56" s="26">
        <v>110</v>
      </c>
      <c r="F56" s="29">
        <v>110.55</v>
      </c>
      <c r="G56" s="25">
        <v>5000</v>
      </c>
      <c r="H56" s="29">
        <v>2749.9999999999859</v>
      </c>
      <c r="I56" s="20"/>
    </row>
    <row r="57" spans="1:9" x14ac:dyDescent="0.3">
      <c r="A57" s="20"/>
      <c r="B57" s="5">
        <v>41402</v>
      </c>
      <c r="C57" s="23" t="s">
        <v>23</v>
      </c>
      <c r="D57" s="24" t="s">
        <v>35</v>
      </c>
      <c r="E57" s="26">
        <v>821</v>
      </c>
      <c r="F57" s="29">
        <v>827</v>
      </c>
      <c r="G57" s="25">
        <v>250</v>
      </c>
      <c r="H57" s="29">
        <v>-1500</v>
      </c>
      <c r="I57" s="20"/>
    </row>
    <row r="58" spans="1:9" x14ac:dyDescent="0.3">
      <c r="A58" s="20"/>
      <c r="B58" s="5">
        <v>41403</v>
      </c>
      <c r="C58" s="23" t="s">
        <v>16</v>
      </c>
      <c r="D58" s="24" t="s">
        <v>28</v>
      </c>
      <c r="E58" s="26">
        <v>101.1</v>
      </c>
      <c r="F58" s="29">
        <v>101.8</v>
      </c>
      <c r="G58" s="25">
        <v>5000</v>
      </c>
      <c r="H58" s="29">
        <v>3500.0000000000141</v>
      </c>
      <c r="I58" s="20"/>
    </row>
    <row r="59" spans="1:9" x14ac:dyDescent="0.3">
      <c r="A59" s="20"/>
      <c r="B59" s="5">
        <v>41404</v>
      </c>
      <c r="C59" s="23" t="s">
        <v>16</v>
      </c>
      <c r="D59" s="24" t="s">
        <v>27</v>
      </c>
      <c r="E59" s="26">
        <v>109.2</v>
      </c>
      <c r="F59" s="29">
        <v>110.15</v>
      </c>
      <c r="G59" s="25">
        <v>5000</v>
      </c>
      <c r="H59" s="29">
        <v>4750.0000000000146</v>
      </c>
      <c r="I59" s="20"/>
    </row>
    <row r="60" spans="1:9" x14ac:dyDescent="0.3">
      <c r="A60" s="20"/>
      <c r="B60" s="5">
        <v>41407</v>
      </c>
      <c r="C60" s="23" t="s">
        <v>23</v>
      </c>
      <c r="D60" s="24" t="s">
        <v>35</v>
      </c>
      <c r="E60" s="26">
        <v>847</v>
      </c>
      <c r="F60" s="29">
        <v>836</v>
      </c>
      <c r="G60" s="25">
        <v>250</v>
      </c>
      <c r="H60" s="29">
        <v>2750</v>
      </c>
      <c r="I60" s="20"/>
    </row>
    <row r="61" spans="1:9" x14ac:dyDescent="0.3">
      <c r="A61" s="20"/>
      <c r="B61" s="5">
        <v>41408</v>
      </c>
      <c r="C61" s="23" t="s">
        <v>23</v>
      </c>
      <c r="D61" s="24" t="s">
        <v>27</v>
      </c>
      <c r="E61" s="26">
        <v>109.6</v>
      </c>
      <c r="F61" s="29">
        <v>108.7</v>
      </c>
      <c r="G61" s="25">
        <v>5000</v>
      </c>
      <c r="H61" s="29">
        <v>4499.9999999999573</v>
      </c>
      <c r="I61" s="20"/>
    </row>
    <row r="62" spans="1:9" x14ac:dyDescent="0.3">
      <c r="A62" s="20"/>
      <c r="B62" s="5">
        <v>41409</v>
      </c>
      <c r="C62" s="23" t="s">
        <v>23</v>
      </c>
      <c r="D62" s="24" t="s">
        <v>28</v>
      </c>
      <c r="E62" s="26">
        <v>100.4</v>
      </c>
      <c r="F62" s="29">
        <v>99.2</v>
      </c>
      <c r="G62" s="25">
        <v>5000</v>
      </c>
      <c r="H62" s="29">
        <v>6000.0000000000146</v>
      </c>
      <c r="I62" s="20"/>
    </row>
    <row r="63" spans="1:9" x14ac:dyDescent="0.3">
      <c r="A63" s="20"/>
      <c r="B63" s="5">
        <v>41410</v>
      </c>
      <c r="C63" s="23" t="s">
        <v>23</v>
      </c>
      <c r="D63" s="24" t="s">
        <v>29</v>
      </c>
      <c r="E63" s="26">
        <v>396.5</v>
      </c>
      <c r="F63" s="26">
        <v>393.85</v>
      </c>
      <c r="G63" s="25">
        <v>1000</v>
      </c>
      <c r="H63" s="29">
        <v>2649.9999999999773</v>
      </c>
      <c r="I63" s="20"/>
    </row>
    <row r="64" spans="1:9" x14ac:dyDescent="0.3">
      <c r="A64" s="20"/>
      <c r="B64" s="5">
        <v>41411</v>
      </c>
      <c r="C64" s="23" t="s">
        <v>16</v>
      </c>
      <c r="D64" s="24" t="s">
        <v>28</v>
      </c>
      <c r="E64" s="26">
        <v>100.45</v>
      </c>
      <c r="F64" s="29">
        <v>100.75</v>
      </c>
      <c r="G64" s="25">
        <v>5000</v>
      </c>
      <c r="H64" s="29">
        <v>1499.9999999999859</v>
      </c>
      <c r="I64" s="20"/>
    </row>
    <row r="65" spans="1:9" x14ac:dyDescent="0.3">
      <c r="A65" s="20"/>
      <c r="B65" s="5">
        <v>41414</v>
      </c>
      <c r="C65" s="23" t="s">
        <v>23</v>
      </c>
      <c r="D65" s="24" t="s">
        <v>35</v>
      </c>
      <c r="E65" s="25">
        <v>816</v>
      </c>
      <c r="F65" s="26">
        <v>825</v>
      </c>
      <c r="G65" s="25">
        <v>250</v>
      </c>
      <c r="H65" s="29">
        <v>-2250</v>
      </c>
      <c r="I65" s="20"/>
    </row>
    <row r="66" spans="1:9" x14ac:dyDescent="0.3">
      <c r="A66" s="20"/>
      <c r="B66" s="5">
        <v>41415</v>
      </c>
      <c r="C66" s="23" t="s">
        <v>16</v>
      </c>
      <c r="D66" s="24" t="s">
        <v>29</v>
      </c>
      <c r="E66" s="26">
        <v>408.5</v>
      </c>
      <c r="F66" s="26">
        <v>411.7</v>
      </c>
      <c r="G66" s="25">
        <v>1000</v>
      </c>
      <c r="H66" s="29">
        <v>3199.9999999999886</v>
      </c>
      <c r="I66" s="20"/>
    </row>
    <row r="67" spans="1:9" x14ac:dyDescent="0.3">
      <c r="A67" s="20"/>
      <c r="B67" s="5">
        <v>41416</v>
      </c>
      <c r="C67" s="23" t="s">
        <v>16</v>
      </c>
      <c r="D67" s="24" t="s">
        <v>27</v>
      </c>
      <c r="E67" s="26">
        <v>113.4</v>
      </c>
      <c r="F67" s="29">
        <v>114.25</v>
      </c>
      <c r="G67" s="25">
        <v>5000</v>
      </c>
      <c r="H67" s="29">
        <v>4249.9999999999718</v>
      </c>
      <c r="I67" s="20"/>
    </row>
    <row r="68" spans="1:9" x14ac:dyDescent="0.3">
      <c r="A68" s="20"/>
      <c r="B68" s="5">
        <v>41417</v>
      </c>
      <c r="C68" s="23" t="s">
        <v>16</v>
      </c>
      <c r="D68" s="24" t="s">
        <v>27</v>
      </c>
      <c r="E68" s="26">
        <v>112.6</v>
      </c>
      <c r="F68" s="29">
        <v>113</v>
      </c>
      <c r="G68" s="25">
        <v>5000</v>
      </c>
      <c r="H68" s="29">
        <v>2000.0000000000284</v>
      </c>
      <c r="I68" s="20"/>
    </row>
    <row r="69" spans="1:9" x14ac:dyDescent="0.3">
      <c r="A69" s="20"/>
      <c r="B69" s="5">
        <v>41418</v>
      </c>
      <c r="C69" s="23" t="s">
        <v>16</v>
      </c>
      <c r="D69" s="24" t="s">
        <v>29</v>
      </c>
      <c r="E69" s="26">
        <v>407.5</v>
      </c>
      <c r="F69" s="29">
        <v>408</v>
      </c>
      <c r="G69" s="25">
        <v>1000</v>
      </c>
      <c r="H69" s="29">
        <v>500</v>
      </c>
      <c r="I69" s="20"/>
    </row>
    <row r="70" spans="1:9" x14ac:dyDescent="0.3">
      <c r="A70" s="20"/>
      <c r="B70" s="5">
        <v>41421</v>
      </c>
      <c r="C70" s="23" t="s">
        <v>23</v>
      </c>
      <c r="D70" s="24" t="s">
        <v>27</v>
      </c>
      <c r="E70" s="26">
        <v>115.5</v>
      </c>
      <c r="F70" s="29">
        <v>115.1</v>
      </c>
      <c r="G70" s="25">
        <v>5000</v>
      </c>
      <c r="H70" s="29">
        <v>2000.0000000000284</v>
      </c>
      <c r="I70" s="20"/>
    </row>
    <row r="71" spans="1:9" x14ac:dyDescent="0.3">
      <c r="A71" s="20"/>
      <c r="B71" s="5">
        <v>41422</v>
      </c>
      <c r="C71" s="23" t="s">
        <v>16</v>
      </c>
      <c r="D71" s="24" t="s">
        <v>29</v>
      </c>
      <c r="E71" s="26">
        <v>407</v>
      </c>
      <c r="F71" s="29">
        <v>411</v>
      </c>
      <c r="G71" s="25">
        <v>1000</v>
      </c>
      <c r="H71" s="29">
        <v>4000</v>
      </c>
      <c r="I71" s="20"/>
    </row>
    <row r="72" spans="1:9" x14ac:dyDescent="0.3">
      <c r="A72" s="20"/>
      <c r="B72" s="5">
        <v>41423</v>
      </c>
      <c r="C72" s="23" t="s">
        <v>23</v>
      </c>
      <c r="D72" s="24" t="s">
        <v>29</v>
      </c>
      <c r="E72" s="26">
        <v>411.5</v>
      </c>
      <c r="F72" s="29">
        <v>408.7</v>
      </c>
      <c r="G72" s="25">
        <v>1000</v>
      </c>
      <c r="H72" s="29">
        <v>2800.0000000000114</v>
      </c>
      <c r="I72" s="20"/>
    </row>
    <row r="73" spans="1:9" x14ac:dyDescent="0.3">
      <c r="A73" s="20"/>
      <c r="B73" s="5">
        <v>41424</v>
      </c>
      <c r="C73" s="23" t="s">
        <v>23</v>
      </c>
      <c r="D73" s="24" t="s">
        <v>27</v>
      </c>
      <c r="E73" s="26">
        <v>119.4</v>
      </c>
      <c r="F73" s="29">
        <v>120</v>
      </c>
      <c r="G73" s="25">
        <v>5000</v>
      </c>
      <c r="H73" s="29">
        <v>-2999.9999999999718</v>
      </c>
      <c r="I73" s="20"/>
    </row>
    <row r="74" spans="1:9" x14ac:dyDescent="0.3">
      <c r="A74" s="20"/>
      <c r="B74" s="5">
        <v>41425</v>
      </c>
      <c r="C74" s="23" t="s">
        <v>16</v>
      </c>
      <c r="D74" s="24" t="s">
        <v>29</v>
      </c>
      <c r="E74" s="26">
        <v>415</v>
      </c>
      <c r="F74" s="29">
        <v>412</v>
      </c>
      <c r="G74" s="25">
        <v>1000</v>
      </c>
      <c r="H74" s="29">
        <v>-3000</v>
      </c>
      <c r="I74" s="20"/>
    </row>
    <row r="75" spans="1:9" x14ac:dyDescent="0.3">
      <c r="A75" s="20"/>
      <c r="B75" s="31"/>
      <c r="C75" s="31"/>
      <c r="D75" s="31"/>
      <c r="E75" s="31"/>
      <c r="F75" s="31"/>
      <c r="G75" s="31"/>
      <c r="H75" s="32">
        <v>51650</v>
      </c>
      <c r="I75" s="20"/>
    </row>
    <row r="76" spans="1:9" x14ac:dyDescent="0.3">
      <c r="A76" s="20"/>
      <c r="B76" s="18"/>
      <c r="C76" s="18"/>
      <c r="D76" s="18"/>
      <c r="E76" s="18"/>
      <c r="F76" s="18"/>
      <c r="G76" s="18"/>
      <c r="H76" s="18"/>
      <c r="I76" s="20"/>
    </row>
    <row r="77" spans="1:9" x14ac:dyDescent="0.3">
      <c r="A77" s="20"/>
      <c r="B77" s="18"/>
      <c r="C77" s="18"/>
      <c r="D77" s="18"/>
      <c r="E77" s="18"/>
      <c r="F77" s="18"/>
      <c r="G77" s="18"/>
      <c r="H77" s="18"/>
      <c r="I77" s="20"/>
    </row>
    <row r="78" spans="1:9" x14ac:dyDescent="0.3">
      <c r="A78" s="20"/>
      <c r="B78" s="18"/>
      <c r="C78" s="18"/>
      <c r="D78" s="18"/>
      <c r="E78" s="18"/>
      <c r="F78" s="18"/>
      <c r="G78" s="18"/>
      <c r="H78" s="18"/>
      <c r="I78" s="20"/>
    </row>
    <row r="79" spans="1:9" x14ac:dyDescent="0.3">
      <c r="A79" s="20"/>
      <c r="B79" s="18"/>
      <c r="C79" s="18"/>
      <c r="D79" s="18"/>
      <c r="E79" s="18"/>
      <c r="F79" s="18"/>
      <c r="G79" s="18"/>
      <c r="H79" s="18"/>
      <c r="I79" s="20"/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500-000000000000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W92"/>
  <sheetViews>
    <sheetView topLeftCell="A70" workbookViewId="0">
      <selection activeCell="I90" sqref="I9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43040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22</v>
      </c>
      <c r="O4" s="355">
        <f>V29</f>
        <v>17</v>
      </c>
      <c r="P4" s="355">
        <f>W29</f>
        <v>5</v>
      </c>
      <c r="Q4" s="356">
        <f>N4-O4-P4</f>
        <v>0</v>
      </c>
      <c r="R4" s="343">
        <f>O4/N4</f>
        <v>0.77272727272727271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43040</v>
      </c>
      <c r="D6" s="192" t="s">
        <v>16</v>
      </c>
      <c r="E6" s="192" t="s">
        <v>24</v>
      </c>
      <c r="F6" s="193">
        <v>29180</v>
      </c>
      <c r="G6" s="193">
        <v>29320</v>
      </c>
      <c r="H6" s="192">
        <v>140</v>
      </c>
      <c r="I6" s="193">
        <v>100</v>
      </c>
      <c r="J6" s="267">
        <f>H6*I6</f>
        <v>14000</v>
      </c>
      <c r="K6" s="185"/>
      <c r="M6" s="362" t="s">
        <v>258</v>
      </c>
      <c r="N6" s="347">
        <f>COUNT(C37:C59)</f>
        <v>22</v>
      </c>
      <c r="O6" s="348">
        <f>V60</f>
        <v>14</v>
      </c>
      <c r="P6" s="348">
        <f>W60</f>
        <v>8</v>
      </c>
      <c r="Q6" s="349">
        <f>N6-O6-P6</f>
        <v>0</v>
      </c>
      <c r="R6" s="345">
        <f t="shared" ref="R6" si="0">O6/N6</f>
        <v>0.63636363636363635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43041</v>
      </c>
      <c r="D7" s="196" t="s">
        <v>16</v>
      </c>
      <c r="E7" s="196" t="s">
        <v>24</v>
      </c>
      <c r="F7" s="197">
        <v>29260</v>
      </c>
      <c r="G7" s="197">
        <v>29360</v>
      </c>
      <c r="H7" s="196">
        <v>100</v>
      </c>
      <c r="I7" s="197">
        <v>100</v>
      </c>
      <c r="J7" s="268">
        <f t="shared" ref="J7:J28" si="1">H7*I7</f>
        <v>10000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43042</v>
      </c>
      <c r="D8" s="196" t="s">
        <v>16</v>
      </c>
      <c r="E8" s="196" t="s">
        <v>24</v>
      </c>
      <c r="F8" s="197">
        <v>29220</v>
      </c>
      <c r="G8" s="197">
        <v>29120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COUNT(C68:C90)</f>
        <v>22</v>
      </c>
      <c r="O8" s="348">
        <f>V91</f>
        <v>15</v>
      </c>
      <c r="P8" s="348">
        <f>W91</f>
        <v>6</v>
      </c>
      <c r="Q8" s="349">
        <f>N8-O8-P8</f>
        <v>1</v>
      </c>
      <c r="R8" s="345">
        <f t="shared" ref="R8" si="4">O8/N8</f>
        <v>0.68181818181818177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43045</v>
      </c>
      <c r="D9" s="196" t="s">
        <v>16</v>
      </c>
      <c r="E9" s="196" t="s">
        <v>24</v>
      </c>
      <c r="F9" s="197">
        <v>29120</v>
      </c>
      <c r="G9" s="197">
        <v>29320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43046</v>
      </c>
      <c r="D10" s="196" t="s">
        <v>16</v>
      </c>
      <c r="E10" s="196" t="s">
        <v>24</v>
      </c>
      <c r="F10" s="197">
        <v>29350</v>
      </c>
      <c r="G10" s="197">
        <v>29450</v>
      </c>
      <c r="H10" s="196">
        <v>100</v>
      </c>
      <c r="I10" s="197">
        <v>100</v>
      </c>
      <c r="J10" s="268">
        <f t="shared" si="1"/>
        <v>10000</v>
      </c>
      <c r="K10" s="185"/>
      <c r="M10" s="319" t="s">
        <v>300</v>
      </c>
      <c r="N10" s="321">
        <f>SUM(N4:N9)</f>
        <v>66</v>
      </c>
      <c r="O10" s="321">
        <f>SUM(O4:O9)</f>
        <v>46</v>
      </c>
      <c r="P10" s="321">
        <f>SUM(P4:P9)</f>
        <v>19</v>
      </c>
      <c r="Q10" s="341">
        <f>SUM(Q4:Q9)</f>
        <v>1</v>
      </c>
      <c r="R10" s="343">
        <f t="shared" ref="R10" si="5">O10/N10</f>
        <v>0.69696969696969702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43047</v>
      </c>
      <c r="D11" s="196" t="s">
        <v>16</v>
      </c>
      <c r="E11" s="196" t="s">
        <v>24</v>
      </c>
      <c r="F11" s="197">
        <v>29420</v>
      </c>
      <c r="G11" s="197">
        <v>29550</v>
      </c>
      <c r="H11" s="196">
        <v>130</v>
      </c>
      <c r="I11" s="197">
        <v>100</v>
      </c>
      <c r="J11" s="268">
        <f t="shared" si="1"/>
        <v>13000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43048</v>
      </c>
      <c r="D12" s="196" t="s">
        <v>16</v>
      </c>
      <c r="E12" s="196" t="s">
        <v>24</v>
      </c>
      <c r="F12" s="197">
        <v>29520</v>
      </c>
      <c r="G12" s="197">
        <v>29660</v>
      </c>
      <c r="H12" s="196">
        <v>140</v>
      </c>
      <c r="I12" s="197">
        <v>100</v>
      </c>
      <c r="J12" s="268">
        <f t="shared" si="1"/>
        <v>14000</v>
      </c>
      <c r="K12" s="185"/>
      <c r="M12" s="323" t="s">
        <v>878</v>
      </c>
      <c r="N12" s="324"/>
      <c r="O12" s="325"/>
      <c r="P12" s="332">
        <f>R10</f>
        <v>0.69696969696969702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43049</v>
      </c>
      <c r="D13" s="196" t="s">
        <v>16</v>
      </c>
      <c r="E13" s="196" t="s">
        <v>24</v>
      </c>
      <c r="F13" s="197">
        <v>29560</v>
      </c>
      <c r="G13" s="197">
        <v>29660</v>
      </c>
      <c r="H13" s="196">
        <v>100</v>
      </c>
      <c r="I13" s="197">
        <v>100</v>
      </c>
      <c r="J13" s="268">
        <f t="shared" si="1"/>
        <v>10000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43052</v>
      </c>
      <c r="D14" s="196" t="s">
        <v>16</v>
      </c>
      <c r="E14" s="196" t="s">
        <v>24</v>
      </c>
      <c r="F14" s="197">
        <v>29530</v>
      </c>
      <c r="G14" s="197">
        <v>29590</v>
      </c>
      <c r="H14" s="196">
        <v>60</v>
      </c>
      <c r="I14" s="197">
        <v>100</v>
      </c>
      <c r="J14" s="268">
        <f t="shared" si="1"/>
        <v>6000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43053</v>
      </c>
      <c r="D15" s="196" t="s">
        <v>16</v>
      </c>
      <c r="E15" s="196" t="s">
        <v>24</v>
      </c>
      <c r="F15" s="197">
        <v>29540</v>
      </c>
      <c r="G15" s="197">
        <v>29440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43054</v>
      </c>
      <c r="D16" s="196" t="s">
        <v>16</v>
      </c>
      <c r="E16" s="196" t="s">
        <v>24</v>
      </c>
      <c r="F16" s="197">
        <v>29600</v>
      </c>
      <c r="G16" s="197">
        <v>29700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43055</v>
      </c>
      <c r="D17" s="196" t="s">
        <v>16</v>
      </c>
      <c r="E17" s="196" t="s">
        <v>24</v>
      </c>
      <c r="F17" s="197">
        <v>29450</v>
      </c>
      <c r="G17" s="197">
        <v>29510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43056</v>
      </c>
      <c r="D18" s="196" t="s">
        <v>16</v>
      </c>
      <c r="E18" s="196" t="s">
        <v>24</v>
      </c>
      <c r="F18" s="197">
        <v>29400</v>
      </c>
      <c r="G18" s="197">
        <v>29600</v>
      </c>
      <c r="H18" s="196">
        <v>200</v>
      </c>
      <c r="I18" s="197">
        <v>100</v>
      </c>
      <c r="J18" s="268">
        <f t="shared" si="1"/>
        <v>20000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43059</v>
      </c>
      <c r="D19" s="196" t="s">
        <v>16</v>
      </c>
      <c r="E19" s="196" t="s">
        <v>24</v>
      </c>
      <c r="F19" s="197">
        <v>29650</v>
      </c>
      <c r="G19" s="197">
        <v>29710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43060</v>
      </c>
      <c r="D20" s="196" t="s">
        <v>16</v>
      </c>
      <c r="E20" s="196" t="s">
        <v>24</v>
      </c>
      <c r="F20" s="197">
        <v>29390</v>
      </c>
      <c r="G20" s="197">
        <v>29290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43061</v>
      </c>
      <c r="D21" s="196" t="s">
        <v>23</v>
      </c>
      <c r="E21" s="196" t="s">
        <v>24</v>
      </c>
      <c r="F21" s="197">
        <v>29420</v>
      </c>
      <c r="G21" s="197">
        <v>29480</v>
      </c>
      <c r="H21" s="196">
        <v>-60</v>
      </c>
      <c r="I21" s="197">
        <v>100</v>
      </c>
      <c r="J21" s="268">
        <f t="shared" si="1"/>
        <v>-6000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43062</v>
      </c>
      <c r="D22" s="196" t="s">
        <v>23</v>
      </c>
      <c r="E22" s="196" t="s">
        <v>24</v>
      </c>
      <c r="F22" s="197">
        <v>29450</v>
      </c>
      <c r="G22" s="197">
        <v>29455</v>
      </c>
      <c r="H22" s="196">
        <v>-5</v>
      </c>
      <c r="I22" s="197">
        <v>100</v>
      </c>
      <c r="J22" s="268">
        <f t="shared" si="1"/>
        <v>-500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43063</v>
      </c>
      <c r="D23" s="196" t="s">
        <v>23</v>
      </c>
      <c r="E23" s="196" t="s">
        <v>24</v>
      </c>
      <c r="F23" s="197">
        <v>29500</v>
      </c>
      <c r="G23" s="197">
        <v>29400</v>
      </c>
      <c r="H23" s="196">
        <v>100</v>
      </c>
      <c r="I23" s="197">
        <v>100</v>
      </c>
      <c r="J23" s="268">
        <f t="shared" si="1"/>
        <v>10000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43066</v>
      </c>
      <c r="D24" s="196" t="s">
        <v>16</v>
      </c>
      <c r="E24" s="196" t="s">
        <v>24</v>
      </c>
      <c r="F24" s="197">
        <v>29490</v>
      </c>
      <c r="G24" s="197">
        <v>29430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43067</v>
      </c>
      <c r="D25" s="196" t="s">
        <v>23</v>
      </c>
      <c r="E25" s="196" t="s">
        <v>24</v>
      </c>
      <c r="F25" s="197">
        <v>29450</v>
      </c>
      <c r="G25" s="197">
        <v>29385</v>
      </c>
      <c r="H25" s="196">
        <v>65</v>
      </c>
      <c r="I25" s="197">
        <v>100</v>
      </c>
      <c r="J25" s="268">
        <f t="shared" si="1"/>
        <v>6500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43068</v>
      </c>
      <c r="D26" s="196" t="s">
        <v>23</v>
      </c>
      <c r="E26" s="196" t="s">
        <v>24</v>
      </c>
      <c r="F26" s="197">
        <v>29440</v>
      </c>
      <c r="G26" s="197">
        <v>29240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43069</v>
      </c>
      <c r="D27" s="196" t="s">
        <v>23</v>
      </c>
      <c r="E27" s="196" t="s">
        <v>24</v>
      </c>
      <c r="F27" s="197">
        <v>29250</v>
      </c>
      <c r="G27" s="197">
        <v>29050</v>
      </c>
      <c r="H27" s="196">
        <v>200</v>
      </c>
      <c r="I27" s="197">
        <v>100</v>
      </c>
      <c r="J27" s="268">
        <f t="shared" si="1"/>
        <v>20000</v>
      </c>
      <c r="K27" s="185"/>
      <c r="V27" s="183">
        <f t="shared" si="2"/>
        <v>1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165000</v>
      </c>
      <c r="K29" s="185"/>
      <c r="V29" s="183">
        <f>SUM(V6:V28)</f>
        <v>17</v>
      </c>
      <c r="W29" s="183">
        <f>SUM(W6:W28)</f>
        <v>5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873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43040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43040</v>
      </c>
      <c r="D37" s="192" t="s">
        <v>16</v>
      </c>
      <c r="E37" s="192" t="s">
        <v>25</v>
      </c>
      <c r="F37" s="193">
        <v>3540</v>
      </c>
      <c r="G37" s="193">
        <v>3562</v>
      </c>
      <c r="H37" s="192">
        <v>22</v>
      </c>
      <c r="I37" s="193">
        <v>100</v>
      </c>
      <c r="J37" s="267">
        <f t="shared" ref="J37:J59" si="6">I37*H37</f>
        <v>2200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43041</v>
      </c>
      <c r="D38" s="196" t="s">
        <v>16</v>
      </c>
      <c r="E38" s="196" t="s">
        <v>25</v>
      </c>
      <c r="F38" s="197">
        <v>3510</v>
      </c>
      <c r="G38" s="197">
        <v>3515</v>
      </c>
      <c r="H38" s="196">
        <v>5</v>
      </c>
      <c r="I38" s="197">
        <v>100</v>
      </c>
      <c r="J38" s="268">
        <f t="shared" si="6"/>
        <v>500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43042</v>
      </c>
      <c r="D39" s="196" t="s">
        <v>16</v>
      </c>
      <c r="E39" s="196" t="s">
        <v>25</v>
      </c>
      <c r="F39" s="197">
        <v>3535</v>
      </c>
      <c r="G39" s="197">
        <v>3580</v>
      </c>
      <c r="H39" s="196">
        <v>45</v>
      </c>
      <c r="I39" s="197">
        <v>100</v>
      </c>
      <c r="J39" s="268">
        <f t="shared" si="6"/>
        <v>4500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43045</v>
      </c>
      <c r="D40" s="196" t="s">
        <v>16</v>
      </c>
      <c r="E40" s="196" t="s">
        <v>25</v>
      </c>
      <c r="F40" s="197">
        <v>3610</v>
      </c>
      <c r="G40" s="197">
        <v>3690</v>
      </c>
      <c r="H40" s="196">
        <v>80</v>
      </c>
      <c r="I40" s="197">
        <v>100</v>
      </c>
      <c r="J40" s="268">
        <f t="shared" si="6"/>
        <v>8000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43046</v>
      </c>
      <c r="D41" s="196" t="s">
        <v>16</v>
      </c>
      <c r="E41" s="196" t="s">
        <v>25</v>
      </c>
      <c r="F41" s="197">
        <v>3715</v>
      </c>
      <c r="G41" s="197">
        <v>3745</v>
      </c>
      <c r="H41" s="196">
        <v>30</v>
      </c>
      <c r="I41" s="197">
        <v>100</v>
      </c>
      <c r="J41" s="268">
        <f t="shared" si="6"/>
        <v>3000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43047</v>
      </c>
      <c r="D42" s="196" t="s">
        <v>16</v>
      </c>
      <c r="E42" s="196" t="s">
        <v>25</v>
      </c>
      <c r="F42" s="197">
        <v>3705</v>
      </c>
      <c r="G42" s="197">
        <v>3675</v>
      </c>
      <c r="H42" s="196">
        <v>-30</v>
      </c>
      <c r="I42" s="197">
        <v>100</v>
      </c>
      <c r="J42" s="268">
        <f t="shared" si="6"/>
        <v>-3000</v>
      </c>
      <c r="K42" s="185"/>
      <c r="V42" s="183">
        <f t="shared" si="7"/>
        <v>0</v>
      </c>
      <c r="W42" s="183">
        <f t="shared" si="8"/>
        <v>1</v>
      </c>
    </row>
    <row r="43" spans="1:23" x14ac:dyDescent="0.3">
      <c r="A43" s="184"/>
      <c r="B43" s="194">
        <v>7</v>
      </c>
      <c r="C43" s="195">
        <v>43048</v>
      </c>
      <c r="D43" s="196" t="s">
        <v>16</v>
      </c>
      <c r="E43" s="196" t="s">
        <v>25</v>
      </c>
      <c r="F43" s="197">
        <v>3685</v>
      </c>
      <c r="G43" s="197">
        <v>3735</v>
      </c>
      <c r="H43" s="196">
        <v>50</v>
      </c>
      <c r="I43" s="197">
        <v>100</v>
      </c>
      <c r="J43" s="268">
        <f t="shared" si="6"/>
        <v>5000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43049</v>
      </c>
      <c r="D44" s="196" t="s">
        <v>16</v>
      </c>
      <c r="E44" s="196" t="s">
        <v>25</v>
      </c>
      <c r="F44" s="197">
        <v>3710</v>
      </c>
      <c r="G44" s="197">
        <v>3745</v>
      </c>
      <c r="H44" s="196">
        <v>35</v>
      </c>
      <c r="I44" s="197">
        <v>100</v>
      </c>
      <c r="J44" s="268">
        <f t="shared" si="6"/>
        <v>3500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43052</v>
      </c>
      <c r="D45" s="196" t="s">
        <v>16</v>
      </c>
      <c r="E45" s="196" t="s">
        <v>25</v>
      </c>
      <c r="F45" s="197">
        <v>3710</v>
      </c>
      <c r="G45" s="197">
        <v>3730</v>
      </c>
      <c r="H45" s="196">
        <v>20</v>
      </c>
      <c r="I45" s="197">
        <v>100</v>
      </c>
      <c r="J45" s="268">
        <f t="shared" si="6"/>
        <v>2000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43053</v>
      </c>
      <c r="D46" s="196" t="s">
        <v>16</v>
      </c>
      <c r="E46" s="196" t="s">
        <v>25</v>
      </c>
      <c r="F46" s="197">
        <v>3700</v>
      </c>
      <c r="G46" s="197">
        <v>3670</v>
      </c>
      <c r="H46" s="196">
        <v>-30</v>
      </c>
      <c r="I46" s="197">
        <v>100</v>
      </c>
      <c r="J46" s="268">
        <f t="shared" si="6"/>
        <v>-3000</v>
      </c>
      <c r="K46" s="185"/>
      <c r="V46" s="183">
        <f t="shared" si="7"/>
        <v>0</v>
      </c>
      <c r="W46" s="183">
        <f t="shared" si="8"/>
        <v>1</v>
      </c>
    </row>
    <row r="47" spans="1:23" x14ac:dyDescent="0.3">
      <c r="A47" s="184"/>
      <c r="B47" s="194">
        <v>11</v>
      </c>
      <c r="C47" s="195">
        <v>43054</v>
      </c>
      <c r="D47" s="196" t="s">
        <v>16</v>
      </c>
      <c r="E47" s="196" t="s">
        <v>25</v>
      </c>
      <c r="F47" s="197">
        <v>3600</v>
      </c>
      <c r="G47" s="197">
        <v>3635</v>
      </c>
      <c r="H47" s="196">
        <v>35</v>
      </c>
      <c r="I47" s="197">
        <v>100</v>
      </c>
      <c r="J47" s="268">
        <f t="shared" si="6"/>
        <v>3500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43055</v>
      </c>
      <c r="D48" s="196" t="s">
        <v>23</v>
      </c>
      <c r="E48" s="196" t="s">
        <v>25</v>
      </c>
      <c r="F48" s="197">
        <v>3605</v>
      </c>
      <c r="G48" s="197">
        <v>3588</v>
      </c>
      <c r="H48" s="196">
        <v>17</v>
      </c>
      <c r="I48" s="197">
        <v>100</v>
      </c>
      <c r="J48" s="268">
        <f t="shared" si="6"/>
        <v>1700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43056</v>
      </c>
      <c r="D49" s="196" t="s">
        <v>23</v>
      </c>
      <c r="E49" s="196" t="s">
        <v>25</v>
      </c>
      <c r="F49" s="197">
        <v>3660</v>
      </c>
      <c r="G49" s="197">
        <v>3690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14</v>
      </c>
      <c r="C50" s="195">
        <v>43059</v>
      </c>
      <c r="D50" s="196" t="s">
        <v>16</v>
      </c>
      <c r="E50" s="196" t="s">
        <v>25</v>
      </c>
      <c r="F50" s="197">
        <v>3695</v>
      </c>
      <c r="G50" s="197">
        <v>3660</v>
      </c>
      <c r="H50" s="196">
        <v>-35</v>
      </c>
      <c r="I50" s="197">
        <v>100</v>
      </c>
      <c r="J50" s="268">
        <f t="shared" si="6"/>
        <v>-3500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15</v>
      </c>
      <c r="C51" s="195">
        <v>43060</v>
      </c>
      <c r="D51" s="196" t="s">
        <v>16</v>
      </c>
      <c r="E51" s="196" t="s">
        <v>25</v>
      </c>
      <c r="F51" s="197">
        <v>3680</v>
      </c>
      <c r="G51" s="197">
        <v>3715</v>
      </c>
      <c r="H51" s="196">
        <v>35</v>
      </c>
      <c r="I51" s="197">
        <v>100</v>
      </c>
      <c r="J51" s="268">
        <f t="shared" si="6"/>
        <v>3500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43061</v>
      </c>
      <c r="D52" s="196" t="s">
        <v>16</v>
      </c>
      <c r="E52" s="196" t="s">
        <v>25</v>
      </c>
      <c r="F52" s="197">
        <v>3755</v>
      </c>
      <c r="G52" s="197">
        <v>3750</v>
      </c>
      <c r="H52" s="196">
        <v>-5</v>
      </c>
      <c r="I52" s="197">
        <v>100</v>
      </c>
      <c r="J52" s="268">
        <f t="shared" si="6"/>
        <v>-500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43062</v>
      </c>
      <c r="D53" s="196" t="s">
        <v>23</v>
      </c>
      <c r="E53" s="196" t="s">
        <v>25</v>
      </c>
      <c r="F53" s="197">
        <v>3750</v>
      </c>
      <c r="G53" s="197">
        <v>3780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255"/>
      <c r="B54" s="194">
        <v>18</v>
      </c>
      <c r="C54" s="195">
        <v>43063</v>
      </c>
      <c r="D54" s="196" t="s">
        <v>23</v>
      </c>
      <c r="E54" s="196" t="s">
        <v>25</v>
      </c>
      <c r="F54" s="197">
        <v>3800</v>
      </c>
      <c r="G54" s="197">
        <v>3785</v>
      </c>
      <c r="H54" s="196">
        <v>15</v>
      </c>
      <c r="I54" s="197">
        <v>100</v>
      </c>
      <c r="J54" s="268">
        <f t="shared" si="6"/>
        <v>1500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43066</v>
      </c>
      <c r="D55" s="196" t="s">
        <v>23</v>
      </c>
      <c r="E55" s="196" t="s">
        <v>25</v>
      </c>
      <c r="F55" s="197">
        <v>3795</v>
      </c>
      <c r="G55" s="197">
        <v>3725</v>
      </c>
      <c r="H55" s="196">
        <v>70</v>
      </c>
      <c r="I55" s="197">
        <v>100</v>
      </c>
      <c r="J55" s="268">
        <f t="shared" si="6"/>
        <v>7000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43067</v>
      </c>
      <c r="D56" s="196" t="s">
        <v>23</v>
      </c>
      <c r="E56" s="196" t="s">
        <v>25</v>
      </c>
      <c r="F56" s="197">
        <v>3720</v>
      </c>
      <c r="G56" s="197">
        <v>3725</v>
      </c>
      <c r="H56" s="196">
        <v>-5</v>
      </c>
      <c r="I56" s="197">
        <v>100</v>
      </c>
      <c r="J56" s="268">
        <f t="shared" si="6"/>
        <v>-500</v>
      </c>
      <c r="K56" s="185"/>
      <c r="V56" s="183">
        <f t="shared" si="7"/>
        <v>0</v>
      </c>
      <c r="W56" s="183">
        <f t="shared" si="8"/>
        <v>1</v>
      </c>
    </row>
    <row r="57" spans="1:23" x14ac:dyDescent="0.3">
      <c r="A57" s="184"/>
      <c r="B57" s="194">
        <v>21</v>
      </c>
      <c r="C57" s="195">
        <v>43068</v>
      </c>
      <c r="D57" s="196" t="s">
        <v>16</v>
      </c>
      <c r="E57" s="196" t="s">
        <v>25</v>
      </c>
      <c r="F57" s="197">
        <v>3700</v>
      </c>
      <c r="G57" s="197">
        <v>3750</v>
      </c>
      <c r="H57" s="196">
        <v>50</v>
      </c>
      <c r="I57" s="197">
        <v>100</v>
      </c>
      <c r="J57" s="268">
        <f t="shared" si="6"/>
        <v>5000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22</v>
      </c>
      <c r="C58" s="195">
        <v>43069</v>
      </c>
      <c r="D58" s="196" t="s">
        <v>23</v>
      </c>
      <c r="E58" s="196" t="s">
        <v>25</v>
      </c>
      <c r="F58" s="197">
        <v>3710</v>
      </c>
      <c r="G58" s="197">
        <v>3745</v>
      </c>
      <c r="H58" s="196">
        <v>-35</v>
      </c>
      <c r="I58" s="197">
        <v>100</v>
      </c>
      <c r="J58" s="268">
        <f t="shared" si="6"/>
        <v>-3500</v>
      </c>
      <c r="K58" s="185"/>
      <c r="V58" s="183">
        <f t="shared" si="7"/>
        <v>0</v>
      </c>
      <c r="W58" s="183">
        <f t="shared" si="8"/>
        <v>1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30900</v>
      </c>
      <c r="K60" s="185"/>
      <c r="V60" s="183">
        <f>SUM(V37:V59)</f>
        <v>14</v>
      </c>
      <c r="W60" s="183">
        <f>SUM(W37:W59)</f>
        <v>8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43040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43040</v>
      </c>
      <c r="D68" s="216" t="s">
        <v>23</v>
      </c>
      <c r="E68" s="216" t="s">
        <v>28</v>
      </c>
      <c r="F68" s="256">
        <v>213.6</v>
      </c>
      <c r="G68" s="256">
        <v>212.6</v>
      </c>
      <c r="H68" s="216">
        <v>1</v>
      </c>
      <c r="I68" s="218">
        <v>5000</v>
      </c>
      <c r="J68" s="273">
        <f>I68*H68</f>
        <v>5000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43041</v>
      </c>
      <c r="D69" s="196" t="s">
        <v>23</v>
      </c>
      <c r="E69" s="196" t="s">
        <v>28</v>
      </c>
      <c r="F69" s="222">
        <v>212</v>
      </c>
      <c r="G69" s="222">
        <v>210</v>
      </c>
      <c r="H69" s="196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43042</v>
      </c>
      <c r="D70" s="196" t="s">
        <v>23</v>
      </c>
      <c r="E70" s="196" t="s">
        <v>28</v>
      </c>
      <c r="F70" s="222">
        <v>211.3</v>
      </c>
      <c r="G70" s="222">
        <v>209.3</v>
      </c>
      <c r="H70" s="196">
        <v>2</v>
      </c>
      <c r="I70" s="197">
        <v>5000</v>
      </c>
      <c r="J70" s="268">
        <f t="shared" si="9"/>
        <v>10000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43045</v>
      </c>
      <c r="D71" s="196" t="s">
        <v>23</v>
      </c>
      <c r="E71" s="196" t="s">
        <v>28</v>
      </c>
      <c r="F71" s="222">
        <v>211.4</v>
      </c>
      <c r="G71" s="222">
        <v>210.4</v>
      </c>
      <c r="H71" s="196">
        <v>1</v>
      </c>
      <c r="I71" s="197">
        <v>5000</v>
      </c>
      <c r="J71" s="268">
        <f t="shared" si="9"/>
        <v>5000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43046</v>
      </c>
      <c r="D72" s="196" t="s">
        <v>23</v>
      </c>
      <c r="E72" s="196" t="s">
        <v>28</v>
      </c>
      <c r="F72" s="197">
        <v>210</v>
      </c>
      <c r="G72" s="222">
        <v>211</v>
      </c>
      <c r="H72" s="196">
        <v>-1</v>
      </c>
      <c r="I72" s="197">
        <v>5000</v>
      </c>
      <c r="J72" s="268">
        <f t="shared" si="9"/>
        <v>-5000</v>
      </c>
      <c r="K72" s="185"/>
      <c r="V72" s="183">
        <f t="shared" si="10"/>
        <v>0</v>
      </c>
      <c r="W72" s="183">
        <f t="shared" si="11"/>
        <v>1</v>
      </c>
    </row>
    <row r="73" spans="1:23" x14ac:dyDescent="0.3">
      <c r="A73" s="184"/>
      <c r="B73" s="194">
        <v>6</v>
      </c>
      <c r="C73" s="195">
        <v>43047</v>
      </c>
      <c r="D73" s="196" t="s">
        <v>23</v>
      </c>
      <c r="E73" s="196" t="s">
        <v>28</v>
      </c>
      <c r="F73" s="197">
        <v>208</v>
      </c>
      <c r="G73" s="222">
        <v>207.5</v>
      </c>
      <c r="H73" s="222">
        <v>0.5</v>
      </c>
      <c r="I73" s="197">
        <v>5000</v>
      </c>
      <c r="J73" s="268">
        <f t="shared" si="9"/>
        <v>2500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43048</v>
      </c>
      <c r="D74" s="196" t="s">
        <v>23</v>
      </c>
      <c r="E74" s="196" t="s">
        <v>28</v>
      </c>
      <c r="F74" s="210">
        <v>207.6</v>
      </c>
      <c r="G74" s="210">
        <v>208.6</v>
      </c>
      <c r="H74" s="263">
        <v>-1</v>
      </c>
      <c r="I74" s="197">
        <v>5000</v>
      </c>
      <c r="J74" s="268">
        <f t="shared" si="9"/>
        <v>-5000</v>
      </c>
      <c r="K74" s="185"/>
      <c r="V74" s="183">
        <f t="shared" si="10"/>
        <v>0</v>
      </c>
      <c r="W74" s="183">
        <f t="shared" si="11"/>
        <v>1</v>
      </c>
    </row>
    <row r="75" spans="1:23" x14ac:dyDescent="0.3">
      <c r="A75" s="184"/>
      <c r="B75" s="194">
        <v>8</v>
      </c>
      <c r="C75" s="195">
        <v>43049</v>
      </c>
      <c r="D75" s="196" t="s">
        <v>16</v>
      </c>
      <c r="E75" s="196" t="s">
        <v>28</v>
      </c>
      <c r="F75" s="210">
        <v>209.8</v>
      </c>
      <c r="G75" s="210">
        <v>211.8</v>
      </c>
      <c r="H75" s="196">
        <v>2</v>
      </c>
      <c r="I75" s="197">
        <v>5000</v>
      </c>
      <c r="J75" s="268">
        <f t="shared" si="9"/>
        <v>10000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43052</v>
      </c>
      <c r="D76" s="196" t="s">
        <v>23</v>
      </c>
      <c r="E76" s="196" t="s">
        <v>28</v>
      </c>
      <c r="F76" s="222">
        <v>213.3</v>
      </c>
      <c r="G76" s="222">
        <v>212.3</v>
      </c>
      <c r="H76" s="196">
        <v>1</v>
      </c>
      <c r="I76" s="197">
        <v>5000</v>
      </c>
      <c r="J76" s="268">
        <f t="shared" si="9"/>
        <v>5000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43053</v>
      </c>
      <c r="D77" s="196" t="s">
        <v>23</v>
      </c>
      <c r="E77" s="196" t="s">
        <v>28</v>
      </c>
      <c r="F77" s="222">
        <v>212</v>
      </c>
      <c r="G77" s="222">
        <v>210</v>
      </c>
      <c r="H77" s="196">
        <v>2</v>
      </c>
      <c r="I77" s="197">
        <v>5000</v>
      </c>
      <c r="J77" s="268">
        <f t="shared" si="9"/>
        <v>10000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43054</v>
      </c>
      <c r="D78" s="196" t="s">
        <v>23</v>
      </c>
      <c r="E78" s="196" t="s">
        <v>28</v>
      </c>
      <c r="F78" s="222">
        <v>206.2</v>
      </c>
      <c r="G78" s="222">
        <v>204.75</v>
      </c>
      <c r="H78" s="274">
        <v>1.45</v>
      </c>
      <c r="I78" s="197">
        <v>5000</v>
      </c>
      <c r="J78" s="268">
        <f t="shared" si="9"/>
        <v>7250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43055</v>
      </c>
      <c r="D79" s="196" t="s">
        <v>23</v>
      </c>
      <c r="E79" s="196" t="s">
        <v>28</v>
      </c>
      <c r="F79" s="222">
        <v>207.3</v>
      </c>
      <c r="G79" s="222">
        <v>206.7</v>
      </c>
      <c r="H79" s="274">
        <v>0.6</v>
      </c>
      <c r="I79" s="197">
        <v>5000</v>
      </c>
      <c r="J79" s="268">
        <f t="shared" si="9"/>
        <v>3000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43056</v>
      </c>
      <c r="D80" s="196" t="s">
        <v>23</v>
      </c>
      <c r="E80" s="196" t="s">
        <v>28</v>
      </c>
      <c r="F80" s="222">
        <v>206.5</v>
      </c>
      <c r="G80" s="222">
        <v>207.5</v>
      </c>
      <c r="H80" s="274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14</v>
      </c>
      <c r="C81" s="195">
        <v>43059</v>
      </c>
      <c r="D81" s="196" t="s">
        <v>23</v>
      </c>
      <c r="E81" s="196" t="s">
        <v>28</v>
      </c>
      <c r="F81" s="222">
        <v>207.5</v>
      </c>
      <c r="G81" s="222">
        <v>206</v>
      </c>
      <c r="H81" s="274">
        <v>1.5</v>
      </c>
      <c r="I81" s="197">
        <v>5000</v>
      </c>
      <c r="J81" s="268">
        <f t="shared" si="9"/>
        <v>7500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43060</v>
      </c>
      <c r="D82" s="196" t="s">
        <v>23</v>
      </c>
      <c r="E82" s="196" t="s">
        <v>28</v>
      </c>
      <c r="F82" s="223">
        <v>207.4</v>
      </c>
      <c r="G82" s="222">
        <v>206.9</v>
      </c>
      <c r="H82" s="274">
        <v>0.5</v>
      </c>
      <c r="I82" s="197">
        <v>5000</v>
      </c>
      <c r="J82" s="268">
        <f t="shared" si="9"/>
        <v>2500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43061</v>
      </c>
      <c r="D83" s="196" t="s">
        <v>23</v>
      </c>
      <c r="E83" s="196" t="s">
        <v>28</v>
      </c>
      <c r="F83" s="222">
        <v>210.8</v>
      </c>
      <c r="G83" s="222">
        <v>211.8</v>
      </c>
      <c r="H83" s="274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17</v>
      </c>
      <c r="C84" s="195">
        <v>43062</v>
      </c>
      <c r="D84" s="196" t="s">
        <v>23</v>
      </c>
      <c r="E84" s="196" t="s">
        <v>28</v>
      </c>
      <c r="F84" s="222">
        <v>210.2</v>
      </c>
      <c r="G84" s="222">
        <v>211.2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18</v>
      </c>
      <c r="C85" s="195">
        <v>43063</v>
      </c>
      <c r="D85" s="196" t="s">
        <v>23</v>
      </c>
      <c r="E85" s="196" t="s">
        <v>28</v>
      </c>
      <c r="F85" s="222">
        <v>211</v>
      </c>
      <c r="G85" s="222">
        <v>210.3</v>
      </c>
      <c r="H85" s="274">
        <v>0.7</v>
      </c>
      <c r="I85" s="197">
        <v>5000</v>
      </c>
      <c r="J85" s="268">
        <f t="shared" si="9"/>
        <v>3500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43066</v>
      </c>
      <c r="D86" s="196" t="s">
        <v>16</v>
      </c>
      <c r="E86" s="196" t="s">
        <v>28</v>
      </c>
      <c r="F86" s="222">
        <v>208.3</v>
      </c>
      <c r="G86" s="222">
        <v>207.3</v>
      </c>
      <c r="H86" s="274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20</v>
      </c>
      <c r="C87" s="195">
        <v>43067</v>
      </c>
      <c r="D87" s="196" t="s">
        <v>23</v>
      </c>
      <c r="E87" s="196" t="s">
        <v>28</v>
      </c>
      <c r="F87" s="222">
        <v>204.7</v>
      </c>
      <c r="G87" s="222">
        <v>203.7</v>
      </c>
      <c r="H87" s="274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>
        <v>43068</v>
      </c>
      <c r="D88" s="196" t="s">
        <v>23</v>
      </c>
      <c r="E88" s="196" t="s">
        <v>28</v>
      </c>
      <c r="F88" s="222">
        <v>202.8</v>
      </c>
      <c r="G88" s="222">
        <v>201.8</v>
      </c>
      <c r="H88" s="274">
        <v>1</v>
      </c>
      <c r="I88" s="197">
        <v>5000</v>
      </c>
      <c r="J88" s="268">
        <f t="shared" si="9"/>
        <v>5000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22</v>
      </c>
      <c r="C89" s="195">
        <v>43069</v>
      </c>
      <c r="D89" s="196" t="s">
        <v>23</v>
      </c>
      <c r="E89" s="196" t="s">
        <v>29</v>
      </c>
      <c r="F89" s="222">
        <v>433.5</v>
      </c>
      <c r="G89" s="222">
        <v>433.5</v>
      </c>
      <c r="H89" s="196">
        <v>0</v>
      </c>
      <c r="I89" s="197">
        <v>1000</v>
      </c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61250</v>
      </c>
      <c r="K91" s="185"/>
      <c r="V91" s="183">
        <f>SUM(V68:V90)</f>
        <v>15</v>
      </c>
      <c r="W91" s="183">
        <f>SUM(W68:W90)</f>
        <v>6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3B00-000000000000}"/>
    <hyperlink ref="B60" r:id="rId2" xr:uid="{00000000-0004-0000-3B00-000001000000}"/>
    <hyperlink ref="M4:M5" location="'NOV-2017'!A1" display="BULLION" xr:uid="{00000000-0004-0000-3B00-000002000000}"/>
    <hyperlink ref="M6:M7" location="'NOV-2017'!A54" display="ENERGY" xr:uid="{00000000-0004-0000-3B00-000003000000}"/>
    <hyperlink ref="B91" r:id="rId3" xr:uid="{00000000-0004-0000-3B00-000004000000}"/>
    <hyperlink ref="M8:M9" location="'NOV-2017'!A86" display="BASE METAL" xr:uid="{00000000-0004-0000-3B00-000005000000}"/>
    <hyperlink ref="M1" location="MASTER!A1" display="Back" xr:uid="{00000000-0004-0000-3B00-000006000000}"/>
  </hyperlinks>
  <pageMargins left="0" right="0" top="0" bottom="0" header="0" footer="0"/>
  <pageSetup paperSize="9" orientation="portrait" r:id="rId4"/>
  <drawing r:id="rId5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W92"/>
  <sheetViews>
    <sheetView workbookViewId="0">
      <selection activeCell="A86" sqref="A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43070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20</v>
      </c>
      <c r="O4" s="355">
        <f>V29</f>
        <v>11</v>
      </c>
      <c r="P4" s="355">
        <f>W29</f>
        <v>9</v>
      </c>
      <c r="Q4" s="356">
        <f>N4-O4-P4</f>
        <v>0</v>
      </c>
      <c r="R4" s="343">
        <f>O4/N4</f>
        <v>0.55000000000000004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43070</v>
      </c>
      <c r="D6" s="192" t="s">
        <v>23</v>
      </c>
      <c r="E6" s="192" t="s">
        <v>24</v>
      </c>
      <c r="F6" s="193">
        <v>29100</v>
      </c>
      <c r="G6" s="193">
        <v>29200</v>
      </c>
      <c r="H6" s="192">
        <v>-100</v>
      </c>
      <c r="I6" s="193">
        <v>100</v>
      </c>
      <c r="J6" s="267">
        <f>H6*I6</f>
        <v>-10000</v>
      </c>
      <c r="K6" s="185"/>
      <c r="M6" s="362" t="s">
        <v>258</v>
      </c>
      <c r="N6" s="347">
        <f>COUNT(C37:C59)</f>
        <v>20</v>
      </c>
      <c r="O6" s="348">
        <f>V60</f>
        <v>14</v>
      </c>
      <c r="P6" s="348">
        <f>W60</f>
        <v>6</v>
      </c>
      <c r="Q6" s="349">
        <f>N6-O6-P6</f>
        <v>0</v>
      </c>
      <c r="R6" s="345">
        <f t="shared" ref="R6" si="0">O6/N6</f>
        <v>0.7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43073</v>
      </c>
      <c r="D7" s="196" t="s">
        <v>23</v>
      </c>
      <c r="E7" s="196" t="s">
        <v>24</v>
      </c>
      <c r="F7" s="197">
        <v>29150</v>
      </c>
      <c r="G7" s="197">
        <v>29090</v>
      </c>
      <c r="H7" s="196">
        <v>60</v>
      </c>
      <c r="I7" s="197">
        <v>100</v>
      </c>
      <c r="J7" s="268">
        <f t="shared" ref="J7:J28" si="1">H7*I7</f>
        <v>6000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43074</v>
      </c>
      <c r="D8" s="196" t="s">
        <v>23</v>
      </c>
      <c r="E8" s="196" t="s">
        <v>24</v>
      </c>
      <c r="F8" s="197">
        <v>29170</v>
      </c>
      <c r="G8" s="197">
        <v>28970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COUNT(C68:C90)</f>
        <v>21</v>
      </c>
      <c r="O8" s="348">
        <f>V91</f>
        <v>17</v>
      </c>
      <c r="P8" s="348">
        <f>W91</f>
        <v>4</v>
      </c>
      <c r="Q8" s="349">
        <f>N8-O8-P8</f>
        <v>0</v>
      </c>
      <c r="R8" s="345">
        <f t="shared" ref="R8" si="4">O8/N8</f>
        <v>0.80952380952380953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43075</v>
      </c>
      <c r="D9" s="196" t="s">
        <v>23</v>
      </c>
      <c r="E9" s="196" t="s">
        <v>24</v>
      </c>
      <c r="F9" s="197">
        <v>29000</v>
      </c>
      <c r="G9" s="197">
        <v>28940</v>
      </c>
      <c r="H9" s="196">
        <v>60</v>
      </c>
      <c r="I9" s="197">
        <v>100</v>
      </c>
      <c r="J9" s="268">
        <f t="shared" si="1"/>
        <v>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43076</v>
      </c>
      <c r="D10" s="196" t="s">
        <v>16</v>
      </c>
      <c r="E10" s="196" t="s">
        <v>24</v>
      </c>
      <c r="F10" s="197">
        <v>28800</v>
      </c>
      <c r="G10" s="197">
        <v>28760</v>
      </c>
      <c r="H10" s="196">
        <v>-40</v>
      </c>
      <c r="I10" s="197">
        <v>100</v>
      </c>
      <c r="J10" s="268">
        <f t="shared" si="1"/>
        <v>-4000</v>
      </c>
      <c r="K10" s="185"/>
      <c r="M10" s="319" t="s">
        <v>300</v>
      </c>
      <c r="N10" s="321">
        <f>SUM(N4:N9)</f>
        <v>61</v>
      </c>
      <c r="O10" s="321">
        <f>SUM(O4:O9)</f>
        <v>42</v>
      </c>
      <c r="P10" s="321">
        <f>SUM(P4:P9)</f>
        <v>19</v>
      </c>
      <c r="Q10" s="341">
        <f>SUM(Q4:Q9)</f>
        <v>0</v>
      </c>
      <c r="R10" s="343">
        <f t="shared" ref="R10" si="5">O10/N10</f>
        <v>0.68852459016393441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43077</v>
      </c>
      <c r="D11" s="196" t="s">
        <v>23</v>
      </c>
      <c r="E11" s="196" t="s">
        <v>24</v>
      </c>
      <c r="F11" s="197">
        <v>28600</v>
      </c>
      <c r="G11" s="197">
        <v>28500</v>
      </c>
      <c r="H11" s="196">
        <v>100</v>
      </c>
      <c r="I11" s="197">
        <v>100</v>
      </c>
      <c r="J11" s="268">
        <f t="shared" si="1"/>
        <v>10000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43080</v>
      </c>
      <c r="D12" s="196" t="s">
        <v>23</v>
      </c>
      <c r="E12" s="196" t="s">
        <v>24</v>
      </c>
      <c r="F12" s="197">
        <v>28520</v>
      </c>
      <c r="G12" s="197">
        <v>28375</v>
      </c>
      <c r="H12" s="196">
        <v>145</v>
      </c>
      <c r="I12" s="197">
        <v>100</v>
      </c>
      <c r="J12" s="268">
        <f t="shared" si="1"/>
        <v>14500</v>
      </c>
      <c r="K12" s="185"/>
      <c r="M12" s="323" t="s">
        <v>878</v>
      </c>
      <c r="N12" s="324"/>
      <c r="O12" s="325"/>
      <c r="P12" s="332">
        <f>R10</f>
        <v>0.68852459016393441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43081</v>
      </c>
      <c r="D13" s="196" t="s">
        <v>23</v>
      </c>
      <c r="E13" s="196" t="s">
        <v>24</v>
      </c>
      <c r="F13" s="197">
        <v>28360</v>
      </c>
      <c r="G13" s="197">
        <v>28160</v>
      </c>
      <c r="H13" s="196">
        <v>200</v>
      </c>
      <c r="I13" s="197">
        <v>100</v>
      </c>
      <c r="J13" s="268">
        <f t="shared" si="1"/>
        <v>20000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43082</v>
      </c>
      <c r="D14" s="196" t="s">
        <v>23</v>
      </c>
      <c r="E14" s="196" t="s">
        <v>24</v>
      </c>
      <c r="F14" s="197">
        <v>28180</v>
      </c>
      <c r="G14" s="197">
        <v>28120</v>
      </c>
      <c r="H14" s="196">
        <v>60</v>
      </c>
      <c r="I14" s="197">
        <v>100</v>
      </c>
      <c r="J14" s="268">
        <f t="shared" si="1"/>
        <v>6000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43083</v>
      </c>
      <c r="D15" s="196" t="s">
        <v>23</v>
      </c>
      <c r="E15" s="196" t="s">
        <v>24</v>
      </c>
      <c r="F15" s="197">
        <v>28430</v>
      </c>
      <c r="G15" s="197">
        <v>28235</v>
      </c>
      <c r="H15" s="196">
        <v>195</v>
      </c>
      <c r="I15" s="197">
        <v>100</v>
      </c>
      <c r="J15" s="268">
        <f t="shared" si="1"/>
        <v>19500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43084</v>
      </c>
      <c r="D16" s="196" t="s">
        <v>23</v>
      </c>
      <c r="E16" s="196" t="s">
        <v>24</v>
      </c>
      <c r="F16" s="197">
        <v>28260</v>
      </c>
      <c r="G16" s="197">
        <v>28360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43087</v>
      </c>
      <c r="D17" s="196" t="s">
        <v>23</v>
      </c>
      <c r="E17" s="196" t="s">
        <v>24</v>
      </c>
      <c r="F17" s="197">
        <v>28350</v>
      </c>
      <c r="G17" s="197">
        <v>28450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43088</v>
      </c>
      <c r="D18" s="196" t="s">
        <v>23</v>
      </c>
      <c r="E18" s="196" t="s">
        <v>24</v>
      </c>
      <c r="F18" s="197">
        <v>28490</v>
      </c>
      <c r="G18" s="197">
        <v>28390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43089</v>
      </c>
      <c r="D19" s="196" t="s">
        <v>23</v>
      </c>
      <c r="E19" s="196" t="s">
        <v>24</v>
      </c>
      <c r="F19" s="197">
        <v>28470</v>
      </c>
      <c r="G19" s="197">
        <v>28480</v>
      </c>
      <c r="H19" s="196">
        <v>-10</v>
      </c>
      <c r="I19" s="197">
        <v>100</v>
      </c>
      <c r="J19" s="268">
        <f t="shared" si="1"/>
        <v>-1000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43090</v>
      </c>
      <c r="D20" s="196" t="s">
        <v>23</v>
      </c>
      <c r="E20" s="196" t="s">
        <v>24</v>
      </c>
      <c r="F20" s="197">
        <v>28520</v>
      </c>
      <c r="G20" s="197">
        <v>28465</v>
      </c>
      <c r="H20" s="196">
        <v>55</v>
      </c>
      <c r="I20" s="197">
        <v>100</v>
      </c>
      <c r="J20" s="268">
        <f t="shared" si="1"/>
        <v>5500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43091</v>
      </c>
      <c r="D21" s="196" t="s">
        <v>23</v>
      </c>
      <c r="E21" s="196" t="s">
        <v>24</v>
      </c>
      <c r="F21" s="197">
        <v>28520</v>
      </c>
      <c r="G21" s="197">
        <v>28620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43095</v>
      </c>
      <c r="D22" s="196" t="s">
        <v>23</v>
      </c>
      <c r="E22" s="196" t="s">
        <v>24</v>
      </c>
      <c r="F22" s="197">
        <v>28760</v>
      </c>
      <c r="G22" s="197">
        <v>28800</v>
      </c>
      <c r="H22" s="196">
        <v>-40</v>
      </c>
      <c r="I22" s="197">
        <v>100</v>
      </c>
      <c r="J22" s="268">
        <f t="shared" si="1"/>
        <v>-4000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43096</v>
      </c>
      <c r="D23" s="196" t="s">
        <v>23</v>
      </c>
      <c r="E23" s="196" t="s">
        <v>24</v>
      </c>
      <c r="F23" s="197">
        <v>28890</v>
      </c>
      <c r="G23" s="197">
        <v>28910</v>
      </c>
      <c r="H23" s="196">
        <v>-20</v>
      </c>
      <c r="I23" s="197">
        <v>100</v>
      </c>
      <c r="J23" s="268">
        <f t="shared" si="1"/>
        <v>-2000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43097</v>
      </c>
      <c r="D24" s="196" t="s">
        <v>23</v>
      </c>
      <c r="E24" s="196" t="s">
        <v>24</v>
      </c>
      <c r="F24" s="197">
        <v>29080</v>
      </c>
      <c r="G24" s="197">
        <v>28930</v>
      </c>
      <c r="H24" s="196">
        <v>150</v>
      </c>
      <c r="I24" s="197">
        <v>100</v>
      </c>
      <c r="J24" s="268">
        <f t="shared" si="1"/>
        <v>15000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43098</v>
      </c>
      <c r="D25" s="196" t="s">
        <v>23</v>
      </c>
      <c r="E25" s="196" t="s">
        <v>24</v>
      </c>
      <c r="F25" s="197">
        <v>29000</v>
      </c>
      <c r="G25" s="197">
        <v>29100</v>
      </c>
      <c r="H25" s="196">
        <v>-100</v>
      </c>
      <c r="I25" s="197">
        <v>100</v>
      </c>
      <c r="J25" s="268">
        <f t="shared" si="1"/>
        <v>-10000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/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71500</v>
      </c>
      <c r="K29" s="185"/>
      <c r="V29" s="183">
        <f>SUM(V6:V28)</f>
        <v>11</v>
      </c>
      <c r="W29" s="183">
        <f>SUM(W6:W28)</f>
        <v>9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873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43070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43070</v>
      </c>
      <c r="D37" s="192" t="s">
        <v>23</v>
      </c>
      <c r="E37" s="192" t="s">
        <v>25</v>
      </c>
      <c r="F37" s="193">
        <v>3727</v>
      </c>
      <c r="G37" s="193">
        <v>3757</v>
      </c>
      <c r="H37" s="192">
        <v>-30</v>
      </c>
      <c r="I37" s="193">
        <v>100</v>
      </c>
      <c r="J37" s="267">
        <f t="shared" ref="J37:J59" si="6">I37*H37</f>
        <v>-3000</v>
      </c>
      <c r="K37" s="185"/>
      <c r="V37" s="183">
        <f>IF($J37&gt;0,1,0)</f>
        <v>0</v>
      </c>
      <c r="W37" s="183">
        <f>IF($J37&lt;0,1,0)</f>
        <v>1</v>
      </c>
    </row>
    <row r="38" spans="1:23" x14ac:dyDescent="0.3">
      <c r="A38" s="184"/>
      <c r="B38" s="194">
        <v>2</v>
      </c>
      <c r="C38" s="195">
        <v>43073</v>
      </c>
      <c r="D38" s="196" t="s">
        <v>16</v>
      </c>
      <c r="E38" s="196" t="s">
        <v>25</v>
      </c>
      <c r="F38" s="197">
        <v>3730</v>
      </c>
      <c r="G38" s="197">
        <v>3725</v>
      </c>
      <c r="H38" s="196">
        <v>-5</v>
      </c>
      <c r="I38" s="197">
        <v>100</v>
      </c>
      <c r="J38" s="268">
        <f t="shared" si="6"/>
        <v>-500</v>
      </c>
      <c r="K38" s="185"/>
      <c r="V38" s="183">
        <f t="shared" ref="V38:V59" si="7">IF($J38&gt;0,1,0)</f>
        <v>0</v>
      </c>
      <c r="W38" s="183">
        <f t="shared" ref="W38:W59" si="8">IF($J38&lt;0,1,0)</f>
        <v>1</v>
      </c>
    </row>
    <row r="39" spans="1:23" x14ac:dyDescent="0.3">
      <c r="A39" s="184"/>
      <c r="B39" s="194">
        <v>3</v>
      </c>
      <c r="C39" s="195">
        <v>43074</v>
      </c>
      <c r="D39" s="196" t="s">
        <v>23</v>
      </c>
      <c r="E39" s="196" t="s">
        <v>25</v>
      </c>
      <c r="F39" s="197">
        <v>3695</v>
      </c>
      <c r="G39" s="197">
        <v>3705</v>
      </c>
      <c r="H39" s="196">
        <v>-10</v>
      </c>
      <c r="I39" s="197">
        <v>100</v>
      </c>
      <c r="J39" s="268">
        <f t="shared" si="6"/>
        <v>-1000</v>
      </c>
      <c r="K39" s="185"/>
      <c r="V39" s="183">
        <f t="shared" si="7"/>
        <v>0</v>
      </c>
      <c r="W39" s="183">
        <f t="shared" si="8"/>
        <v>1</v>
      </c>
    </row>
    <row r="40" spans="1:23" x14ac:dyDescent="0.3">
      <c r="A40" s="184"/>
      <c r="B40" s="194">
        <v>4</v>
      </c>
      <c r="C40" s="195">
        <v>43075</v>
      </c>
      <c r="D40" s="196" t="s">
        <v>23</v>
      </c>
      <c r="E40" s="196" t="s">
        <v>25</v>
      </c>
      <c r="F40" s="197">
        <v>3710</v>
      </c>
      <c r="G40" s="197">
        <v>3650</v>
      </c>
      <c r="H40" s="196">
        <v>60</v>
      </c>
      <c r="I40" s="197">
        <v>100</v>
      </c>
      <c r="J40" s="268">
        <f t="shared" si="6"/>
        <v>6000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43076</v>
      </c>
      <c r="D41" s="196" t="s">
        <v>23</v>
      </c>
      <c r="E41" s="196" t="s">
        <v>25</v>
      </c>
      <c r="F41" s="197">
        <v>3615</v>
      </c>
      <c r="G41" s="197">
        <v>3645</v>
      </c>
      <c r="H41" s="196">
        <v>-30</v>
      </c>
      <c r="I41" s="197">
        <v>100</v>
      </c>
      <c r="J41" s="268">
        <f t="shared" si="6"/>
        <v>-3000</v>
      </c>
      <c r="K41" s="185"/>
      <c r="V41" s="183">
        <f t="shared" si="7"/>
        <v>0</v>
      </c>
      <c r="W41" s="183">
        <f t="shared" si="8"/>
        <v>1</v>
      </c>
    </row>
    <row r="42" spans="1:23" x14ac:dyDescent="0.3">
      <c r="A42" s="184"/>
      <c r="B42" s="194">
        <v>6</v>
      </c>
      <c r="C42" s="195">
        <v>43077</v>
      </c>
      <c r="D42" s="196" t="s">
        <v>23</v>
      </c>
      <c r="E42" s="196" t="s">
        <v>25</v>
      </c>
      <c r="F42" s="197">
        <v>3680</v>
      </c>
      <c r="G42" s="197">
        <v>3710</v>
      </c>
      <c r="H42" s="196">
        <v>-30</v>
      </c>
      <c r="I42" s="197">
        <v>100</v>
      </c>
      <c r="J42" s="268">
        <f t="shared" si="6"/>
        <v>-3000</v>
      </c>
      <c r="K42" s="185"/>
      <c r="V42" s="183">
        <f t="shared" si="7"/>
        <v>0</v>
      </c>
      <c r="W42" s="183">
        <f t="shared" si="8"/>
        <v>1</v>
      </c>
    </row>
    <row r="43" spans="1:23" x14ac:dyDescent="0.3">
      <c r="A43" s="184"/>
      <c r="B43" s="194">
        <v>7</v>
      </c>
      <c r="C43" s="195">
        <v>43080</v>
      </c>
      <c r="D43" s="196" t="s">
        <v>23</v>
      </c>
      <c r="E43" s="196" t="s">
        <v>25</v>
      </c>
      <c r="F43" s="197">
        <v>3675</v>
      </c>
      <c r="G43" s="197">
        <v>3730</v>
      </c>
      <c r="H43" s="196">
        <v>55</v>
      </c>
      <c r="I43" s="197">
        <v>100</v>
      </c>
      <c r="J43" s="268">
        <f t="shared" si="6"/>
        <v>5500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43081</v>
      </c>
      <c r="D44" s="196" t="s">
        <v>23</v>
      </c>
      <c r="E44" s="196" t="s">
        <v>25</v>
      </c>
      <c r="F44" s="197">
        <v>3770</v>
      </c>
      <c r="G44" s="197">
        <v>3700</v>
      </c>
      <c r="H44" s="196">
        <v>70</v>
      </c>
      <c r="I44" s="197">
        <v>100</v>
      </c>
      <c r="J44" s="268">
        <f t="shared" si="6"/>
        <v>7000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43082</v>
      </c>
      <c r="D45" s="196" t="s">
        <v>23</v>
      </c>
      <c r="E45" s="196" t="s">
        <v>25</v>
      </c>
      <c r="F45" s="197">
        <v>3720</v>
      </c>
      <c r="G45" s="197">
        <v>3650</v>
      </c>
      <c r="H45" s="196">
        <v>70</v>
      </c>
      <c r="I45" s="197">
        <v>100</v>
      </c>
      <c r="J45" s="268">
        <f t="shared" si="6"/>
        <v>7000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43083</v>
      </c>
      <c r="D46" s="196" t="s">
        <v>23</v>
      </c>
      <c r="E46" s="196" t="s">
        <v>25</v>
      </c>
      <c r="F46" s="197">
        <v>3660</v>
      </c>
      <c r="G46" s="197">
        <v>3610</v>
      </c>
      <c r="H46" s="196">
        <v>50</v>
      </c>
      <c r="I46" s="197">
        <v>100</v>
      </c>
      <c r="J46" s="268">
        <f t="shared" si="6"/>
        <v>5000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43084</v>
      </c>
      <c r="D47" s="196" t="s">
        <v>23</v>
      </c>
      <c r="E47" s="196" t="s">
        <v>25</v>
      </c>
      <c r="F47" s="197">
        <v>3670</v>
      </c>
      <c r="G47" s="197">
        <v>3655</v>
      </c>
      <c r="H47" s="196">
        <v>15</v>
      </c>
      <c r="I47" s="197">
        <v>100</v>
      </c>
      <c r="J47" s="268">
        <f t="shared" si="6"/>
        <v>1500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43087</v>
      </c>
      <c r="D48" s="196" t="s">
        <v>23</v>
      </c>
      <c r="E48" s="196" t="s">
        <v>25</v>
      </c>
      <c r="F48" s="197">
        <v>3705</v>
      </c>
      <c r="G48" s="197">
        <v>3670</v>
      </c>
      <c r="H48" s="196">
        <v>35</v>
      </c>
      <c r="I48" s="197">
        <v>100</v>
      </c>
      <c r="J48" s="268">
        <f t="shared" si="6"/>
        <v>3500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43088</v>
      </c>
      <c r="D49" s="196" t="s">
        <v>23</v>
      </c>
      <c r="E49" s="196" t="s">
        <v>25</v>
      </c>
      <c r="F49" s="197">
        <v>3695</v>
      </c>
      <c r="G49" s="197">
        <v>3690</v>
      </c>
      <c r="H49" s="196">
        <v>5</v>
      </c>
      <c r="I49" s="197">
        <v>100</v>
      </c>
      <c r="J49" s="268">
        <f t="shared" si="6"/>
        <v>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43089</v>
      </c>
      <c r="D50" s="196" t="s">
        <v>23</v>
      </c>
      <c r="E50" s="196" t="s">
        <v>25</v>
      </c>
      <c r="F50" s="197">
        <v>3710</v>
      </c>
      <c r="G50" s="197">
        <v>3690</v>
      </c>
      <c r="H50" s="196">
        <v>20</v>
      </c>
      <c r="I50" s="197">
        <v>100</v>
      </c>
      <c r="J50" s="268">
        <f t="shared" si="6"/>
        <v>2000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43090</v>
      </c>
      <c r="D51" s="196" t="s">
        <v>23</v>
      </c>
      <c r="E51" s="196" t="s">
        <v>25</v>
      </c>
      <c r="F51" s="197">
        <v>3735</v>
      </c>
      <c r="G51" s="197">
        <v>3700</v>
      </c>
      <c r="H51" s="196">
        <v>35</v>
      </c>
      <c r="I51" s="197">
        <v>100</v>
      </c>
      <c r="J51" s="268">
        <f t="shared" si="6"/>
        <v>3500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43091</v>
      </c>
      <c r="D52" s="196" t="s">
        <v>23</v>
      </c>
      <c r="E52" s="196" t="s">
        <v>25</v>
      </c>
      <c r="F52" s="197">
        <v>3735</v>
      </c>
      <c r="G52" s="197">
        <v>3715</v>
      </c>
      <c r="H52" s="196">
        <v>20</v>
      </c>
      <c r="I52" s="197">
        <v>100</v>
      </c>
      <c r="J52" s="268">
        <f t="shared" si="6"/>
        <v>2000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43095</v>
      </c>
      <c r="D53" s="196" t="s">
        <v>23</v>
      </c>
      <c r="E53" s="196" t="s">
        <v>25</v>
      </c>
      <c r="F53" s="197">
        <v>3755</v>
      </c>
      <c r="G53" s="197">
        <v>3790</v>
      </c>
      <c r="H53" s="196">
        <v>-35</v>
      </c>
      <c r="I53" s="197">
        <v>100</v>
      </c>
      <c r="J53" s="268">
        <f t="shared" si="6"/>
        <v>-3500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255"/>
      <c r="B54" s="194">
        <v>18</v>
      </c>
      <c r="C54" s="195">
        <v>43096</v>
      </c>
      <c r="D54" s="196" t="s">
        <v>23</v>
      </c>
      <c r="E54" s="196" t="s">
        <v>25</v>
      </c>
      <c r="F54" s="197">
        <v>3845</v>
      </c>
      <c r="G54" s="197">
        <v>3810</v>
      </c>
      <c r="H54" s="196">
        <v>35</v>
      </c>
      <c r="I54" s="197">
        <v>100</v>
      </c>
      <c r="J54" s="268">
        <f t="shared" si="6"/>
        <v>3500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43097</v>
      </c>
      <c r="D55" s="196" t="s">
        <v>23</v>
      </c>
      <c r="E55" s="196" t="s">
        <v>25</v>
      </c>
      <c r="F55" s="197">
        <v>3835</v>
      </c>
      <c r="G55" s="197">
        <v>3805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43098</v>
      </c>
      <c r="D56" s="196" t="s">
        <v>23</v>
      </c>
      <c r="E56" s="196" t="s">
        <v>25</v>
      </c>
      <c r="F56" s="197">
        <v>3850</v>
      </c>
      <c r="G56" s="197">
        <v>3828</v>
      </c>
      <c r="H56" s="196">
        <v>22</v>
      </c>
      <c r="I56" s="197">
        <v>100</v>
      </c>
      <c r="J56" s="268">
        <f t="shared" si="6"/>
        <v>2200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38200</v>
      </c>
      <c r="K60" s="185"/>
      <c r="V60" s="183">
        <f>SUM(V37:V59)</f>
        <v>14</v>
      </c>
      <c r="W60" s="183">
        <f>SUM(W37:W59)</f>
        <v>6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43070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43070</v>
      </c>
      <c r="D68" s="216" t="s">
        <v>16</v>
      </c>
      <c r="E68" s="216" t="s">
        <v>28</v>
      </c>
      <c r="F68" s="256">
        <v>204</v>
      </c>
      <c r="G68" s="256">
        <v>206</v>
      </c>
      <c r="H68" s="216">
        <v>2</v>
      </c>
      <c r="I68" s="218">
        <v>5000</v>
      </c>
      <c r="J68" s="273">
        <f>I68*H68</f>
        <v>10000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43073</v>
      </c>
      <c r="D69" s="196" t="s">
        <v>23</v>
      </c>
      <c r="E69" s="196" t="s">
        <v>28</v>
      </c>
      <c r="F69" s="222">
        <v>208</v>
      </c>
      <c r="G69" s="222">
        <v>206</v>
      </c>
      <c r="H69" s="196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43074</v>
      </c>
      <c r="D70" s="196" t="s">
        <v>23</v>
      </c>
      <c r="E70" s="196" t="s">
        <v>28</v>
      </c>
      <c r="F70" s="222">
        <v>205</v>
      </c>
      <c r="G70" s="222">
        <v>203</v>
      </c>
      <c r="H70" s="196">
        <v>2</v>
      </c>
      <c r="I70" s="197">
        <v>5000</v>
      </c>
      <c r="J70" s="268">
        <f t="shared" si="9"/>
        <v>10000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43075</v>
      </c>
      <c r="D71" s="196" t="s">
        <v>23</v>
      </c>
      <c r="E71" s="196" t="s">
        <v>28</v>
      </c>
      <c r="F71" s="222">
        <v>199.5</v>
      </c>
      <c r="G71" s="222">
        <v>200.5</v>
      </c>
      <c r="H71" s="196">
        <v>-1</v>
      </c>
      <c r="I71" s="197">
        <v>5000</v>
      </c>
      <c r="J71" s="268">
        <f t="shared" si="9"/>
        <v>-5000</v>
      </c>
      <c r="K71" s="185"/>
      <c r="V71" s="183">
        <f t="shared" si="10"/>
        <v>0</v>
      </c>
      <c r="W71" s="183">
        <f t="shared" si="11"/>
        <v>1</v>
      </c>
    </row>
    <row r="72" spans="1:23" x14ac:dyDescent="0.3">
      <c r="A72" s="184"/>
      <c r="B72" s="194">
        <v>5</v>
      </c>
      <c r="C72" s="195">
        <v>43076</v>
      </c>
      <c r="D72" s="196" t="s">
        <v>23</v>
      </c>
      <c r="E72" s="196" t="s">
        <v>28</v>
      </c>
      <c r="F72" s="222">
        <v>200.7</v>
      </c>
      <c r="G72" s="222">
        <v>199.3</v>
      </c>
      <c r="H72" s="222">
        <v>1.4</v>
      </c>
      <c r="I72" s="197">
        <v>5000</v>
      </c>
      <c r="J72" s="268">
        <f t="shared" si="9"/>
        <v>7000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43077</v>
      </c>
      <c r="D73" s="196" t="s">
        <v>23</v>
      </c>
      <c r="E73" s="196" t="s">
        <v>28</v>
      </c>
      <c r="F73" s="222">
        <v>199.8</v>
      </c>
      <c r="G73" s="222">
        <v>198.8</v>
      </c>
      <c r="H73" s="222">
        <v>1</v>
      </c>
      <c r="I73" s="197">
        <v>5000</v>
      </c>
      <c r="J73" s="268">
        <f t="shared" si="9"/>
        <v>5000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43080</v>
      </c>
      <c r="D74" s="196" t="s">
        <v>23</v>
      </c>
      <c r="E74" s="196" t="s">
        <v>28</v>
      </c>
      <c r="F74" s="222">
        <v>199.7</v>
      </c>
      <c r="G74" s="222">
        <v>198.7</v>
      </c>
      <c r="H74" s="274">
        <v>1</v>
      </c>
      <c r="I74" s="197">
        <v>5000</v>
      </c>
      <c r="J74" s="268">
        <f t="shared" si="9"/>
        <v>5000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43081</v>
      </c>
      <c r="D75" s="196" t="s">
        <v>23</v>
      </c>
      <c r="E75" s="196" t="s">
        <v>28</v>
      </c>
      <c r="F75" s="222">
        <v>201.1</v>
      </c>
      <c r="G75" s="222">
        <v>199.7</v>
      </c>
      <c r="H75" s="222">
        <v>1.4</v>
      </c>
      <c r="I75" s="197">
        <v>5000</v>
      </c>
      <c r="J75" s="268">
        <f t="shared" si="9"/>
        <v>7000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43082</v>
      </c>
      <c r="D76" s="196" t="s">
        <v>23</v>
      </c>
      <c r="E76" s="196" t="s">
        <v>28</v>
      </c>
      <c r="F76" s="222">
        <v>203</v>
      </c>
      <c r="G76" s="222">
        <v>204</v>
      </c>
      <c r="H76" s="222">
        <v>-1</v>
      </c>
      <c r="I76" s="197">
        <v>5000</v>
      </c>
      <c r="J76" s="268">
        <f t="shared" si="9"/>
        <v>-5000</v>
      </c>
      <c r="K76" s="185"/>
      <c r="V76" s="183">
        <f t="shared" si="10"/>
        <v>0</v>
      </c>
      <c r="W76" s="183">
        <f t="shared" si="11"/>
        <v>1</v>
      </c>
    </row>
    <row r="77" spans="1:23" x14ac:dyDescent="0.3">
      <c r="A77" s="184"/>
      <c r="B77" s="194">
        <v>10</v>
      </c>
      <c r="C77" s="195">
        <v>43083</v>
      </c>
      <c r="D77" s="196" t="s">
        <v>23</v>
      </c>
      <c r="E77" s="196" t="s">
        <v>28</v>
      </c>
      <c r="F77" s="222">
        <v>202.5</v>
      </c>
      <c r="G77" s="222">
        <v>203.5</v>
      </c>
      <c r="H77" s="222">
        <v>-1</v>
      </c>
      <c r="I77" s="197">
        <v>5000</v>
      </c>
      <c r="J77" s="268">
        <f t="shared" si="9"/>
        <v>-5000</v>
      </c>
      <c r="K77" s="185"/>
      <c r="V77" s="183">
        <f t="shared" si="10"/>
        <v>0</v>
      </c>
      <c r="W77" s="183">
        <f t="shared" si="11"/>
        <v>1</v>
      </c>
    </row>
    <row r="78" spans="1:23" x14ac:dyDescent="0.3">
      <c r="A78" s="184"/>
      <c r="B78" s="194">
        <v>11</v>
      </c>
      <c r="C78" s="195">
        <v>43084</v>
      </c>
      <c r="D78" s="196" t="s">
        <v>23</v>
      </c>
      <c r="E78" s="196" t="s">
        <v>28</v>
      </c>
      <c r="F78" s="222">
        <v>204.5</v>
      </c>
      <c r="G78" s="222">
        <v>203.8</v>
      </c>
      <c r="H78" s="274">
        <v>0.7</v>
      </c>
      <c r="I78" s="197">
        <v>5000</v>
      </c>
      <c r="J78" s="268">
        <f t="shared" si="9"/>
        <v>3500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43087</v>
      </c>
      <c r="D79" s="196" t="s">
        <v>23</v>
      </c>
      <c r="E79" s="196" t="s">
        <v>28</v>
      </c>
      <c r="F79" s="222">
        <v>206.3</v>
      </c>
      <c r="G79" s="222">
        <v>204.3</v>
      </c>
      <c r="H79" s="274">
        <v>2</v>
      </c>
      <c r="I79" s="197">
        <v>5000</v>
      </c>
      <c r="J79" s="268">
        <f t="shared" si="9"/>
        <v>10000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43088</v>
      </c>
      <c r="D80" s="196" t="s">
        <v>23</v>
      </c>
      <c r="E80" s="196" t="s">
        <v>28</v>
      </c>
      <c r="F80" s="222">
        <v>203.9</v>
      </c>
      <c r="G80" s="222">
        <v>203.4</v>
      </c>
      <c r="H80" s="274">
        <v>0.5</v>
      </c>
      <c r="I80" s="197">
        <v>5000</v>
      </c>
      <c r="J80" s="268">
        <f t="shared" si="9"/>
        <v>2500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43089</v>
      </c>
      <c r="D81" s="196" t="s">
        <v>23</v>
      </c>
      <c r="E81" s="196" t="s">
        <v>28</v>
      </c>
      <c r="F81" s="222">
        <v>206.4</v>
      </c>
      <c r="G81" s="222">
        <v>207.4</v>
      </c>
      <c r="H81" s="274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15</v>
      </c>
      <c r="C82" s="195">
        <v>43090</v>
      </c>
      <c r="D82" s="196" t="s">
        <v>16</v>
      </c>
      <c r="E82" s="196" t="s">
        <v>28</v>
      </c>
      <c r="F82" s="223">
        <v>206</v>
      </c>
      <c r="G82" s="222">
        <v>207</v>
      </c>
      <c r="H82" s="274">
        <v>1</v>
      </c>
      <c r="I82" s="197">
        <v>5000</v>
      </c>
      <c r="J82" s="268">
        <f t="shared" si="9"/>
        <v>5000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43091</v>
      </c>
      <c r="D83" s="196" t="s">
        <v>16</v>
      </c>
      <c r="E83" s="196" t="s">
        <v>28</v>
      </c>
      <c r="F83" s="222">
        <v>207.6</v>
      </c>
      <c r="G83" s="222">
        <v>209.6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43095</v>
      </c>
      <c r="D84" s="196" t="s">
        <v>16</v>
      </c>
      <c r="E84" s="196" t="s">
        <v>28</v>
      </c>
      <c r="F84" s="222">
        <v>209.3</v>
      </c>
      <c r="G84" s="222">
        <v>209.85</v>
      </c>
      <c r="H84" s="274">
        <v>0.55000000000000004</v>
      </c>
      <c r="I84" s="197">
        <v>5000</v>
      </c>
      <c r="J84" s="268">
        <f t="shared" si="9"/>
        <v>2750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43096</v>
      </c>
      <c r="D85" s="196" t="s">
        <v>16</v>
      </c>
      <c r="E85" s="196" t="s">
        <v>28</v>
      </c>
      <c r="F85" s="222">
        <v>208.5</v>
      </c>
      <c r="G85" s="222">
        <v>210.5</v>
      </c>
      <c r="H85" s="274">
        <v>2</v>
      </c>
      <c r="I85" s="197">
        <v>5000</v>
      </c>
      <c r="J85" s="268">
        <f t="shared" si="9"/>
        <v>10000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43097</v>
      </c>
      <c r="D86" s="196" t="s">
        <v>16</v>
      </c>
      <c r="E86" s="196" t="s">
        <v>28</v>
      </c>
      <c r="F86" s="222">
        <v>211.2</v>
      </c>
      <c r="G86" s="222">
        <v>212.2</v>
      </c>
      <c r="H86" s="274">
        <v>1</v>
      </c>
      <c r="I86" s="197">
        <v>5000</v>
      </c>
      <c r="J86" s="268">
        <f t="shared" si="9"/>
        <v>5000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20</v>
      </c>
      <c r="C87" s="195">
        <v>43098</v>
      </c>
      <c r="D87" s="196" t="s">
        <v>16</v>
      </c>
      <c r="E87" s="196" t="s">
        <v>28</v>
      </c>
      <c r="F87" s="222">
        <v>211.5</v>
      </c>
      <c r="G87" s="222">
        <v>212</v>
      </c>
      <c r="H87" s="274">
        <v>0.5</v>
      </c>
      <c r="I87" s="197">
        <v>5000</v>
      </c>
      <c r="J87" s="268">
        <f t="shared" si="9"/>
        <v>2500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>
        <v>43098</v>
      </c>
      <c r="D88" s="196" t="s">
        <v>16</v>
      </c>
      <c r="E88" s="196" t="s">
        <v>901</v>
      </c>
      <c r="F88" s="222">
        <v>211</v>
      </c>
      <c r="G88" s="222">
        <v>212.4</v>
      </c>
      <c r="H88" s="274">
        <v>1.4</v>
      </c>
      <c r="I88" s="197">
        <v>5000</v>
      </c>
      <c r="J88" s="268">
        <f t="shared" si="9"/>
        <v>7000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196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92250</v>
      </c>
      <c r="K91" s="185"/>
      <c r="V91" s="183">
        <f>SUM(V68:V90)</f>
        <v>17</v>
      </c>
      <c r="W91" s="183">
        <f>SUM(W68:W90)</f>
        <v>4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  <c r="N92" s="183">
        <v>1</v>
      </c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3C00-000000000000}"/>
    <hyperlink ref="B60" r:id="rId2" xr:uid="{00000000-0004-0000-3C00-000001000000}"/>
    <hyperlink ref="M4:M5" location="'DEC 2017'!A1" display="BULLION" xr:uid="{00000000-0004-0000-3C00-000002000000}"/>
    <hyperlink ref="M6:M7" location="'DEC 2017'!A54" display="ENERGY" xr:uid="{00000000-0004-0000-3C00-000003000000}"/>
    <hyperlink ref="B91" r:id="rId3" xr:uid="{00000000-0004-0000-3C00-000004000000}"/>
    <hyperlink ref="M8:M9" location="'DEC 2017'!A86" display="BASE METAL" xr:uid="{00000000-0004-0000-3C00-000005000000}"/>
    <hyperlink ref="M1" location="MASTER!A1" display="Back" xr:uid="{00000000-0004-0000-3C00-000006000000}"/>
  </hyperlinks>
  <pageMargins left="0" right="0" top="0" bottom="0" header="0" footer="0"/>
  <pageSetup paperSize="9" orientation="portrait" r:id="rId4"/>
  <drawing r:id="rId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W92"/>
  <sheetViews>
    <sheetView workbookViewId="0">
      <selection activeCell="A86" sqref="A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43101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20</v>
      </c>
      <c r="O4" s="355">
        <f>V29</f>
        <v>13</v>
      </c>
      <c r="P4" s="355">
        <f>W29</f>
        <v>7</v>
      </c>
      <c r="Q4" s="356">
        <f>N4-O4-P4</f>
        <v>0</v>
      </c>
      <c r="R4" s="343">
        <f>O4/N4</f>
        <v>0.65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43102</v>
      </c>
      <c r="D6" s="192" t="s">
        <v>23</v>
      </c>
      <c r="E6" s="192" t="s">
        <v>24</v>
      </c>
      <c r="F6" s="193">
        <v>29200</v>
      </c>
      <c r="G6" s="193">
        <v>29175</v>
      </c>
      <c r="H6" s="192">
        <v>25</v>
      </c>
      <c r="I6" s="193">
        <v>100</v>
      </c>
      <c r="J6" s="267">
        <f>H6*I6</f>
        <v>2500</v>
      </c>
      <c r="K6" s="185"/>
      <c r="M6" s="362" t="s">
        <v>258</v>
      </c>
      <c r="N6" s="347">
        <f>COUNT(C37:C59)</f>
        <v>20</v>
      </c>
      <c r="O6" s="348">
        <f>V60</f>
        <v>17</v>
      </c>
      <c r="P6" s="348">
        <f>W60</f>
        <v>3</v>
      </c>
      <c r="Q6" s="349">
        <f>N6-O6-P6</f>
        <v>0</v>
      </c>
      <c r="R6" s="345">
        <f t="shared" ref="R6" si="0">O6/N6</f>
        <v>0.85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43103</v>
      </c>
      <c r="D7" s="196" t="s">
        <v>23</v>
      </c>
      <c r="E7" s="196" t="s">
        <v>24</v>
      </c>
      <c r="F7" s="197">
        <v>29240</v>
      </c>
      <c r="G7" s="197">
        <v>29175</v>
      </c>
      <c r="H7" s="196">
        <v>65</v>
      </c>
      <c r="I7" s="197">
        <v>100</v>
      </c>
      <c r="J7" s="268">
        <f t="shared" ref="J7:J28" si="1">H7*I7</f>
        <v>6500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43104</v>
      </c>
      <c r="D8" s="196" t="s">
        <v>23</v>
      </c>
      <c r="E8" s="196" t="s">
        <v>24</v>
      </c>
      <c r="F8" s="197">
        <v>29120</v>
      </c>
      <c r="G8" s="197">
        <v>29220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COUNT(C68:C90)</f>
        <v>20</v>
      </c>
      <c r="O8" s="348">
        <f>V91</f>
        <v>13</v>
      </c>
      <c r="P8" s="348">
        <f>W91</f>
        <v>7</v>
      </c>
      <c r="Q8" s="349">
        <f>N8-O8-P8</f>
        <v>0</v>
      </c>
      <c r="R8" s="345">
        <f t="shared" ref="R8" si="4">O8/N8</f>
        <v>0.65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43105</v>
      </c>
      <c r="D9" s="196" t="s">
        <v>23</v>
      </c>
      <c r="E9" s="196" t="s">
        <v>24</v>
      </c>
      <c r="F9" s="197">
        <v>29220</v>
      </c>
      <c r="G9" s="197">
        <v>29165</v>
      </c>
      <c r="H9" s="196">
        <v>55</v>
      </c>
      <c r="I9" s="197">
        <v>100</v>
      </c>
      <c r="J9" s="268">
        <f t="shared" si="1"/>
        <v>5500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43108</v>
      </c>
      <c r="D10" s="196" t="s">
        <v>23</v>
      </c>
      <c r="E10" s="196" t="s">
        <v>24</v>
      </c>
      <c r="F10" s="197">
        <v>29220</v>
      </c>
      <c r="G10" s="197">
        <v>29240</v>
      </c>
      <c r="H10" s="196">
        <v>-20</v>
      </c>
      <c r="I10" s="197">
        <v>100</v>
      </c>
      <c r="J10" s="268">
        <f t="shared" si="1"/>
        <v>-2000</v>
      </c>
      <c r="K10" s="185"/>
      <c r="M10" s="319" t="s">
        <v>300</v>
      </c>
      <c r="N10" s="321">
        <f>SUM(N4:N9)</f>
        <v>60</v>
      </c>
      <c r="O10" s="321">
        <f>SUM(O4:O9)</f>
        <v>43</v>
      </c>
      <c r="P10" s="321">
        <f>SUM(P4:P9)</f>
        <v>17</v>
      </c>
      <c r="Q10" s="341">
        <f>SUM(Q4:Q9)</f>
        <v>0</v>
      </c>
      <c r="R10" s="343">
        <f t="shared" ref="R10" si="5">O10/N10</f>
        <v>0.71666666666666667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43109</v>
      </c>
      <c r="D11" s="196" t="s">
        <v>23</v>
      </c>
      <c r="E11" s="196" t="s">
        <v>24</v>
      </c>
      <c r="F11" s="197">
        <v>29260</v>
      </c>
      <c r="G11" s="197">
        <v>29160</v>
      </c>
      <c r="H11" s="196">
        <v>100</v>
      </c>
      <c r="I11" s="197">
        <v>100</v>
      </c>
      <c r="J11" s="268">
        <f t="shared" si="1"/>
        <v>10000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43110</v>
      </c>
      <c r="D12" s="196" t="s">
        <v>23</v>
      </c>
      <c r="E12" s="196" t="s">
        <v>24</v>
      </c>
      <c r="F12" s="197">
        <v>29190</v>
      </c>
      <c r="G12" s="197">
        <v>29290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0.71666666666666667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43111</v>
      </c>
      <c r="D13" s="196" t="s">
        <v>23</v>
      </c>
      <c r="E13" s="196" t="s">
        <v>24</v>
      </c>
      <c r="F13" s="197">
        <v>29330</v>
      </c>
      <c r="G13" s="197">
        <v>29370</v>
      </c>
      <c r="H13" s="196">
        <v>-30</v>
      </c>
      <c r="I13" s="197">
        <v>100</v>
      </c>
      <c r="J13" s="268">
        <f t="shared" si="1"/>
        <v>-3000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43112</v>
      </c>
      <c r="D14" s="196" t="s">
        <v>23</v>
      </c>
      <c r="E14" s="196" t="s">
        <v>24</v>
      </c>
      <c r="F14" s="197">
        <v>29480</v>
      </c>
      <c r="G14" s="197">
        <v>29580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43116</v>
      </c>
      <c r="D15" s="196" t="s">
        <v>23</v>
      </c>
      <c r="E15" s="196" t="s">
        <v>24</v>
      </c>
      <c r="F15" s="197">
        <v>29820</v>
      </c>
      <c r="G15" s="197">
        <v>29760</v>
      </c>
      <c r="H15" s="196">
        <v>60</v>
      </c>
      <c r="I15" s="197">
        <v>100</v>
      </c>
      <c r="J15" s="268">
        <f t="shared" si="1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43117</v>
      </c>
      <c r="D16" s="196" t="s">
        <v>23</v>
      </c>
      <c r="E16" s="196" t="s">
        <v>24</v>
      </c>
      <c r="F16" s="197">
        <v>29800</v>
      </c>
      <c r="G16" s="197">
        <v>29700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43118</v>
      </c>
      <c r="D17" s="196" t="s">
        <v>23</v>
      </c>
      <c r="E17" s="196" t="s">
        <v>24</v>
      </c>
      <c r="F17" s="197">
        <v>29620</v>
      </c>
      <c r="G17" s="197">
        <v>29675</v>
      </c>
      <c r="H17" s="196">
        <v>-55</v>
      </c>
      <c r="I17" s="197">
        <v>100</v>
      </c>
      <c r="J17" s="268">
        <f t="shared" si="1"/>
        <v>-5500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43119</v>
      </c>
      <c r="D18" s="196" t="s">
        <v>23</v>
      </c>
      <c r="E18" s="196" t="s">
        <v>24</v>
      </c>
      <c r="F18" s="197">
        <v>29760</v>
      </c>
      <c r="G18" s="197">
        <v>29730</v>
      </c>
      <c r="H18" s="196">
        <v>30</v>
      </c>
      <c r="I18" s="197">
        <v>100</v>
      </c>
      <c r="J18" s="268">
        <f t="shared" si="1"/>
        <v>3000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43122</v>
      </c>
      <c r="D19" s="196" t="s">
        <v>23</v>
      </c>
      <c r="E19" s="196" t="s">
        <v>24</v>
      </c>
      <c r="F19" s="197">
        <v>29820</v>
      </c>
      <c r="G19" s="197">
        <v>29755</v>
      </c>
      <c r="H19" s="196">
        <v>65</v>
      </c>
      <c r="I19" s="197">
        <v>100</v>
      </c>
      <c r="J19" s="268">
        <f t="shared" si="1"/>
        <v>6500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43123</v>
      </c>
      <c r="D20" s="196" t="s">
        <v>16</v>
      </c>
      <c r="E20" s="196" t="s">
        <v>24</v>
      </c>
      <c r="F20" s="197">
        <v>29850</v>
      </c>
      <c r="G20" s="197">
        <v>29910</v>
      </c>
      <c r="H20" s="196"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43124</v>
      </c>
      <c r="D21" s="196" t="s">
        <v>16</v>
      </c>
      <c r="E21" s="196" t="s">
        <v>24</v>
      </c>
      <c r="F21" s="197">
        <v>30020</v>
      </c>
      <c r="G21" s="197">
        <v>30220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43125</v>
      </c>
      <c r="D22" s="196" t="s">
        <v>16</v>
      </c>
      <c r="E22" s="196" t="s">
        <v>24</v>
      </c>
      <c r="F22" s="197">
        <v>30420</v>
      </c>
      <c r="G22" s="197">
        <v>30320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43129</v>
      </c>
      <c r="D23" s="196" t="s">
        <v>16</v>
      </c>
      <c r="E23" s="196" t="s">
        <v>24</v>
      </c>
      <c r="F23" s="197">
        <v>30070</v>
      </c>
      <c r="G23" s="197">
        <v>30130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43130</v>
      </c>
      <c r="D24" s="196" t="s">
        <v>16</v>
      </c>
      <c r="E24" s="196" t="s">
        <v>24</v>
      </c>
      <c r="F24" s="197">
        <v>29955</v>
      </c>
      <c r="G24" s="197">
        <v>30155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43131</v>
      </c>
      <c r="D25" s="196" t="s">
        <v>23</v>
      </c>
      <c r="E25" s="196" t="s">
        <v>24</v>
      </c>
      <c r="F25" s="197">
        <v>30160</v>
      </c>
      <c r="G25" s="197">
        <v>30100</v>
      </c>
      <c r="H25" s="196">
        <v>60</v>
      </c>
      <c r="I25" s="197">
        <v>100</v>
      </c>
      <c r="J25" s="268">
        <f t="shared" si="1"/>
        <v>6000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/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57500</v>
      </c>
      <c r="K29" s="185"/>
      <c r="V29" s="183">
        <f>SUM(V6:V28)</f>
        <v>13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873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43101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43102</v>
      </c>
      <c r="D37" s="192" t="s">
        <v>23</v>
      </c>
      <c r="E37" s="192" t="s">
        <v>25</v>
      </c>
      <c r="F37" s="193">
        <v>3840</v>
      </c>
      <c r="G37" s="193">
        <v>3820</v>
      </c>
      <c r="H37" s="192">
        <v>20</v>
      </c>
      <c r="I37" s="193">
        <v>100</v>
      </c>
      <c r="J37" s="267">
        <f t="shared" ref="J37:J59" si="6">I37*H37</f>
        <v>2000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43103</v>
      </c>
      <c r="D38" s="196" t="s">
        <v>23</v>
      </c>
      <c r="E38" s="196" t="s">
        <v>25</v>
      </c>
      <c r="F38" s="197">
        <v>3835</v>
      </c>
      <c r="G38" s="197">
        <v>3870</v>
      </c>
      <c r="H38" s="196">
        <v>-35</v>
      </c>
      <c r="I38" s="197">
        <v>100</v>
      </c>
      <c r="J38" s="268">
        <f t="shared" si="6"/>
        <v>-3500</v>
      </c>
      <c r="K38" s="185"/>
      <c r="V38" s="183">
        <f t="shared" ref="V38:V59" si="7">IF($J38&gt;0,1,0)</f>
        <v>0</v>
      </c>
      <c r="W38" s="183">
        <f t="shared" ref="W38:W59" si="8">IF($J38&lt;0,1,0)</f>
        <v>1</v>
      </c>
    </row>
    <row r="39" spans="1:23" x14ac:dyDescent="0.3">
      <c r="A39" s="184"/>
      <c r="B39" s="194">
        <v>3</v>
      </c>
      <c r="C39" s="195">
        <v>43104</v>
      </c>
      <c r="D39" s="196" t="s">
        <v>23</v>
      </c>
      <c r="E39" s="196" t="s">
        <v>25</v>
      </c>
      <c r="F39" s="197">
        <v>3940</v>
      </c>
      <c r="G39" s="197">
        <v>3905</v>
      </c>
      <c r="H39" s="196">
        <v>35</v>
      </c>
      <c r="I39" s="197">
        <v>100</v>
      </c>
      <c r="J39" s="268">
        <f t="shared" si="6"/>
        <v>3500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43105</v>
      </c>
      <c r="D40" s="196" t="s">
        <v>23</v>
      </c>
      <c r="E40" s="196" t="s">
        <v>25</v>
      </c>
      <c r="F40" s="197">
        <v>3920</v>
      </c>
      <c r="G40" s="197">
        <v>3885</v>
      </c>
      <c r="H40" s="196">
        <v>35</v>
      </c>
      <c r="I40" s="197">
        <v>100</v>
      </c>
      <c r="J40" s="268">
        <f t="shared" si="6"/>
        <v>3500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43108</v>
      </c>
      <c r="D41" s="196" t="s">
        <v>16</v>
      </c>
      <c r="E41" s="196" t="s">
        <v>25</v>
      </c>
      <c r="F41" s="197">
        <v>3895</v>
      </c>
      <c r="G41" s="197">
        <v>3930</v>
      </c>
      <c r="H41" s="196">
        <v>35</v>
      </c>
      <c r="I41" s="197">
        <v>100</v>
      </c>
      <c r="J41" s="268">
        <f t="shared" si="6"/>
        <v>3500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43109</v>
      </c>
      <c r="D42" s="196" t="s">
        <v>23</v>
      </c>
      <c r="E42" s="196" t="s">
        <v>25</v>
      </c>
      <c r="F42" s="197">
        <v>3955</v>
      </c>
      <c r="G42" s="197">
        <v>3935</v>
      </c>
      <c r="H42" s="196">
        <v>20</v>
      </c>
      <c r="I42" s="197">
        <v>100</v>
      </c>
      <c r="J42" s="268">
        <f t="shared" si="6"/>
        <v>2000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43110</v>
      </c>
      <c r="D43" s="196" t="s">
        <v>23</v>
      </c>
      <c r="E43" s="196" t="s">
        <v>25</v>
      </c>
      <c r="F43" s="197">
        <v>4050</v>
      </c>
      <c r="G43" s="197">
        <v>4020</v>
      </c>
      <c r="H43" s="196">
        <v>30</v>
      </c>
      <c r="I43" s="197">
        <v>100</v>
      </c>
      <c r="J43" s="268">
        <f t="shared" si="6"/>
        <v>3000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43111</v>
      </c>
      <c r="D44" s="196" t="s">
        <v>16</v>
      </c>
      <c r="E44" s="196" t="s">
        <v>25</v>
      </c>
      <c r="F44" s="197">
        <v>4045</v>
      </c>
      <c r="G44" s="197">
        <v>4115</v>
      </c>
      <c r="H44" s="196">
        <v>70</v>
      </c>
      <c r="I44" s="197">
        <v>100</v>
      </c>
      <c r="J44" s="268">
        <f t="shared" si="6"/>
        <v>7000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43112</v>
      </c>
      <c r="D45" s="196" t="s">
        <v>16</v>
      </c>
      <c r="E45" s="196" t="s">
        <v>25</v>
      </c>
      <c r="F45" s="197">
        <v>4030</v>
      </c>
      <c r="G45" s="197">
        <v>4077</v>
      </c>
      <c r="H45" s="196">
        <v>47</v>
      </c>
      <c r="I45" s="197">
        <v>100</v>
      </c>
      <c r="J45" s="268">
        <f t="shared" si="6"/>
        <v>4700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43116</v>
      </c>
      <c r="D46" s="196" t="s">
        <v>16</v>
      </c>
      <c r="E46" s="196" t="s">
        <v>25</v>
      </c>
      <c r="F46" s="197">
        <v>4105</v>
      </c>
      <c r="G46" s="197">
        <v>4125</v>
      </c>
      <c r="H46" s="196">
        <v>20</v>
      </c>
      <c r="I46" s="197">
        <v>100</v>
      </c>
      <c r="J46" s="268">
        <f t="shared" si="6"/>
        <v>2000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43117</v>
      </c>
      <c r="D47" s="196" t="s">
        <v>16</v>
      </c>
      <c r="E47" s="196" t="s">
        <v>25</v>
      </c>
      <c r="F47" s="197">
        <v>4070</v>
      </c>
      <c r="G47" s="197">
        <v>4095</v>
      </c>
      <c r="H47" s="196">
        <v>25</v>
      </c>
      <c r="I47" s="197">
        <v>100</v>
      </c>
      <c r="J47" s="268">
        <f t="shared" si="6"/>
        <v>2500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43118</v>
      </c>
      <c r="D48" s="196" t="s">
        <v>23</v>
      </c>
      <c r="E48" s="196" t="s">
        <v>25</v>
      </c>
      <c r="F48" s="197">
        <v>4085</v>
      </c>
      <c r="G48" s="197">
        <v>4055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43119</v>
      </c>
      <c r="D49" s="196" t="s">
        <v>16</v>
      </c>
      <c r="E49" s="196" t="s">
        <v>25</v>
      </c>
      <c r="F49" s="197">
        <v>4025</v>
      </c>
      <c r="G49" s="197">
        <v>4070</v>
      </c>
      <c r="H49" s="196">
        <v>45</v>
      </c>
      <c r="I49" s="197">
        <v>100</v>
      </c>
      <c r="J49" s="268">
        <f t="shared" si="6"/>
        <v>4500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43122</v>
      </c>
      <c r="D50" s="196" t="s">
        <v>23</v>
      </c>
      <c r="E50" s="196" t="s">
        <v>25</v>
      </c>
      <c r="F50" s="197">
        <v>4060</v>
      </c>
      <c r="G50" s="197">
        <v>4040</v>
      </c>
      <c r="H50" s="196">
        <v>20</v>
      </c>
      <c r="I50" s="197">
        <v>100</v>
      </c>
      <c r="J50" s="268">
        <f t="shared" si="6"/>
        <v>2000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43123</v>
      </c>
      <c r="D51" s="196" t="s">
        <v>23</v>
      </c>
      <c r="E51" s="196" t="s">
        <v>25</v>
      </c>
      <c r="F51" s="197">
        <v>4085</v>
      </c>
      <c r="G51" s="197">
        <v>4120</v>
      </c>
      <c r="H51" s="196">
        <v>-35</v>
      </c>
      <c r="I51" s="197">
        <v>100</v>
      </c>
      <c r="J51" s="268">
        <f t="shared" si="6"/>
        <v>-3500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16</v>
      </c>
      <c r="C52" s="195">
        <v>43124</v>
      </c>
      <c r="D52" s="196" t="s">
        <v>23</v>
      </c>
      <c r="E52" s="196" t="s">
        <v>25</v>
      </c>
      <c r="F52" s="197">
        <v>4110</v>
      </c>
      <c r="G52" s="197">
        <v>4140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43125</v>
      </c>
      <c r="D53" s="196" t="s">
        <v>16</v>
      </c>
      <c r="E53" s="196" t="s">
        <v>25</v>
      </c>
      <c r="F53" s="197">
        <v>4205</v>
      </c>
      <c r="G53" s="197">
        <v>4225</v>
      </c>
      <c r="H53" s="196">
        <v>20</v>
      </c>
      <c r="I53" s="197">
        <v>100</v>
      </c>
      <c r="J53" s="268">
        <f t="shared" si="6"/>
        <v>2000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43129</v>
      </c>
      <c r="D54" s="196" t="s">
        <v>23</v>
      </c>
      <c r="E54" s="196" t="s">
        <v>25</v>
      </c>
      <c r="F54" s="197">
        <v>4215</v>
      </c>
      <c r="G54" s="197">
        <v>4145</v>
      </c>
      <c r="H54" s="196">
        <v>70</v>
      </c>
      <c r="I54" s="197">
        <v>100</v>
      </c>
      <c r="J54" s="268">
        <f t="shared" si="6"/>
        <v>7000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43130</v>
      </c>
      <c r="D55" s="196" t="s">
        <v>16</v>
      </c>
      <c r="E55" s="196" t="s">
        <v>25</v>
      </c>
      <c r="F55" s="197">
        <v>4130</v>
      </c>
      <c r="G55" s="197">
        <v>4151</v>
      </c>
      <c r="H55" s="196">
        <v>21</v>
      </c>
      <c r="I55" s="197">
        <v>100</v>
      </c>
      <c r="J55" s="268">
        <f t="shared" si="6"/>
        <v>2100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43131</v>
      </c>
      <c r="D56" s="196" t="s">
        <v>23</v>
      </c>
      <c r="E56" s="196" t="s">
        <v>25</v>
      </c>
      <c r="F56" s="197">
        <v>4090</v>
      </c>
      <c r="G56" s="197">
        <v>4070</v>
      </c>
      <c r="H56" s="196">
        <v>20</v>
      </c>
      <c r="I56" s="197">
        <v>100</v>
      </c>
      <c r="J56" s="268">
        <f t="shared" si="6"/>
        <v>2000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46300</v>
      </c>
      <c r="K60" s="185"/>
      <c r="V60" s="183">
        <f>SUM(V37:V59)</f>
        <v>17</v>
      </c>
      <c r="W60" s="183">
        <f>SUM(W37:W59)</f>
        <v>3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43101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43102</v>
      </c>
      <c r="D68" s="216" t="s">
        <v>23</v>
      </c>
      <c r="E68" s="216" t="s">
        <v>28</v>
      </c>
      <c r="F68" s="256">
        <v>211.3</v>
      </c>
      <c r="G68" s="256">
        <v>212.3</v>
      </c>
      <c r="H68" s="216">
        <v>-1</v>
      </c>
      <c r="I68" s="218">
        <v>5000</v>
      </c>
      <c r="J68" s="273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v>2</v>
      </c>
      <c r="C69" s="195">
        <v>43103</v>
      </c>
      <c r="D69" s="196" t="s">
        <v>23</v>
      </c>
      <c r="E69" s="196" t="s">
        <v>28</v>
      </c>
      <c r="F69" s="222">
        <v>212.8</v>
      </c>
      <c r="G69" s="222">
        <v>212.2</v>
      </c>
      <c r="H69" s="222">
        <v>0.6</v>
      </c>
      <c r="I69" s="197">
        <v>5000</v>
      </c>
      <c r="J69" s="268">
        <f t="shared" ref="J69:J90" si="9">I69*H69</f>
        <v>3000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43104</v>
      </c>
      <c r="D70" s="196" t="s">
        <v>23</v>
      </c>
      <c r="E70" s="196" t="s">
        <v>28</v>
      </c>
      <c r="F70" s="222">
        <v>213.6</v>
      </c>
      <c r="G70" s="222">
        <v>213.1</v>
      </c>
      <c r="H70" s="222">
        <v>0.5</v>
      </c>
      <c r="I70" s="197">
        <v>5000</v>
      </c>
      <c r="J70" s="268">
        <f t="shared" si="9"/>
        <v>2500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43105</v>
      </c>
      <c r="D71" s="196" t="s">
        <v>23</v>
      </c>
      <c r="E71" s="196" t="s">
        <v>28</v>
      </c>
      <c r="F71" s="222">
        <v>213.5</v>
      </c>
      <c r="G71" s="222">
        <v>214.5</v>
      </c>
      <c r="H71" s="222">
        <v>-1</v>
      </c>
      <c r="I71" s="197">
        <v>5000</v>
      </c>
      <c r="J71" s="268">
        <f t="shared" si="9"/>
        <v>-5000</v>
      </c>
      <c r="K71" s="185"/>
      <c r="V71" s="183">
        <f t="shared" si="10"/>
        <v>0</v>
      </c>
      <c r="W71" s="183">
        <f t="shared" si="11"/>
        <v>1</v>
      </c>
    </row>
    <row r="72" spans="1:23" x14ac:dyDescent="0.3">
      <c r="A72" s="184"/>
      <c r="B72" s="194">
        <v>5</v>
      </c>
      <c r="C72" s="195">
        <v>43108</v>
      </c>
      <c r="D72" s="196" t="s">
        <v>23</v>
      </c>
      <c r="E72" s="196" t="s">
        <v>28</v>
      </c>
      <c r="F72" s="222">
        <v>214.8</v>
      </c>
      <c r="G72" s="222">
        <v>215.8</v>
      </c>
      <c r="H72" s="222">
        <v>-1</v>
      </c>
      <c r="I72" s="197">
        <v>5000</v>
      </c>
      <c r="J72" s="268">
        <f t="shared" si="9"/>
        <v>-5000</v>
      </c>
      <c r="K72" s="185"/>
      <c r="V72" s="183">
        <f t="shared" si="10"/>
        <v>0</v>
      </c>
      <c r="W72" s="183">
        <f t="shared" si="11"/>
        <v>1</v>
      </c>
    </row>
    <row r="73" spans="1:23" x14ac:dyDescent="0.3">
      <c r="A73" s="184"/>
      <c r="B73" s="194">
        <v>6</v>
      </c>
      <c r="C73" s="195">
        <v>43109</v>
      </c>
      <c r="D73" s="196" t="s">
        <v>23</v>
      </c>
      <c r="E73" s="196" t="s">
        <v>28</v>
      </c>
      <c r="F73" s="222">
        <v>216.5</v>
      </c>
      <c r="G73" s="222">
        <v>214.5</v>
      </c>
      <c r="H73" s="222">
        <v>2</v>
      </c>
      <c r="I73" s="197">
        <v>5000</v>
      </c>
      <c r="J73" s="268">
        <f t="shared" si="9"/>
        <v>10000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43110</v>
      </c>
      <c r="D74" s="196" t="s">
        <v>16</v>
      </c>
      <c r="E74" s="196" t="s">
        <v>28</v>
      </c>
      <c r="F74" s="222">
        <v>213</v>
      </c>
      <c r="G74" s="222">
        <v>215</v>
      </c>
      <c r="H74" s="274">
        <v>2</v>
      </c>
      <c r="I74" s="197">
        <v>5000</v>
      </c>
      <c r="J74" s="268">
        <f t="shared" si="9"/>
        <v>10000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43111</v>
      </c>
      <c r="D75" s="196" t="s">
        <v>23</v>
      </c>
      <c r="E75" s="196" t="s">
        <v>28</v>
      </c>
      <c r="F75" s="222">
        <v>215.4</v>
      </c>
      <c r="G75" s="222">
        <v>216.4</v>
      </c>
      <c r="H75" s="222">
        <v>-1</v>
      </c>
      <c r="I75" s="197">
        <v>5000</v>
      </c>
      <c r="J75" s="268">
        <f t="shared" si="9"/>
        <v>-5000</v>
      </c>
      <c r="K75" s="185"/>
      <c r="V75" s="183">
        <f t="shared" si="10"/>
        <v>0</v>
      </c>
      <c r="W75" s="183">
        <f t="shared" si="11"/>
        <v>1</v>
      </c>
    </row>
    <row r="76" spans="1:23" x14ac:dyDescent="0.3">
      <c r="A76" s="184"/>
      <c r="B76" s="194">
        <v>9</v>
      </c>
      <c r="C76" s="195">
        <v>43112</v>
      </c>
      <c r="D76" s="196" t="s">
        <v>23</v>
      </c>
      <c r="E76" s="196" t="s">
        <v>28</v>
      </c>
      <c r="F76" s="222">
        <v>217</v>
      </c>
      <c r="G76" s="222">
        <v>216</v>
      </c>
      <c r="H76" s="222">
        <v>1</v>
      </c>
      <c r="I76" s="197">
        <v>5000</v>
      </c>
      <c r="J76" s="268">
        <f t="shared" si="9"/>
        <v>5000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43116</v>
      </c>
      <c r="D77" s="196" t="s">
        <v>23</v>
      </c>
      <c r="E77" s="196" t="s">
        <v>28</v>
      </c>
      <c r="F77" s="222">
        <v>218</v>
      </c>
      <c r="G77" s="222">
        <v>217</v>
      </c>
      <c r="H77" s="222">
        <v>1</v>
      </c>
      <c r="I77" s="197">
        <v>5000</v>
      </c>
      <c r="J77" s="268">
        <f t="shared" si="9"/>
        <v>5000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43117</v>
      </c>
      <c r="D78" s="196" t="s">
        <v>23</v>
      </c>
      <c r="E78" s="196" t="s">
        <v>28</v>
      </c>
      <c r="F78" s="222">
        <v>218.9</v>
      </c>
      <c r="G78" s="222">
        <v>217.45</v>
      </c>
      <c r="H78" s="274">
        <v>1.45</v>
      </c>
      <c r="I78" s="197">
        <v>5000</v>
      </c>
      <c r="J78" s="268">
        <f t="shared" si="9"/>
        <v>7250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43118</v>
      </c>
      <c r="D79" s="196" t="s">
        <v>16</v>
      </c>
      <c r="E79" s="196" t="s">
        <v>28</v>
      </c>
      <c r="F79" s="222">
        <v>218</v>
      </c>
      <c r="G79" s="222">
        <v>218.5</v>
      </c>
      <c r="H79" s="274">
        <v>0.5</v>
      </c>
      <c r="I79" s="197">
        <v>5000</v>
      </c>
      <c r="J79" s="268">
        <f t="shared" si="9"/>
        <v>2500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43119</v>
      </c>
      <c r="D80" s="196" t="s">
        <v>16</v>
      </c>
      <c r="E80" s="196" t="s">
        <v>28</v>
      </c>
      <c r="F80" s="222">
        <v>218.5</v>
      </c>
      <c r="G80" s="222">
        <v>220.5</v>
      </c>
      <c r="H80" s="274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43122</v>
      </c>
      <c r="D81" s="196" t="s">
        <v>16</v>
      </c>
      <c r="E81" s="196" t="s">
        <v>28</v>
      </c>
      <c r="F81" s="222">
        <v>220</v>
      </c>
      <c r="G81" s="222">
        <v>219</v>
      </c>
      <c r="H81" s="274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15</v>
      </c>
      <c r="C82" s="195">
        <v>43123</v>
      </c>
      <c r="D82" s="196" t="s">
        <v>16</v>
      </c>
      <c r="E82" s="196" t="s">
        <v>28</v>
      </c>
      <c r="F82" s="223">
        <v>219.3</v>
      </c>
      <c r="G82" s="222">
        <v>219.8</v>
      </c>
      <c r="H82" s="274">
        <v>0.5</v>
      </c>
      <c r="I82" s="197">
        <v>5000</v>
      </c>
      <c r="J82" s="268">
        <f t="shared" si="9"/>
        <v>2500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43124</v>
      </c>
      <c r="D83" s="196" t="s">
        <v>16</v>
      </c>
      <c r="E83" s="196" t="s">
        <v>28</v>
      </c>
      <c r="F83" s="222">
        <v>217.5</v>
      </c>
      <c r="G83" s="222">
        <v>219.5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43125</v>
      </c>
      <c r="D84" s="196" t="s">
        <v>16</v>
      </c>
      <c r="E84" s="196" t="s">
        <v>28</v>
      </c>
      <c r="F84" s="222">
        <v>222</v>
      </c>
      <c r="G84" s="222">
        <v>221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18</v>
      </c>
      <c r="C85" s="195">
        <v>43129</v>
      </c>
      <c r="D85" s="196" t="s">
        <v>23</v>
      </c>
      <c r="E85" s="196" t="s">
        <v>28</v>
      </c>
      <c r="F85" s="222">
        <v>227.5</v>
      </c>
      <c r="G85" s="222">
        <v>228.5</v>
      </c>
      <c r="H85" s="274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19</v>
      </c>
      <c r="C86" s="195">
        <v>43130</v>
      </c>
      <c r="D86" s="196" t="s">
        <v>16</v>
      </c>
      <c r="E86" s="196" t="s">
        <v>28</v>
      </c>
      <c r="F86" s="222">
        <v>227.3</v>
      </c>
      <c r="G86" s="222">
        <v>227.8</v>
      </c>
      <c r="H86" s="274">
        <v>0.5</v>
      </c>
      <c r="I86" s="197">
        <v>5000</v>
      </c>
      <c r="J86" s="268">
        <f t="shared" si="9"/>
        <v>2500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20</v>
      </c>
      <c r="C87" s="195">
        <v>43131</v>
      </c>
      <c r="D87" s="196" t="s">
        <v>23</v>
      </c>
      <c r="E87" s="196" t="s">
        <v>28</v>
      </c>
      <c r="F87" s="222">
        <v>226.3</v>
      </c>
      <c r="G87" s="222">
        <v>225.3</v>
      </c>
      <c r="H87" s="274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196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196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40250</v>
      </c>
      <c r="K91" s="185"/>
      <c r="V91" s="183">
        <f>SUM(V68:V90)</f>
        <v>13</v>
      </c>
      <c r="W91" s="183">
        <f>SUM(W68:W90)</f>
        <v>7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  <c r="N92" s="183">
        <v>1</v>
      </c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3D00-000000000000}"/>
    <hyperlink ref="B60" r:id="rId2" xr:uid="{00000000-0004-0000-3D00-000001000000}"/>
    <hyperlink ref="M4:M5" location="'JAN 2018'!A1" display="BULLION" xr:uid="{00000000-0004-0000-3D00-000002000000}"/>
    <hyperlink ref="M6:M7" location="'JAN 2018'!A54" display="ENERGY" xr:uid="{00000000-0004-0000-3D00-000003000000}"/>
    <hyperlink ref="B91" r:id="rId3" xr:uid="{00000000-0004-0000-3D00-000004000000}"/>
    <hyperlink ref="M8:M9" location="'JAN 2018'!A86" display="BASE METAL" xr:uid="{00000000-0004-0000-3D00-000005000000}"/>
    <hyperlink ref="M1" location="MASTER!A1" display="Back" xr:uid="{00000000-0004-0000-3D00-000006000000}"/>
  </hyperlinks>
  <pageMargins left="0" right="0" top="0" bottom="0" header="0" footer="0"/>
  <pageSetup paperSize="9" orientation="portrait" r:id="rId4"/>
  <drawing r:id="rId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W92"/>
  <sheetViews>
    <sheetView workbookViewId="0">
      <selection activeCell="A86" sqref="A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43132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18</v>
      </c>
      <c r="O4" s="355">
        <f>V29</f>
        <v>11</v>
      </c>
      <c r="P4" s="355">
        <f>W29</f>
        <v>7</v>
      </c>
      <c r="Q4" s="356">
        <f>N4-O4-P4</f>
        <v>0</v>
      </c>
      <c r="R4" s="343">
        <f>O4/N4</f>
        <v>0.61111111111111116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43132</v>
      </c>
      <c r="D6" s="192" t="s">
        <v>16</v>
      </c>
      <c r="E6" s="192" t="s">
        <v>24</v>
      </c>
      <c r="F6" s="193">
        <v>30100</v>
      </c>
      <c r="G6" s="193">
        <v>30300</v>
      </c>
      <c r="H6" s="192">
        <v>200</v>
      </c>
      <c r="I6" s="193">
        <v>100</v>
      </c>
      <c r="J6" s="267">
        <f>H6*I6</f>
        <v>20000</v>
      </c>
      <c r="K6" s="185"/>
      <c r="M6" s="362" t="s">
        <v>258</v>
      </c>
      <c r="N6" s="347">
        <f>COUNT(C37:C59)</f>
        <v>18</v>
      </c>
      <c r="O6" s="348">
        <f>V60</f>
        <v>14</v>
      </c>
      <c r="P6" s="348">
        <f>W60</f>
        <v>4</v>
      </c>
      <c r="Q6" s="349">
        <f>N6-O6-P6</f>
        <v>0</v>
      </c>
      <c r="R6" s="345">
        <f t="shared" ref="R6" si="0">O6/N6</f>
        <v>0.77777777777777779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43133</v>
      </c>
      <c r="D7" s="196" t="s">
        <v>16</v>
      </c>
      <c r="E7" s="196" t="s">
        <v>24</v>
      </c>
      <c r="F7" s="197">
        <v>30590</v>
      </c>
      <c r="G7" s="197">
        <v>30490</v>
      </c>
      <c r="H7" s="196">
        <v>-100</v>
      </c>
      <c r="I7" s="197">
        <v>100</v>
      </c>
      <c r="J7" s="268">
        <f t="shared" ref="J7:J28" si="1">H7*I7</f>
        <v>-10000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v>3</v>
      </c>
      <c r="C8" s="195">
        <v>43136</v>
      </c>
      <c r="D8" s="196" t="s">
        <v>16</v>
      </c>
      <c r="E8" s="196" t="s">
        <v>24</v>
      </c>
      <c r="F8" s="197">
        <v>30210</v>
      </c>
      <c r="G8" s="197">
        <v>30355</v>
      </c>
      <c r="H8" s="196">
        <v>145</v>
      </c>
      <c r="I8" s="197">
        <v>100</v>
      </c>
      <c r="J8" s="268">
        <f t="shared" si="1"/>
        <v>14500</v>
      </c>
      <c r="K8" s="185"/>
      <c r="M8" s="362" t="s">
        <v>877</v>
      </c>
      <c r="N8" s="347">
        <f>COUNT(C68:C90)</f>
        <v>18</v>
      </c>
      <c r="O8" s="348">
        <f>V91</f>
        <v>15</v>
      </c>
      <c r="P8" s="348">
        <f>W91</f>
        <v>3</v>
      </c>
      <c r="Q8" s="349">
        <f>N8-O8-P8</f>
        <v>0</v>
      </c>
      <c r="R8" s="345">
        <f t="shared" ref="R8" si="4">O8/N8</f>
        <v>0.83333333333333337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43137</v>
      </c>
      <c r="D9" s="196" t="s">
        <v>23</v>
      </c>
      <c r="E9" s="196" t="s">
        <v>24</v>
      </c>
      <c r="F9" s="197">
        <v>30590</v>
      </c>
      <c r="G9" s="197">
        <v>30390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43138</v>
      </c>
      <c r="D10" s="196" t="s">
        <v>16</v>
      </c>
      <c r="E10" s="196" t="s">
        <v>24</v>
      </c>
      <c r="F10" s="197">
        <v>30190</v>
      </c>
      <c r="G10" s="197">
        <v>30250</v>
      </c>
      <c r="H10" s="196">
        <v>60</v>
      </c>
      <c r="I10" s="197">
        <v>100</v>
      </c>
      <c r="J10" s="268">
        <f t="shared" si="1"/>
        <v>6000</v>
      </c>
      <c r="K10" s="185"/>
      <c r="M10" s="319" t="s">
        <v>300</v>
      </c>
      <c r="N10" s="321">
        <f>SUM(N4:N9)</f>
        <v>54</v>
      </c>
      <c r="O10" s="321">
        <f>SUM(O4:O9)</f>
        <v>40</v>
      </c>
      <c r="P10" s="321">
        <f>SUM(P4:P9)</f>
        <v>14</v>
      </c>
      <c r="Q10" s="341">
        <f>SUM(Q4:Q9)</f>
        <v>0</v>
      </c>
      <c r="R10" s="343">
        <f t="shared" ref="R10" si="5">O10/N10</f>
        <v>0.7407407407407407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43139</v>
      </c>
      <c r="D11" s="196" t="s">
        <v>23</v>
      </c>
      <c r="E11" s="196" t="s">
        <v>24</v>
      </c>
      <c r="F11" s="197">
        <v>29860</v>
      </c>
      <c r="G11" s="197">
        <v>29960</v>
      </c>
      <c r="H11" s="196">
        <v>-100</v>
      </c>
      <c r="I11" s="197">
        <v>100</v>
      </c>
      <c r="J11" s="268">
        <f t="shared" si="1"/>
        <v>-10000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43140</v>
      </c>
      <c r="D12" s="196" t="s">
        <v>16</v>
      </c>
      <c r="E12" s="196" t="s">
        <v>24</v>
      </c>
      <c r="F12" s="197">
        <v>30010</v>
      </c>
      <c r="G12" s="197">
        <v>30070</v>
      </c>
      <c r="H12" s="196">
        <v>60</v>
      </c>
      <c r="I12" s="197">
        <v>100</v>
      </c>
      <c r="J12" s="268">
        <f t="shared" si="1"/>
        <v>6000</v>
      </c>
      <c r="K12" s="185"/>
      <c r="M12" s="323" t="s">
        <v>878</v>
      </c>
      <c r="N12" s="324"/>
      <c r="O12" s="325"/>
      <c r="P12" s="332">
        <f>R10</f>
        <v>0.7407407407407407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43145</v>
      </c>
      <c r="D13" s="196" t="s">
        <v>16</v>
      </c>
      <c r="E13" s="196" t="s">
        <v>24</v>
      </c>
      <c r="F13" s="197">
        <v>30280</v>
      </c>
      <c r="G13" s="197">
        <v>30180</v>
      </c>
      <c r="H13" s="196">
        <v>-100</v>
      </c>
      <c r="I13" s="197">
        <v>100</v>
      </c>
      <c r="J13" s="268">
        <f t="shared" si="1"/>
        <v>-10000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43146</v>
      </c>
      <c r="D14" s="196" t="s">
        <v>23</v>
      </c>
      <c r="E14" s="196" t="s">
        <v>24</v>
      </c>
      <c r="F14" s="197">
        <v>30640</v>
      </c>
      <c r="G14" s="197">
        <v>30540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43147</v>
      </c>
      <c r="D15" s="196" t="s">
        <v>23</v>
      </c>
      <c r="E15" s="196" t="s">
        <v>24</v>
      </c>
      <c r="F15" s="197">
        <v>30700</v>
      </c>
      <c r="G15" s="197">
        <v>30800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43150</v>
      </c>
      <c r="D16" s="196" t="s">
        <v>23</v>
      </c>
      <c r="E16" s="196" t="s">
        <v>24</v>
      </c>
      <c r="F16" s="197">
        <v>30770</v>
      </c>
      <c r="G16" s="197">
        <v>30740</v>
      </c>
      <c r="H16" s="196">
        <v>-30</v>
      </c>
      <c r="I16" s="197">
        <v>100</v>
      </c>
      <c r="J16" s="268">
        <f t="shared" si="1"/>
        <v>-3000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43151</v>
      </c>
      <c r="D17" s="196" t="s">
        <v>23</v>
      </c>
      <c r="E17" s="196" t="s">
        <v>24</v>
      </c>
      <c r="F17" s="197">
        <v>30620</v>
      </c>
      <c r="G17" s="197">
        <v>30720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43152</v>
      </c>
      <c r="D18" s="196" t="s">
        <v>16</v>
      </c>
      <c r="E18" s="196" t="s">
        <v>24</v>
      </c>
      <c r="F18" s="197">
        <v>30400</v>
      </c>
      <c r="G18" s="197">
        <v>30500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43153</v>
      </c>
      <c r="D19" s="196" t="s">
        <v>23</v>
      </c>
      <c r="E19" s="196" t="s">
        <v>24</v>
      </c>
      <c r="F19" s="197">
        <v>30460</v>
      </c>
      <c r="G19" s="197">
        <v>30400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43154</v>
      </c>
      <c r="D20" s="196" t="s">
        <v>16</v>
      </c>
      <c r="E20" s="196" t="s">
        <v>24</v>
      </c>
      <c r="F20" s="197">
        <v>30420</v>
      </c>
      <c r="G20" s="197">
        <v>30520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43157</v>
      </c>
      <c r="D21" s="196" t="s">
        <v>23</v>
      </c>
      <c r="E21" s="196" t="s">
        <v>24</v>
      </c>
      <c r="F21" s="197">
        <v>30630</v>
      </c>
      <c r="G21" s="197">
        <v>30530</v>
      </c>
      <c r="H21" s="196">
        <v>100</v>
      </c>
      <c r="I21" s="197">
        <v>100</v>
      </c>
      <c r="J21" s="268">
        <f t="shared" si="1"/>
        <v>10000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43158</v>
      </c>
      <c r="D22" s="196" t="s">
        <v>16</v>
      </c>
      <c r="E22" s="196" t="s">
        <v>24</v>
      </c>
      <c r="F22" s="197">
        <v>30530</v>
      </c>
      <c r="G22" s="197">
        <v>30590</v>
      </c>
      <c r="H22" s="196"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43159</v>
      </c>
      <c r="D23" s="196" t="s">
        <v>23</v>
      </c>
      <c r="E23" s="196" t="s">
        <v>24</v>
      </c>
      <c r="F23" s="197">
        <v>30320</v>
      </c>
      <c r="G23" s="197">
        <v>30420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/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55500</v>
      </c>
      <c r="K29" s="185"/>
      <c r="V29" s="183">
        <f>SUM(V6:V28)</f>
        <v>11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873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43132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43132</v>
      </c>
      <c r="D37" s="192" t="s">
        <v>16</v>
      </c>
      <c r="E37" s="192" t="s">
        <v>25</v>
      </c>
      <c r="F37" s="193">
        <v>4125</v>
      </c>
      <c r="G37" s="193">
        <v>4170</v>
      </c>
      <c r="H37" s="192">
        <v>45</v>
      </c>
      <c r="I37" s="193">
        <v>100</v>
      </c>
      <c r="J37" s="267">
        <f t="shared" ref="J37:J59" si="6">I37*H37</f>
        <v>4500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43133</v>
      </c>
      <c r="D38" s="196" t="s">
        <v>140</v>
      </c>
      <c r="E38" s="196" t="s">
        <v>25</v>
      </c>
      <c r="F38" s="197">
        <v>4235</v>
      </c>
      <c r="G38" s="197">
        <v>4165</v>
      </c>
      <c r="H38" s="196">
        <v>70</v>
      </c>
      <c r="I38" s="197">
        <v>100</v>
      </c>
      <c r="J38" s="268">
        <f t="shared" si="6"/>
        <v>7000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43136</v>
      </c>
      <c r="D39" s="196" t="s">
        <v>16</v>
      </c>
      <c r="E39" s="196" t="s">
        <v>25</v>
      </c>
      <c r="F39" s="197">
        <v>4155</v>
      </c>
      <c r="G39" s="197">
        <v>4190</v>
      </c>
      <c r="H39" s="196">
        <v>35</v>
      </c>
      <c r="I39" s="197">
        <v>100</v>
      </c>
      <c r="J39" s="268">
        <f t="shared" si="6"/>
        <v>3500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43137</v>
      </c>
      <c r="D40" s="196" t="s">
        <v>16</v>
      </c>
      <c r="E40" s="196" t="s">
        <v>25</v>
      </c>
      <c r="F40" s="197">
        <v>4080</v>
      </c>
      <c r="G40" s="197">
        <v>4130</v>
      </c>
      <c r="H40" s="196">
        <v>50</v>
      </c>
      <c r="I40" s="197">
        <v>100</v>
      </c>
      <c r="J40" s="268">
        <f t="shared" si="6"/>
        <v>5000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43138</v>
      </c>
      <c r="D41" s="196" t="s">
        <v>16</v>
      </c>
      <c r="E41" s="196" t="s">
        <v>25</v>
      </c>
      <c r="F41" s="197">
        <v>4095</v>
      </c>
      <c r="G41" s="197">
        <v>4060</v>
      </c>
      <c r="H41" s="196">
        <v>-35</v>
      </c>
      <c r="I41" s="197">
        <v>100</v>
      </c>
      <c r="J41" s="268">
        <f t="shared" si="6"/>
        <v>-3500</v>
      </c>
      <c r="K41" s="185"/>
      <c r="V41" s="183">
        <f t="shared" si="7"/>
        <v>0</v>
      </c>
      <c r="W41" s="183">
        <f t="shared" si="8"/>
        <v>1</v>
      </c>
    </row>
    <row r="42" spans="1:23" x14ac:dyDescent="0.3">
      <c r="A42" s="184"/>
      <c r="B42" s="194">
        <v>6</v>
      </c>
      <c r="C42" s="195">
        <v>43139</v>
      </c>
      <c r="D42" s="196" t="s">
        <v>140</v>
      </c>
      <c r="E42" s="196" t="s">
        <v>25</v>
      </c>
      <c r="F42" s="197">
        <v>3960</v>
      </c>
      <c r="G42" s="197">
        <v>3925</v>
      </c>
      <c r="H42" s="196">
        <v>35</v>
      </c>
      <c r="I42" s="197">
        <v>100</v>
      </c>
      <c r="J42" s="268">
        <f t="shared" si="6"/>
        <v>3500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43140</v>
      </c>
      <c r="D43" s="196" t="s">
        <v>140</v>
      </c>
      <c r="E43" s="196" t="s">
        <v>25</v>
      </c>
      <c r="F43" s="197">
        <v>3900</v>
      </c>
      <c r="G43" s="197">
        <v>3855</v>
      </c>
      <c r="H43" s="196">
        <v>45</v>
      </c>
      <c r="I43" s="197">
        <v>100</v>
      </c>
      <c r="J43" s="268">
        <f t="shared" si="6"/>
        <v>4500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43145</v>
      </c>
      <c r="D44" s="196" t="s">
        <v>16</v>
      </c>
      <c r="E44" s="196" t="s">
        <v>25</v>
      </c>
      <c r="F44" s="197">
        <v>3790</v>
      </c>
      <c r="G44" s="197">
        <v>3760</v>
      </c>
      <c r="H44" s="196">
        <v>-30</v>
      </c>
      <c r="I44" s="197">
        <v>100</v>
      </c>
      <c r="J44" s="268">
        <f t="shared" si="6"/>
        <v>-3000</v>
      </c>
      <c r="K44" s="185"/>
      <c r="V44" s="183">
        <f t="shared" si="7"/>
        <v>0</v>
      </c>
      <c r="W44" s="183">
        <f t="shared" si="8"/>
        <v>1</v>
      </c>
    </row>
    <row r="45" spans="1:23" x14ac:dyDescent="0.3">
      <c r="A45" s="184"/>
      <c r="B45" s="194">
        <v>9</v>
      </c>
      <c r="C45" s="195">
        <v>43146</v>
      </c>
      <c r="D45" s="196" t="s">
        <v>140</v>
      </c>
      <c r="E45" s="196" t="s">
        <v>25</v>
      </c>
      <c r="F45" s="197">
        <v>3935</v>
      </c>
      <c r="G45" s="197">
        <v>3865</v>
      </c>
      <c r="H45" s="196">
        <v>70</v>
      </c>
      <c r="I45" s="197">
        <v>100</v>
      </c>
      <c r="J45" s="268">
        <f t="shared" si="6"/>
        <v>7000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43147</v>
      </c>
      <c r="D46" s="196" t="s">
        <v>140</v>
      </c>
      <c r="E46" s="196" t="s">
        <v>25</v>
      </c>
      <c r="F46" s="197">
        <v>3945</v>
      </c>
      <c r="G46" s="197">
        <v>3900</v>
      </c>
      <c r="H46" s="196">
        <v>45</v>
      </c>
      <c r="I46" s="197">
        <v>100</v>
      </c>
      <c r="J46" s="268">
        <f t="shared" si="6"/>
        <v>4500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43150</v>
      </c>
      <c r="D47" s="196" t="s">
        <v>140</v>
      </c>
      <c r="E47" s="196" t="s">
        <v>25</v>
      </c>
      <c r="F47" s="197">
        <v>4025</v>
      </c>
      <c r="G47" s="197">
        <v>4007</v>
      </c>
      <c r="H47" s="196">
        <v>18</v>
      </c>
      <c r="I47" s="197">
        <v>100</v>
      </c>
      <c r="J47" s="268">
        <f t="shared" si="6"/>
        <v>1800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43151</v>
      </c>
      <c r="D48" s="196" t="s">
        <v>140</v>
      </c>
      <c r="E48" s="196" t="s">
        <v>25</v>
      </c>
      <c r="F48" s="197">
        <v>4030</v>
      </c>
      <c r="G48" s="197">
        <v>4010</v>
      </c>
      <c r="H48" s="196">
        <v>20</v>
      </c>
      <c r="I48" s="197">
        <v>100</v>
      </c>
      <c r="J48" s="268">
        <f t="shared" si="6"/>
        <v>2000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43152</v>
      </c>
      <c r="D49" s="196" t="s">
        <v>140</v>
      </c>
      <c r="E49" s="196" t="s">
        <v>25</v>
      </c>
      <c r="F49" s="197">
        <v>3985</v>
      </c>
      <c r="G49" s="197">
        <v>3963</v>
      </c>
      <c r="H49" s="196">
        <v>22</v>
      </c>
      <c r="I49" s="197">
        <v>100</v>
      </c>
      <c r="J49" s="268">
        <f t="shared" si="6"/>
        <v>2200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43153</v>
      </c>
      <c r="D50" s="196" t="s">
        <v>140</v>
      </c>
      <c r="E50" s="196" t="s">
        <v>25</v>
      </c>
      <c r="F50" s="197">
        <v>3985</v>
      </c>
      <c r="G50" s="197">
        <v>4020</v>
      </c>
      <c r="H50" s="196">
        <v>-35</v>
      </c>
      <c r="I50" s="197">
        <v>100</v>
      </c>
      <c r="J50" s="268">
        <f t="shared" si="6"/>
        <v>-3500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15</v>
      </c>
      <c r="C51" s="195">
        <v>43154</v>
      </c>
      <c r="D51" s="196" t="s">
        <v>16</v>
      </c>
      <c r="E51" s="196" t="s">
        <v>25</v>
      </c>
      <c r="F51" s="197">
        <v>4075</v>
      </c>
      <c r="G51" s="197">
        <v>4055</v>
      </c>
      <c r="H51" s="196">
        <v>20</v>
      </c>
      <c r="I51" s="197">
        <v>100</v>
      </c>
      <c r="J51" s="268">
        <f t="shared" si="6"/>
        <v>2000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43157</v>
      </c>
      <c r="D52" s="196" t="s">
        <v>140</v>
      </c>
      <c r="E52" s="196" t="s">
        <v>25</v>
      </c>
      <c r="F52" s="197">
        <v>4135</v>
      </c>
      <c r="G52" s="197">
        <v>4100</v>
      </c>
      <c r="H52" s="196">
        <v>35</v>
      </c>
      <c r="I52" s="197">
        <v>100</v>
      </c>
      <c r="J52" s="268">
        <f t="shared" si="6"/>
        <v>3500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43158</v>
      </c>
      <c r="D53" s="196" t="s">
        <v>140</v>
      </c>
      <c r="E53" s="196" t="s">
        <v>25</v>
      </c>
      <c r="F53" s="197">
        <v>4150</v>
      </c>
      <c r="G53" s="197">
        <v>4100</v>
      </c>
      <c r="H53" s="196">
        <v>50</v>
      </c>
      <c r="I53" s="197">
        <v>100</v>
      </c>
      <c r="J53" s="268">
        <f t="shared" si="6"/>
        <v>5000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43159</v>
      </c>
      <c r="D54" s="196" t="s">
        <v>140</v>
      </c>
      <c r="E54" s="196" t="s">
        <v>25</v>
      </c>
      <c r="F54" s="197">
        <v>4095</v>
      </c>
      <c r="G54" s="197">
        <v>4125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19</v>
      </c>
      <c r="C55" s="195"/>
      <c r="D55" s="196"/>
      <c r="E55" s="196"/>
      <c r="F55" s="197"/>
      <c r="G55" s="197"/>
      <c r="H55" s="196"/>
      <c r="I55" s="197"/>
      <c r="J55" s="268">
        <f t="shared" si="6"/>
        <v>0</v>
      </c>
      <c r="K55" s="185"/>
      <c r="V55" s="183">
        <f t="shared" si="7"/>
        <v>0</v>
      </c>
      <c r="W55" s="183">
        <f t="shared" si="8"/>
        <v>0</v>
      </c>
    </row>
    <row r="56" spans="1:23" x14ac:dyDescent="0.3">
      <c r="A56" s="184"/>
      <c r="B56" s="194">
        <v>20</v>
      </c>
      <c r="C56" s="195"/>
      <c r="D56" s="196"/>
      <c r="E56" s="196"/>
      <c r="F56" s="197"/>
      <c r="G56" s="197"/>
      <c r="H56" s="196"/>
      <c r="I56" s="197"/>
      <c r="J56" s="268">
        <f t="shared" si="6"/>
        <v>0</v>
      </c>
      <c r="K56" s="185"/>
      <c r="V56" s="183">
        <f t="shared" si="7"/>
        <v>0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43000</v>
      </c>
      <c r="K60" s="185"/>
      <c r="V60" s="183">
        <f>SUM(V37:V59)</f>
        <v>14</v>
      </c>
      <c r="W60" s="183">
        <f>SUM(W37:W59)</f>
        <v>4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43132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43132</v>
      </c>
      <c r="D68" s="216" t="s">
        <v>23</v>
      </c>
      <c r="E68" s="216" t="s">
        <v>28</v>
      </c>
      <c r="F68" s="256">
        <v>225.6</v>
      </c>
      <c r="G68" s="256">
        <v>225.1</v>
      </c>
      <c r="H68" s="256">
        <v>0.5</v>
      </c>
      <c r="I68" s="218">
        <v>5000</v>
      </c>
      <c r="J68" s="273">
        <f>I68*H68</f>
        <v>2500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43133</v>
      </c>
      <c r="D69" s="196" t="s">
        <v>16</v>
      </c>
      <c r="E69" s="196" t="s">
        <v>28</v>
      </c>
      <c r="F69" s="222">
        <v>229.3</v>
      </c>
      <c r="G69" s="222">
        <v>228.3</v>
      </c>
      <c r="H69" s="222">
        <v>-1</v>
      </c>
      <c r="I69" s="197">
        <v>5000</v>
      </c>
      <c r="J69" s="268">
        <f t="shared" ref="J69:J90" si="9">I69*H69</f>
        <v>-5000</v>
      </c>
      <c r="K69" s="185"/>
      <c r="V69" s="183">
        <f t="shared" ref="V69:V90" si="10">IF($J69&gt;0,1,0)</f>
        <v>0</v>
      </c>
      <c r="W69" s="183">
        <f t="shared" ref="W69:W90" si="11">IF($J69&lt;0,1,0)</f>
        <v>1</v>
      </c>
    </row>
    <row r="70" spans="1:23" x14ac:dyDescent="0.3">
      <c r="A70" s="184"/>
      <c r="B70" s="194">
        <v>3</v>
      </c>
      <c r="C70" s="195">
        <v>43136</v>
      </c>
      <c r="D70" s="196" t="s">
        <v>16</v>
      </c>
      <c r="E70" s="196" t="s">
        <v>28</v>
      </c>
      <c r="F70" s="222">
        <v>225.8</v>
      </c>
      <c r="G70" s="222">
        <v>227.8</v>
      </c>
      <c r="H70" s="222">
        <v>2</v>
      </c>
      <c r="I70" s="197">
        <v>5000</v>
      </c>
      <c r="J70" s="268">
        <f t="shared" si="9"/>
        <v>10000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43137</v>
      </c>
      <c r="D71" s="196" t="s">
        <v>23</v>
      </c>
      <c r="E71" s="196" t="s">
        <v>28</v>
      </c>
      <c r="F71" s="222">
        <v>225</v>
      </c>
      <c r="G71" s="222">
        <v>223.5</v>
      </c>
      <c r="H71" s="222">
        <v>1.5</v>
      </c>
      <c r="I71" s="197">
        <v>5000</v>
      </c>
      <c r="J71" s="268">
        <f t="shared" si="9"/>
        <v>7500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43138</v>
      </c>
      <c r="D72" s="196" t="s">
        <v>23</v>
      </c>
      <c r="E72" s="196" t="s">
        <v>28</v>
      </c>
      <c r="F72" s="222">
        <v>224.6</v>
      </c>
      <c r="G72" s="222">
        <v>222.6</v>
      </c>
      <c r="H72" s="222">
        <v>2</v>
      </c>
      <c r="I72" s="197">
        <v>5000</v>
      </c>
      <c r="J72" s="268">
        <f t="shared" si="9"/>
        <v>10000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43139</v>
      </c>
      <c r="D73" s="196" t="s">
        <v>23</v>
      </c>
      <c r="E73" s="196" t="s">
        <v>28</v>
      </c>
      <c r="F73" s="222">
        <v>219.3</v>
      </c>
      <c r="G73" s="222">
        <v>217.8</v>
      </c>
      <c r="H73" s="222">
        <v>1.5</v>
      </c>
      <c r="I73" s="197">
        <v>5000</v>
      </c>
      <c r="J73" s="268">
        <f t="shared" si="9"/>
        <v>7500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43140</v>
      </c>
      <c r="D74" s="196" t="s">
        <v>23</v>
      </c>
      <c r="E74" s="196" t="s">
        <v>28</v>
      </c>
      <c r="F74" s="222">
        <v>219.9</v>
      </c>
      <c r="G74" s="222">
        <v>218.4</v>
      </c>
      <c r="H74" s="274">
        <v>1.5</v>
      </c>
      <c r="I74" s="197">
        <v>5000</v>
      </c>
      <c r="J74" s="268">
        <f t="shared" si="9"/>
        <v>7500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43145</v>
      </c>
      <c r="D75" s="196" t="s">
        <v>16</v>
      </c>
      <c r="E75" s="196" t="s">
        <v>28</v>
      </c>
      <c r="F75" s="222">
        <v>223.2</v>
      </c>
      <c r="G75" s="222">
        <v>225.2</v>
      </c>
      <c r="H75" s="222">
        <v>2</v>
      </c>
      <c r="I75" s="197">
        <v>5000</v>
      </c>
      <c r="J75" s="268">
        <f t="shared" si="9"/>
        <v>10000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43146</v>
      </c>
      <c r="D76" s="196" t="s">
        <v>23</v>
      </c>
      <c r="E76" s="196" t="s">
        <v>28</v>
      </c>
      <c r="F76" s="222">
        <v>229.3</v>
      </c>
      <c r="G76" s="222">
        <v>230.3</v>
      </c>
      <c r="H76" s="222">
        <v>-1</v>
      </c>
      <c r="I76" s="197">
        <v>5000</v>
      </c>
      <c r="J76" s="268">
        <f t="shared" si="9"/>
        <v>-5000</v>
      </c>
      <c r="K76" s="185"/>
      <c r="V76" s="183">
        <f t="shared" si="10"/>
        <v>0</v>
      </c>
      <c r="W76" s="183">
        <f t="shared" si="11"/>
        <v>1</v>
      </c>
    </row>
    <row r="77" spans="1:23" x14ac:dyDescent="0.3">
      <c r="A77" s="184"/>
      <c r="B77" s="194">
        <v>10</v>
      </c>
      <c r="C77" s="195">
        <v>43147</v>
      </c>
      <c r="D77" s="196" t="s">
        <v>23</v>
      </c>
      <c r="E77" s="196" t="s">
        <v>28</v>
      </c>
      <c r="F77" s="222">
        <v>229.6</v>
      </c>
      <c r="G77" s="222">
        <v>230.6</v>
      </c>
      <c r="H77" s="222">
        <v>-1</v>
      </c>
      <c r="I77" s="197">
        <v>5000</v>
      </c>
      <c r="J77" s="268">
        <f t="shared" si="9"/>
        <v>-5000</v>
      </c>
      <c r="K77" s="185"/>
      <c r="V77" s="183">
        <f t="shared" si="10"/>
        <v>0</v>
      </c>
      <c r="W77" s="183">
        <f t="shared" si="11"/>
        <v>1</v>
      </c>
    </row>
    <row r="78" spans="1:23" x14ac:dyDescent="0.3">
      <c r="A78" s="184"/>
      <c r="B78" s="194">
        <v>11</v>
      </c>
      <c r="C78" s="195">
        <v>43150</v>
      </c>
      <c r="D78" s="196" t="s">
        <v>16</v>
      </c>
      <c r="E78" s="196" t="s">
        <v>28</v>
      </c>
      <c r="F78" s="222">
        <v>230.3</v>
      </c>
      <c r="G78" s="222">
        <v>231.3</v>
      </c>
      <c r="H78" s="274">
        <v>1</v>
      </c>
      <c r="I78" s="197">
        <v>5000</v>
      </c>
      <c r="J78" s="268">
        <f t="shared" si="9"/>
        <v>5000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43151</v>
      </c>
      <c r="D79" s="196" t="s">
        <v>16</v>
      </c>
      <c r="E79" s="196" t="s">
        <v>28</v>
      </c>
      <c r="F79" s="222">
        <v>230</v>
      </c>
      <c r="G79" s="222">
        <v>232</v>
      </c>
      <c r="H79" s="274">
        <v>2</v>
      </c>
      <c r="I79" s="197">
        <v>5000</v>
      </c>
      <c r="J79" s="268">
        <f t="shared" si="9"/>
        <v>10000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43152</v>
      </c>
      <c r="D80" s="196" t="s">
        <v>23</v>
      </c>
      <c r="E80" s="196" t="s">
        <v>28</v>
      </c>
      <c r="F80" s="222">
        <v>230.5</v>
      </c>
      <c r="G80" s="222">
        <v>229</v>
      </c>
      <c r="H80" s="274">
        <v>1.5</v>
      </c>
      <c r="I80" s="197">
        <v>5000</v>
      </c>
      <c r="J80" s="268">
        <f t="shared" si="9"/>
        <v>7500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43153</v>
      </c>
      <c r="D81" s="196" t="s">
        <v>16</v>
      </c>
      <c r="E81" s="196" t="s">
        <v>28</v>
      </c>
      <c r="F81" s="222">
        <v>226.8</v>
      </c>
      <c r="G81" s="222">
        <v>228.8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43154</v>
      </c>
      <c r="D82" s="196" t="s">
        <v>16</v>
      </c>
      <c r="E82" s="196" t="s">
        <v>28</v>
      </c>
      <c r="F82" s="223">
        <v>229.1</v>
      </c>
      <c r="G82" s="222">
        <v>230.1</v>
      </c>
      <c r="H82" s="274">
        <v>1</v>
      </c>
      <c r="I82" s="197">
        <v>5000</v>
      </c>
      <c r="J82" s="268">
        <f t="shared" si="9"/>
        <v>5000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43157</v>
      </c>
      <c r="D83" s="196" t="s">
        <v>16</v>
      </c>
      <c r="E83" s="196" t="s">
        <v>28</v>
      </c>
      <c r="F83" s="222">
        <v>230.5</v>
      </c>
      <c r="G83" s="222">
        <v>231.5</v>
      </c>
      <c r="H83" s="274">
        <v>1</v>
      </c>
      <c r="I83" s="197">
        <v>5000</v>
      </c>
      <c r="J83" s="268">
        <f t="shared" si="9"/>
        <v>5000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43158</v>
      </c>
      <c r="D84" s="196" t="s">
        <v>23</v>
      </c>
      <c r="E84" s="196" t="s">
        <v>28</v>
      </c>
      <c r="F84" s="222">
        <v>231.5</v>
      </c>
      <c r="G84" s="222">
        <v>229.5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43159</v>
      </c>
      <c r="D85" s="196" t="s">
        <v>16</v>
      </c>
      <c r="E85" s="196" t="s">
        <v>28</v>
      </c>
      <c r="F85" s="222">
        <v>227.3</v>
      </c>
      <c r="G85" s="222">
        <v>228.3</v>
      </c>
      <c r="H85" s="274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/>
      <c r="D86" s="196"/>
      <c r="E86" s="196"/>
      <c r="F86" s="222"/>
      <c r="G86" s="222"/>
      <c r="H86" s="274"/>
      <c r="I86" s="197"/>
      <c r="J86" s="268">
        <f t="shared" si="9"/>
        <v>0</v>
      </c>
      <c r="K86" s="185"/>
      <c r="V86" s="183">
        <f t="shared" si="10"/>
        <v>0</v>
      </c>
      <c r="W86" s="183">
        <f t="shared" si="11"/>
        <v>0</v>
      </c>
    </row>
    <row r="87" spans="1:23" x14ac:dyDescent="0.3">
      <c r="A87" s="184"/>
      <c r="B87" s="194">
        <v>20</v>
      </c>
      <c r="C87" s="195"/>
      <c r="D87" s="196"/>
      <c r="E87" s="196"/>
      <c r="F87" s="222"/>
      <c r="G87" s="222"/>
      <c r="H87" s="274"/>
      <c r="I87" s="197"/>
      <c r="J87" s="268">
        <f t="shared" si="9"/>
        <v>0</v>
      </c>
      <c r="K87" s="185"/>
      <c r="V87" s="183">
        <f t="shared" si="10"/>
        <v>0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196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196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97500</v>
      </c>
      <c r="K91" s="185"/>
      <c r="V91" s="183">
        <f>SUM(V68:V90)</f>
        <v>15</v>
      </c>
      <c r="W91" s="183">
        <f>SUM(W68:W90)</f>
        <v>3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3E00-000000000000}"/>
    <hyperlink ref="B60" r:id="rId2" xr:uid="{00000000-0004-0000-3E00-000001000000}"/>
    <hyperlink ref="M4:M5" location="'FEB 2018'!A1" display="BULLION" xr:uid="{00000000-0004-0000-3E00-000002000000}"/>
    <hyperlink ref="M6:M7" location="'FEB 2018'!A54" display="ENERGY" xr:uid="{00000000-0004-0000-3E00-000003000000}"/>
    <hyperlink ref="B91" r:id="rId3" xr:uid="{00000000-0004-0000-3E00-000004000000}"/>
    <hyperlink ref="M8:M9" location="'FEB 2018'!A86" display="BASE METAL" xr:uid="{00000000-0004-0000-3E00-000005000000}"/>
    <hyperlink ref="M1" location="MASTER!A1" display="Back" xr:uid="{00000000-0004-0000-3E00-000006000000}"/>
  </hyperlinks>
  <pageMargins left="0" right="0" top="0" bottom="0" header="0" footer="0"/>
  <pageSetup paperSize="9" orientation="portrait" r:id="rId4"/>
  <drawing r:id="rId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W92"/>
  <sheetViews>
    <sheetView topLeftCell="A7" workbookViewId="0">
      <selection activeCell="C68" sqref="C68:C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43160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19</v>
      </c>
      <c r="O4" s="355">
        <f>V29</f>
        <v>12</v>
      </c>
      <c r="P4" s="355">
        <f>W29</f>
        <v>7</v>
      </c>
      <c r="Q4" s="356">
        <f>N4-O4-P4</f>
        <v>0</v>
      </c>
      <c r="R4" s="343">
        <f>O4/N4</f>
        <v>0.63157894736842102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43160</v>
      </c>
      <c r="D6" s="192" t="s">
        <v>16</v>
      </c>
      <c r="E6" s="192" t="s">
        <v>24</v>
      </c>
      <c r="F6" s="193">
        <v>30280</v>
      </c>
      <c r="G6" s="193">
        <v>30140</v>
      </c>
      <c r="H6" s="192">
        <v>140</v>
      </c>
      <c r="I6" s="193">
        <v>100</v>
      </c>
      <c r="J6" s="267">
        <f>H6*I6</f>
        <v>14000</v>
      </c>
      <c r="K6" s="185"/>
      <c r="M6" s="362" t="s">
        <v>258</v>
      </c>
      <c r="N6" s="347">
        <f>COUNT(C37:C59)</f>
        <v>19</v>
      </c>
      <c r="O6" s="348">
        <f>V60</f>
        <v>13</v>
      </c>
      <c r="P6" s="348">
        <f>W60</f>
        <v>6</v>
      </c>
      <c r="Q6" s="349">
        <f>N6-O6-P6</f>
        <v>0</v>
      </c>
      <c r="R6" s="345">
        <f t="shared" ref="R6" si="0">O6/N6</f>
        <v>0.68421052631578949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43164</v>
      </c>
      <c r="D7" s="196" t="s">
        <v>23</v>
      </c>
      <c r="E7" s="196" t="s">
        <v>24</v>
      </c>
      <c r="F7" s="197">
        <v>30520</v>
      </c>
      <c r="G7" s="197">
        <v>30420</v>
      </c>
      <c r="H7" s="196">
        <v>100</v>
      </c>
      <c r="I7" s="197">
        <v>100</v>
      </c>
      <c r="J7" s="268">
        <f t="shared" ref="J7:J28" si="1">H7*I7</f>
        <v>10000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43165</v>
      </c>
      <c r="D8" s="196" t="s">
        <v>23</v>
      </c>
      <c r="E8" s="196" t="s">
        <v>24</v>
      </c>
      <c r="F8" s="197">
        <v>30420</v>
      </c>
      <c r="G8" s="197">
        <v>30520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COUNT(C68:C90)</f>
        <v>19</v>
      </c>
      <c r="O8" s="348">
        <f>V91</f>
        <v>14</v>
      </c>
      <c r="P8" s="348">
        <f>W91</f>
        <v>5</v>
      </c>
      <c r="Q8" s="349">
        <f>N8-O8-P8</f>
        <v>0</v>
      </c>
      <c r="R8" s="345">
        <f t="shared" ref="R8" si="4">O8/N8</f>
        <v>0.73684210526315785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43166</v>
      </c>
      <c r="D9" s="196" t="s">
        <v>23</v>
      </c>
      <c r="E9" s="196" t="s">
        <v>24</v>
      </c>
      <c r="F9" s="197">
        <v>30640</v>
      </c>
      <c r="G9" s="197">
        <v>30440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43167</v>
      </c>
      <c r="D10" s="196" t="s">
        <v>23</v>
      </c>
      <c r="E10" s="196" t="s">
        <v>24</v>
      </c>
      <c r="F10" s="197">
        <v>30520</v>
      </c>
      <c r="G10" s="197">
        <v>30420</v>
      </c>
      <c r="H10" s="196">
        <v>100</v>
      </c>
      <c r="I10" s="197">
        <v>100</v>
      </c>
      <c r="J10" s="268">
        <f t="shared" si="1"/>
        <v>10000</v>
      </c>
      <c r="K10" s="185"/>
      <c r="M10" s="319" t="s">
        <v>300</v>
      </c>
      <c r="N10" s="321">
        <f>SUM(N4:N9)</f>
        <v>57</v>
      </c>
      <c r="O10" s="321">
        <f>SUM(O4:O9)</f>
        <v>39</v>
      </c>
      <c r="P10" s="321">
        <f>SUM(P4:P9)</f>
        <v>18</v>
      </c>
      <c r="Q10" s="341">
        <f>SUM(Q4:Q9)</f>
        <v>0</v>
      </c>
      <c r="R10" s="343">
        <f t="shared" ref="R10" si="5">O10/N10</f>
        <v>0.68421052631578949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43168</v>
      </c>
      <c r="D11" s="196" t="s">
        <v>23</v>
      </c>
      <c r="E11" s="196" t="s">
        <v>24</v>
      </c>
      <c r="F11" s="197">
        <v>30360</v>
      </c>
      <c r="G11" s="197">
        <v>30460</v>
      </c>
      <c r="H11" s="196">
        <v>-100</v>
      </c>
      <c r="I11" s="197">
        <v>100</v>
      </c>
      <c r="J11" s="268">
        <f t="shared" si="1"/>
        <v>-10000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43171</v>
      </c>
      <c r="D12" s="196" t="s">
        <v>23</v>
      </c>
      <c r="E12" s="196" t="s">
        <v>24</v>
      </c>
      <c r="F12" s="197">
        <v>30420</v>
      </c>
      <c r="G12" s="197">
        <v>30290</v>
      </c>
      <c r="H12" s="196">
        <v>130</v>
      </c>
      <c r="I12" s="197">
        <v>100</v>
      </c>
      <c r="J12" s="268">
        <f t="shared" si="1"/>
        <v>13000</v>
      </c>
      <c r="K12" s="185"/>
      <c r="M12" s="323" t="s">
        <v>878</v>
      </c>
      <c r="N12" s="324"/>
      <c r="O12" s="325"/>
      <c r="P12" s="332">
        <f>R10</f>
        <v>0.68421052631578949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43172</v>
      </c>
      <c r="D13" s="196" t="s">
        <v>23</v>
      </c>
      <c r="E13" s="196" t="s">
        <v>24</v>
      </c>
      <c r="F13" s="197">
        <v>30350</v>
      </c>
      <c r="G13" s="197">
        <v>30250</v>
      </c>
      <c r="H13" s="196">
        <v>100</v>
      </c>
      <c r="I13" s="197">
        <v>100</v>
      </c>
      <c r="J13" s="268">
        <f t="shared" si="1"/>
        <v>10000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43173</v>
      </c>
      <c r="D14" s="196" t="s">
        <v>23</v>
      </c>
      <c r="E14" s="196" t="s">
        <v>24</v>
      </c>
      <c r="F14" s="197">
        <v>30550</v>
      </c>
      <c r="G14" s="197">
        <v>30410</v>
      </c>
      <c r="H14" s="196">
        <v>140</v>
      </c>
      <c r="I14" s="197">
        <v>100</v>
      </c>
      <c r="J14" s="268">
        <f t="shared" si="1"/>
        <v>14000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43174</v>
      </c>
      <c r="D15" s="196" t="s">
        <v>23</v>
      </c>
      <c r="E15" s="196" t="s">
        <v>24</v>
      </c>
      <c r="F15" s="197">
        <v>30480</v>
      </c>
      <c r="G15" s="197">
        <v>30280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43175</v>
      </c>
      <c r="D16" s="196" t="s">
        <v>23</v>
      </c>
      <c r="E16" s="196" t="s">
        <v>24</v>
      </c>
      <c r="F16" s="197">
        <v>30270</v>
      </c>
      <c r="G16" s="197">
        <v>30170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43178</v>
      </c>
      <c r="D17" s="196" t="s">
        <v>23</v>
      </c>
      <c r="E17" s="196" t="s">
        <v>24</v>
      </c>
      <c r="F17" s="197">
        <v>30150</v>
      </c>
      <c r="G17" s="197">
        <v>30250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43179</v>
      </c>
      <c r="D18" s="196" t="s">
        <v>23</v>
      </c>
      <c r="E18" s="196" t="s">
        <v>24</v>
      </c>
      <c r="F18" s="197">
        <v>30350</v>
      </c>
      <c r="G18" s="197">
        <v>30210</v>
      </c>
      <c r="H18" s="196">
        <v>140</v>
      </c>
      <c r="I18" s="197">
        <v>100</v>
      </c>
      <c r="J18" s="268">
        <f t="shared" si="1"/>
        <v>14000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43180</v>
      </c>
      <c r="D19" s="196" t="s">
        <v>23</v>
      </c>
      <c r="E19" s="196" t="s">
        <v>24</v>
      </c>
      <c r="F19" s="197">
        <v>30290</v>
      </c>
      <c r="G19" s="197">
        <v>30390</v>
      </c>
      <c r="H19" s="196">
        <v>-100</v>
      </c>
      <c r="I19" s="197">
        <v>100</v>
      </c>
      <c r="J19" s="268">
        <f t="shared" si="1"/>
        <v>-10000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43181</v>
      </c>
      <c r="D20" s="196" t="s">
        <v>23</v>
      </c>
      <c r="E20" s="196" t="s">
        <v>24</v>
      </c>
      <c r="F20" s="197">
        <v>30600</v>
      </c>
      <c r="G20" s="197">
        <v>30500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43182</v>
      </c>
      <c r="D21" s="196" t="s">
        <v>23</v>
      </c>
      <c r="E21" s="196" t="s">
        <v>24</v>
      </c>
      <c r="F21" s="197">
        <v>30740</v>
      </c>
      <c r="G21" s="197">
        <v>30840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43185</v>
      </c>
      <c r="D22" s="196" t="s">
        <v>23</v>
      </c>
      <c r="E22" s="196" t="s">
        <v>24</v>
      </c>
      <c r="F22" s="197">
        <v>30800</v>
      </c>
      <c r="G22" s="197">
        <v>30900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43186</v>
      </c>
      <c r="D23" s="196" t="s">
        <v>23</v>
      </c>
      <c r="E23" s="196" t="s">
        <v>24</v>
      </c>
      <c r="F23" s="197">
        <v>30900</v>
      </c>
      <c r="G23" s="197">
        <v>30700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43187</v>
      </c>
      <c r="D24" s="196" t="s">
        <v>16</v>
      </c>
      <c r="E24" s="196" t="s">
        <v>24</v>
      </c>
      <c r="F24" s="197">
        <v>30700</v>
      </c>
      <c r="G24" s="197">
        <v>30600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/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95000</v>
      </c>
      <c r="K29" s="185"/>
      <c r="V29" s="183">
        <f>SUM(V6:V28)</f>
        <v>12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873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43160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43160</v>
      </c>
      <c r="D37" s="192" t="s">
        <v>23</v>
      </c>
      <c r="E37" s="192" t="s">
        <v>25</v>
      </c>
      <c r="F37" s="193">
        <v>4035</v>
      </c>
      <c r="G37" s="193">
        <v>3975</v>
      </c>
      <c r="H37" s="192">
        <v>60</v>
      </c>
      <c r="I37" s="193">
        <v>100</v>
      </c>
      <c r="J37" s="267">
        <f t="shared" ref="J37:J59" si="6">I37*H37</f>
        <v>6000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43164</v>
      </c>
      <c r="D38" s="196" t="s">
        <v>23</v>
      </c>
      <c r="E38" s="196" t="s">
        <v>25</v>
      </c>
      <c r="F38" s="197">
        <v>4005</v>
      </c>
      <c r="G38" s="197">
        <v>4040</v>
      </c>
      <c r="H38" s="196">
        <v>-35</v>
      </c>
      <c r="I38" s="197">
        <v>100</v>
      </c>
      <c r="J38" s="268">
        <f t="shared" si="6"/>
        <v>-3500</v>
      </c>
      <c r="K38" s="185"/>
      <c r="V38" s="183">
        <f t="shared" ref="V38:V59" si="7">IF($J38&gt;0,1,0)</f>
        <v>0</v>
      </c>
      <c r="W38" s="183">
        <f t="shared" ref="W38:W59" si="8">IF($J38&lt;0,1,0)</f>
        <v>1</v>
      </c>
    </row>
    <row r="39" spans="1:23" x14ac:dyDescent="0.3">
      <c r="A39" s="184"/>
      <c r="B39" s="194">
        <v>3</v>
      </c>
      <c r="C39" s="195">
        <v>43165</v>
      </c>
      <c r="D39" s="196" t="s">
        <v>23</v>
      </c>
      <c r="E39" s="196" t="s">
        <v>25</v>
      </c>
      <c r="F39" s="197">
        <v>4085</v>
      </c>
      <c r="G39" s="197">
        <v>4050</v>
      </c>
      <c r="H39" s="196">
        <v>35</v>
      </c>
      <c r="I39" s="197">
        <v>100</v>
      </c>
      <c r="J39" s="268">
        <f t="shared" si="6"/>
        <v>3500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43166</v>
      </c>
      <c r="D40" s="196" t="s">
        <v>16</v>
      </c>
      <c r="E40" s="196" t="s">
        <v>25</v>
      </c>
      <c r="F40" s="197">
        <v>4032</v>
      </c>
      <c r="G40" s="197">
        <v>4065</v>
      </c>
      <c r="H40" s="196">
        <v>33</v>
      </c>
      <c r="I40" s="197">
        <v>100</v>
      </c>
      <c r="J40" s="268">
        <f t="shared" si="6"/>
        <v>3300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43167</v>
      </c>
      <c r="D41" s="196" t="s">
        <v>16</v>
      </c>
      <c r="E41" s="196" t="s">
        <v>25</v>
      </c>
      <c r="F41" s="197">
        <v>3975</v>
      </c>
      <c r="G41" s="197">
        <v>3991</v>
      </c>
      <c r="H41" s="196">
        <v>16</v>
      </c>
      <c r="I41" s="197">
        <v>100</v>
      </c>
      <c r="J41" s="268">
        <f t="shared" si="6"/>
        <v>1600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43168</v>
      </c>
      <c r="D42" s="196" t="s">
        <v>23</v>
      </c>
      <c r="E42" s="196" t="s">
        <v>25</v>
      </c>
      <c r="F42" s="197">
        <v>3930</v>
      </c>
      <c r="G42" s="197">
        <v>3960</v>
      </c>
      <c r="H42" s="196">
        <v>-30</v>
      </c>
      <c r="I42" s="197">
        <v>100</v>
      </c>
      <c r="J42" s="268">
        <f t="shared" si="6"/>
        <v>-3000</v>
      </c>
      <c r="K42" s="185"/>
      <c r="V42" s="183">
        <f t="shared" si="7"/>
        <v>0</v>
      </c>
      <c r="W42" s="183">
        <f t="shared" si="8"/>
        <v>1</v>
      </c>
    </row>
    <row r="43" spans="1:23" x14ac:dyDescent="0.3">
      <c r="A43" s="184"/>
      <c r="B43" s="194">
        <v>7</v>
      </c>
      <c r="C43" s="195">
        <v>43171</v>
      </c>
      <c r="D43" s="196" t="s">
        <v>23</v>
      </c>
      <c r="E43" s="196" t="s">
        <v>25</v>
      </c>
      <c r="F43" s="197">
        <v>4040</v>
      </c>
      <c r="G43" s="197">
        <v>3980</v>
      </c>
      <c r="H43" s="196">
        <v>60</v>
      </c>
      <c r="I43" s="197">
        <v>100</v>
      </c>
      <c r="J43" s="268">
        <f t="shared" si="6"/>
        <v>6000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43172</v>
      </c>
      <c r="D44" s="196" t="s">
        <v>23</v>
      </c>
      <c r="E44" s="196" t="s">
        <v>25</v>
      </c>
      <c r="F44" s="197">
        <v>3990</v>
      </c>
      <c r="G44" s="197">
        <v>3930</v>
      </c>
      <c r="H44" s="196">
        <v>60</v>
      </c>
      <c r="I44" s="197">
        <v>100</v>
      </c>
      <c r="J44" s="268">
        <f t="shared" si="6"/>
        <v>6000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43173</v>
      </c>
      <c r="D45" s="196" t="s">
        <v>23</v>
      </c>
      <c r="E45" s="196" t="s">
        <v>25</v>
      </c>
      <c r="F45" s="197">
        <v>3950</v>
      </c>
      <c r="G45" s="197">
        <v>3910</v>
      </c>
      <c r="H45" s="196">
        <v>40</v>
      </c>
      <c r="I45" s="197">
        <v>100</v>
      </c>
      <c r="J45" s="268">
        <f t="shared" si="6"/>
        <v>4000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43174</v>
      </c>
      <c r="D46" s="196" t="s">
        <v>23</v>
      </c>
      <c r="E46" s="196" t="s">
        <v>25</v>
      </c>
      <c r="F46" s="197">
        <v>3965</v>
      </c>
      <c r="G46" s="197">
        <v>3945</v>
      </c>
      <c r="H46" s="196">
        <v>20</v>
      </c>
      <c r="I46" s="197">
        <v>100</v>
      </c>
      <c r="J46" s="268">
        <f t="shared" si="6"/>
        <v>2000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43175</v>
      </c>
      <c r="D47" s="196" t="s">
        <v>23</v>
      </c>
      <c r="E47" s="196" t="s">
        <v>25</v>
      </c>
      <c r="F47" s="197">
        <v>3980</v>
      </c>
      <c r="G47" s="197">
        <v>4010</v>
      </c>
      <c r="H47" s="196">
        <v>-30</v>
      </c>
      <c r="I47" s="197">
        <v>100</v>
      </c>
      <c r="J47" s="268">
        <f t="shared" si="6"/>
        <v>-3000</v>
      </c>
      <c r="K47" s="185"/>
      <c r="V47" s="183">
        <f t="shared" si="7"/>
        <v>0</v>
      </c>
      <c r="W47" s="183">
        <f t="shared" si="8"/>
        <v>1</v>
      </c>
    </row>
    <row r="48" spans="1:23" x14ac:dyDescent="0.3">
      <c r="A48" s="184"/>
      <c r="B48" s="194">
        <v>12</v>
      </c>
      <c r="C48" s="195">
        <v>43178</v>
      </c>
      <c r="D48" s="196" t="s">
        <v>23</v>
      </c>
      <c r="E48" s="196" t="s">
        <v>25</v>
      </c>
      <c r="F48" s="197">
        <v>4040</v>
      </c>
      <c r="G48" s="197">
        <v>3995</v>
      </c>
      <c r="H48" s="196">
        <v>45</v>
      </c>
      <c r="I48" s="197">
        <v>100</v>
      </c>
      <c r="J48" s="268">
        <f t="shared" si="6"/>
        <v>4500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43179</v>
      </c>
      <c r="D49" s="196" t="s">
        <v>23</v>
      </c>
      <c r="E49" s="196" t="s">
        <v>25</v>
      </c>
      <c r="F49" s="197">
        <v>4100</v>
      </c>
      <c r="G49" s="197">
        <v>4130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14</v>
      </c>
      <c r="C50" s="195">
        <v>43180</v>
      </c>
      <c r="D50" s="196" t="s">
        <v>23</v>
      </c>
      <c r="E50" s="196" t="s">
        <v>25</v>
      </c>
      <c r="F50" s="197">
        <v>4165</v>
      </c>
      <c r="G50" s="197">
        <v>4195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15</v>
      </c>
      <c r="C51" s="195">
        <v>43181</v>
      </c>
      <c r="D51" s="196" t="s">
        <v>16</v>
      </c>
      <c r="E51" s="196" t="s">
        <v>25</v>
      </c>
      <c r="F51" s="197">
        <v>4240</v>
      </c>
      <c r="G51" s="197">
        <v>4210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16</v>
      </c>
      <c r="C52" s="195">
        <v>43182</v>
      </c>
      <c r="D52" s="196" t="s">
        <v>23</v>
      </c>
      <c r="E52" s="196" t="s">
        <v>25</v>
      </c>
      <c r="F52" s="197">
        <v>4240</v>
      </c>
      <c r="G52" s="197">
        <v>4200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43185</v>
      </c>
      <c r="D53" s="196" t="s">
        <v>23</v>
      </c>
      <c r="E53" s="196" t="s">
        <v>25</v>
      </c>
      <c r="F53" s="197">
        <v>4273</v>
      </c>
      <c r="G53" s="197">
        <v>4233</v>
      </c>
      <c r="H53" s="196">
        <v>40</v>
      </c>
      <c r="I53" s="197">
        <v>100</v>
      </c>
      <c r="J53" s="268">
        <f t="shared" si="6"/>
        <v>4000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43186</v>
      </c>
      <c r="D54" s="196" t="s">
        <v>16</v>
      </c>
      <c r="E54" s="196" t="s">
        <v>25</v>
      </c>
      <c r="F54" s="197">
        <v>4250</v>
      </c>
      <c r="G54" s="197">
        <v>4295</v>
      </c>
      <c r="H54" s="196">
        <v>45</v>
      </c>
      <c r="I54" s="197">
        <v>100</v>
      </c>
      <c r="J54" s="268">
        <f t="shared" si="6"/>
        <v>4500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43187</v>
      </c>
      <c r="D55" s="196" t="s">
        <v>16</v>
      </c>
      <c r="E55" s="196" t="s">
        <v>25</v>
      </c>
      <c r="F55" s="197">
        <v>4202</v>
      </c>
      <c r="G55" s="197">
        <v>4232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/>
      <c r="D56" s="196"/>
      <c r="E56" s="196"/>
      <c r="F56" s="197"/>
      <c r="G56" s="197"/>
      <c r="H56" s="196"/>
      <c r="I56" s="197"/>
      <c r="J56" s="268">
        <f t="shared" si="6"/>
        <v>0</v>
      </c>
      <c r="K56" s="185"/>
      <c r="V56" s="183">
        <f t="shared" si="7"/>
        <v>0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33900</v>
      </c>
      <c r="K60" s="185"/>
      <c r="V60" s="183">
        <f>SUM(V37:V59)</f>
        <v>13</v>
      </c>
      <c r="W60" s="183">
        <f>SUM(W37:W59)</f>
        <v>6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43160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43160</v>
      </c>
      <c r="D68" s="216" t="s">
        <v>16</v>
      </c>
      <c r="E68" s="216" t="s">
        <v>28</v>
      </c>
      <c r="F68" s="256">
        <v>226.6</v>
      </c>
      <c r="G68" s="256">
        <v>225.6</v>
      </c>
      <c r="H68" s="256">
        <v>-1</v>
      </c>
      <c r="I68" s="218">
        <v>5000</v>
      </c>
      <c r="J68" s="273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v>2</v>
      </c>
      <c r="C69" s="195">
        <v>43164</v>
      </c>
      <c r="D69" s="196" t="s">
        <v>23</v>
      </c>
      <c r="E69" s="196" t="s">
        <v>28</v>
      </c>
      <c r="F69" s="222">
        <v>218.2</v>
      </c>
      <c r="G69" s="222">
        <v>216.2</v>
      </c>
      <c r="H69" s="222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43165</v>
      </c>
      <c r="D70" s="196" t="s">
        <v>23</v>
      </c>
      <c r="E70" s="196" t="s">
        <v>28</v>
      </c>
      <c r="F70" s="222">
        <v>215.6</v>
      </c>
      <c r="G70" s="222">
        <v>214</v>
      </c>
      <c r="H70" s="222">
        <v>1.6</v>
      </c>
      <c r="I70" s="197">
        <v>5000</v>
      </c>
      <c r="J70" s="268">
        <f t="shared" si="9"/>
        <v>8000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43166</v>
      </c>
      <c r="D71" s="196" t="s">
        <v>23</v>
      </c>
      <c r="E71" s="196" t="s">
        <v>28</v>
      </c>
      <c r="F71" s="222">
        <v>215</v>
      </c>
      <c r="G71" s="222">
        <v>213</v>
      </c>
      <c r="H71" s="222">
        <v>2</v>
      </c>
      <c r="I71" s="197">
        <v>5000</v>
      </c>
      <c r="J71" s="268">
        <f t="shared" si="9"/>
        <v>10000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43167</v>
      </c>
      <c r="D72" s="196" t="s">
        <v>23</v>
      </c>
      <c r="E72" s="196" t="s">
        <v>28</v>
      </c>
      <c r="F72" s="222">
        <v>212.7</v>
      </c>
      <c r="G72" s="222">
        <v>210.7</v>
      </c>
      <c r="H72" s="222">
        <v>2</v>
      </c>
      <c r="I72" s="197">
        <v>5000</v>
      </c>
      <c r="J72" s="268">
        <f t="shared" si="9"/>
        <v>10000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43168</v>
      </c>
      <c r="D73" s="196" t="s">
        <v>23</v>
      </c>
      <c r="E73" s="196" t="s">
        <v>28</v>
      </c>
      <c r="F73" s="222">
        <v>208.5</v>
      </c>
      <c r="G73" s="222">
        <v>208</v>
      </c>
      <c r="H73" s="222">
        <v>0.5</v>
      </c>
      <c r="I73" s="197">
        <v>5000</v>
      </c>
      <c r="J73" s="268">
        <f t="shared" si="9"/>
        <v>2500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43171</v>
      </c>
      <c r="D74" s="196" t="s">
        <v>23</v>
      </c>
      <c r="E74" s="196" t="s">
        <v>28</v>
      </c>
      <c r="F74" s="222">
        <v>212.8</v>
      </c>
      <c r="G74" s="222">
        <v>210.8</v>
      </c>
      <c r="H74" s="274">
        <v>2</v>
      </c>
      <c r="I74" s="197">
        <v>5000</v>
      </c>
      <c r="J74" s="268">
        <f t="shared" si="9"/>
        <v>10000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43172</v>
      </c>
      <c r="D75" s="196" t="s">
        <v>23</v>
      </c>
      <c r="E75" s="196" t="s">
        <v>28</v>
      </c>
      <c r="F75" s="222">
        <v>212.5</v>
      </c>
      <c r="G75" s="222">
        <v>211</v>
      </c>
      <c r="H75" s="222">
        <v>1.5</v>
      </c>
      <c r="I75" s="197">
        <v>5000</v>
      </c>
      <c r="J75" s="268">
        <f t="shared" si="9"/>
        <v>7500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43173</v>
      </c>
      <c r="D76" s="196" t="s">
        <v>23</v>
      </c>
      <c r="E76" s="196" t="s">
        <v>28</v>
      </c>
      <c r="F76" s="222">
        <v>214.3</v>
      </c>
      <c r="G76" s="222">
        <v>212.3</v>
      </c>
      <c r="H76" s="222">
        <v>2</v>
      </c>
      <c r="I76" s="197">
        <v>5000</v>
      </c>
      <c r="J76" s="268">
        <f t="shared" si="9"/>
        <v>10000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43146</v>
      </c>
      <c r="D77" s="196" t="s">
        <v>23</v>
      </c>
      <c r="E77" s="196" t="s">
        <v>28</v>
      </c>
      <c r="F77" s="222">
        <v>209.1</v>
      </c>
      <c r="G77" s="222">
        <v>208.6</v>
      </c>
      <c r="H77" s="222">
        <v>0.5</v>
      </c>
      <c r="I77" s="197">
        <v>5000</v>
      </c>
      <c r="J77" s="268">
        <f t="shared" si="9"/>
        <v>2500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43147</v>
      </c>
      <c r="D78" s="196" t="s">
        <v>23</v>
      </c>
      <c r="E78" s="196" t="s">
        <v>28</v>
      </c>
      <c r="F78" s="222">
        <v>210</v>
      </c>
      <c r="G78" s="222">
        <v>209.5</v>
      </c>
      <c r="H78" s="274">
        <v>0.5</v>
      </c>
      <c r="I78" s="197">
        <v>5000</v>
      </c>
      <c r="J78" s="268">
        <f t="shared" si="9"/>
        <v>2500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43178</v>
      </c>
      <c r="D79" s="196" t="s">
        <v>23</v>
      </c>
      <c r="E79" s="196" t="s">
        <v>28</v>
      </c>
      <c r="F79" s="222">
        <v>211.2</v>
      </c>
      <c r="G79" s="222">
        <v>210.2</v>
      </c>
      <c r="H79" s="274">
        <v>1</v>
      </c>
      <c r="I79" s="197">
        <v>5000</v>
      </c>
      <c r="J79" s="268">
        <f t="shared" si="9"/>
        <v>5000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43179</v>
      </c>
      <c r="D80" s="196" t="s">
        <v>23</v>
      </c>
      <c r="E80" s="196" t="s">
        <v>28</v>
      </c>
      <c r="F80" s="222">
        <v>211.9</v>
      </c>
      <c r="G80" s="222">
        <v>209.9</v>
      </c>
      <c r="H80" s="274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43180</v>
      </c>
      <c r="D81" s="196" t="s">
        <v>23</v>
      </c>
      <c r="E81" s="196" t="s">
        <v>28</v>
      </c>
      <c r="F81" s="222">
        <v>209.1</v>
      </c>
      <c r="G81" s="222">
        <v>210.1</v>
      </c>
      <c r="H81" s="274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15</v>
      </c>
      <c r="C82" s="195">
        <v>43181</v>
      </c>
      <c r="D82" s="196" t="s">
        <v>23</v>
      </c>
      <c r="E82" s="196" t="s">
        <v>28</v>
      </c>
      <c r="F82" s="223">
        <v>212.4</v>
      </c>
      <c r="G82" s="222">
        <v>210.4</v>
      </c>
      <c r="H82" s="274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43182</v>
      </c>
      <c r="D83" s="196" t="s">
        <v>23</v>
      </c>
      <c r="E83" s="196" t="s">
        <v>28</v>
      </c>
      <c r="F83" s="222">
        <v>208</v>
      </c>
      <c r="G83" s="222">
        <v>209</v>
      </c>
      <c r="H83" s="274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17</v>
      </c>
      <c r="C84" s="195">
        <v>43185</v>
      </c>
      <c r="D84" s="196" t="s">
        <v>23</v>
      </c>
      <c r="E84" s="196" t="s">
        <v>28</v>
      </c>
      <c r="F84" s="222">
        <v>208.8</v>
      </c>
      <c r="G84" s="222">
        <v>208.25</v>
      </c>
      <c r="H84" s="274">
        <v>0.55000000000000004</v>
      </c>
      <c r="I84" s="197">
        <v>5000</v>
      </c>
      <c r="J84" s="268">
        <f t="shared" si="9"/>
        <v>2750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43186</v>
      </c>
      <c r="D85" s="196" t="s">
        <v>23</v>
      </c>
      <c r="E85" s="196" t="s">
        <v>28</v>
      </c>
      <c r="F85" s="222">
        <v>213.3</v>
      </c>
      <c r="G85" s="222">
        <v>214.3</v>
      </c>
      <c r="H85" s="274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19</v>
      </c>
      <c r="C86" s="195">
        <v>43187</v>
      </c>
      <c r="D86" s="196" t="s">
        <v>23</v>
      </c>
      <c r="E86" s="196" t="s">
        <v>29</v>
      </c>
      <c r="F86" s="222">
        <v>429</v>
      </c>
      <c r="G86" s="222">
        <v>433</v>
      </c>
      <c r="H86" s="274">
        <v>-4</v>
      </c>
      <c r="I86" s="197">
        <v>1000</v>
      </c>
      <c r="J86" s="268">
        <f t="shared" si="9"/>
        <v>-4000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20</v>
      </c>
      <c r="C87" s="195"/>
      <c r="D87" s="196"/>
      <c r="E87" s="196"/>
      <c r="F87" s="222"/>
      <c r="G87" s="222"/>
      <c r="H87" s="274"/>
      <c r="I87" s="197"/>
      <c r="J87" s="268">
        <f t="shared" si="9"/>
        <v>0</v>
      </c>
      <c r="K87" s="185"/>
      <c r="V87" s="183">
        <f t="shared" si="10"/>
        <v>0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196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196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76750</v>
      </c>
      <c r="K91" s="185"/>
      <c r="V91" s="183">
        <f>SUM(V68:V90)</f>
        <v>14</v>
      </c>
      <c r="W91" s="183">
        <f>SUM(W68:W90)</f>
        <v>5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3F00-000000000000}"/>
    <hyperlink ref="B60" r:id="rId2" xr:uid="{00000000-0004-0000-3F00-000001000000}"/>
    <hyperlink ref="M4:M5" location="'MARCH 2018'!A1" display="BULLION" xr:uid="{00000000-0004-0000-3F00-000002000000}"/>
    <hyperlink ref="M6:M7" location="'MARCH 2018'!A54" display="ENERGY" xr:uid="{00000000-0004-0000-3F00-000003000000}"/>
    <hyperlink ref="B91" r:id="rId3" xr:uid="{00000000-0004-0000-3F00-000004000000}"/>
    <hyperlink ref="M8:M9" location="'MARCH 2018'!A86" display="BASE METAL" xr:uid="{00000000-0004-0000-3F00-000005000000}"/>
    <hyperlink ref="M1" location="MASTER!A1" display="Back" xr:uid="{00000000-0004-0000-3F00-000006000000}"/>
  </hyperlinks>
  <pageMargins left="0" right="0" top="0" bottom="0" header="0" footer="0"/>
  <pageSetup paperSize="9" orientation="portrait" r:id="rId4"/>
  <drawing r:id="rId5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W92"/>
  <sheetViews>
    <sheetView topLeftCell="A1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43191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21</v>
      </c>
      <c r="O4" s="355">
        <f>V29</f>
        <v>14</v>
      </c>
      <c r="P4" s="355">
        <f>W29</f>
        <v>7</v>
      </c>
      <c r="Q4" s="356">
        <f>N4-O4-P4</f>
        <v>0</v>
      </c>
      <c r="R4" s="343">
        <f>O4/N4</f>
        <v>0.66666666666666663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43192</v>
      </c>
      <c r="D6" s="192" t="s">
        <v>23</v>
      </c>
      <c r="E6" s="192" t="s">
        <v>24</v>
      </c>
      <c r="F6" s="193">
        <v>30670</v>
      </c>
      <c r="G6" s="193">
        <v>30770</v>
      </c>
      <c r="H6" s="192">
        <v>-100</v>
      </c>
      <c r="I6" s="193">
        <v>100</v>
      </c>
      <c r="J6" s="267">
        <f>H6*I6</f>
        <v>-10000</v>
      </c>
      <c r="K6" s="185"/>
      <c r="M6" s="362" t="s">
        <v>258</v>
      </c>
      <c r="N6" s="347">
        <f>COUNT(C37:C59)</f>
        <v>21</v>
      </c>
      <c r="O6" s="348">
        <f>V60</f>
        <v>14</v>
      </c>
      <c r="P6" s="348">
        <f>W60</f>
        <v>7</v>
      </c>
      <c r="Q6" s="349">
        <f>N6-O6-P6</f>
        <v>0</v>
      </c>
      <c r="R6" s="345">
        <f t="shared" ref="R6" si="0">O6/N6</f>
        <v>0.66666666666666663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43193</v>
      </c>
      <c r="D7" s="196" t="s">
        <v>23</v>
      </c>
      <c r="E7" s="196" t="s">
        <v>24</v>
      </c>
      <c r="F7" s="197">
        <v>30930</v>
      </c>
      <c r="G7" s="197">
        <v>30730</v>
      </c>
      <c r="H7" s="196">
        <v>200</v>
      </c>
      <c r="I7" s="197">
        <v>100</v>
      </c>
      <c r="J7" s="268">
        <f t="shared" ref="J7:J28" si="1">H7*I7</f>
        <v>20000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43194</v>
      </c>
      <c r="D8" s="196" t="s">
        <v>23</v>
      </c>
      <c r="E8" s="196" t="s">
        <v>24</v>
      </c>
      <c r="F8" s="197">
        <v>30840</v>
      </c>
      <c r="G8" s="197">
        <v>30940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COUNT(C68:C90)</f>
        <v>21</v>
      </c>
      <c r="O8" s="348">
        <f>V91</f>
        <v>15</v>
      </c>
      <c r="P8" s="348">
        <f>W91</f>
        <v>5</v>
      </c>
      <c r="Q8" s="349">
        <f>N8-O8-P8</f>
        <v>1</v>
      </c>
      <c r="R8" s="345">
        <f t="shared" ref="R8" si="4">O8/N8</f>
        <v>0.7142857142857143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43195</v>
      </c>
      <c r="D9" s="196" t="s">
        <v>23</v>
      </c>
      <c r="E9" s="196" t="s">
        <v>24</v>
      </c>
      <c r="F9" s="197">
        <v>30710</v>
      </c>
      <c r="G9" s="197">
        <v>30550</v>
      </c>
      <c r="H9" s="196">
        <v>160</v>
      </c>
      <c r="I9" s="197">
        <v>100</v>
      </c>
      <c r="J9" s="268">
        <f t="shared" si="1"/>
        <v>16000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43196</v>
      </c>
      <c r="D10" s="196" t="s">
        <v>23</v>
      </c>
      <c r="E10" s="196" t="s">
        <v>24</v>
      </c>
      <c r="F10" s="197">
        <v>30680</v>
      </c>
      <c r="G10" s="197">
        <v>30530</v>
      </c>
      <c r="H10" s="196">
        <v>150</v>
      </c>
      <c r="I10" s="197">
        <v>100</v>
      </c>
      <c r="J10" s="268">
        <f t="shared" si="1"/>
        <v>15000</v>
      </c>
      <c r="K10" s="185"/>
      <c r="M10" s="319" t="s">
        <v>300</v>
      </c>
      <c r="N10" s="321">
        <f>SUM(N4:N9)</f>
        <v>63</v>
      </c>
      <c r="O10" s="321">
        <f>SUM(O4:O9)</f>
        <v>43</v>
      </c>
      <c r="P10" s="321">
        <f>SUM(P4:P9)</f>
        <v>19</v>
      </c>
      <c r="Q10" s="341">
        <f>SUM(Q4:Q9)</f>
        <v>1</v>
      </c>
      <c r="R10" s="343">
        <f t="shared" ref="R10" si="5">O10/N10</f>
        <v>0.68253968253968256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43199</v>
      </c>
      <c r="D11" s="196" t="s">
        <v>23</v>
      </c>
      <c r="E11" s="196" t="s">
        <v>24</v>
      </c>
      <c r="F11" s="197">
        <v>30710</v>
      </c>
      <c r="G11" s="197">
        <v>30655</v>
      </c>
      <c r="H11" s="196">
        <v>55</v>
      </c>
      <c r="I11" s="197">
        <v>100</v>
      </c>
      <c r="J11" s="268">
        <f t="shared" si="1"/>
        <v>5500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43200</v>
      </c>
      <c r="D12" s="196" t="s">
        <v>23</v>
      </c>
      <c r="E12" s="196" t="s">
        <v>24</v>
      </c>
      <c r="F12" s="197">
        <v>30810</v>
      </c>
      <c r="G12" s="197">
        <v>30840</v>
      </c>
      <c r="H12" s="196">
        <v>-30</v>
      </c>
      <c r="I12" s="197">
        <v>100</v>
      </c>
      <c r="J12" s="268">
        <f t="shared" si="1"/>
        <v>-3000</v>
      </c>
      <c r="K12" s="185"/>
      <c r="M12" s="323" t="s">
        <v>878</v>
      </c>
      <c r="N12" s="324"/>
      <c r="O12" s="325"/>
      <c r="P12" s="332">
        <f>R10</f>
        <v>0.68253968253968256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43201</v>
      </c>
      <c r="D13" s="196" t="s">
        <v>23</v>
      </c>
      <c r="E13" s="196" t="s">
        <v>24</v>
      </c>
      <c r="F13" s="197">
        <v>31050</v>
      </c>
      <c r="G13" s="197">
        <v>31150</v>
      </c>
      <c r="H13" s="196">
        <v>-100</v>
      </c>
      <c r="I13" s="197">
        <v>100</v>
      </c>
      <c r="J13" s="268">
        <f t="shared" si="1"/>
        <v>-10000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43202</v>
      </c>
      <c r="D14" s="196" t="s">
        <v>16</v>
      </c>
      <c r="E14" s="196" t="s">
        <v>24</v>
      </c>
      <c r="F14" s="197">
        <v>31260</v>
      </c>
      <c r="G14" s="197">
        <v>31320</v>
      </c>
      <c r="H14" s="196">
        <v>60</v>
      </c>
      <c r="I14" s="197">
        <v>100</v>
      </c>
      <c r="J14" s="268">
        <f t="shared" si="1"/>
        <v>6000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43203</v>
      </c>
      <c r="D15" s="196" t="s">
        <v>23</v>
      </c>
      <c r="E15" s="196" t="s">
        <v>24</v>
      </c>
      <c r="F15" s="197">
        <v>31030</v>
      </c>
      <c r="G15" s="197">
        <v>30930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43206</v>
      </c>
      <c r="D16" s="196" t="s">
        <v>23</v>
      </c>
      <c r="E16" s="196" t="s">
        <v>24</v>
      </c>
      <c r="F16" s="197">
        <v>31240</v>
      </c>
      <c r="G16" s="197">
        <v>31180</v>
      </c>
      <c r="H16" s="196">
        <v>60</v>
      </c>
      <c r="I16" s="197">
        <v>100</v>
      </c>
      <c r="J16" s="268">
        <f t="shared" si="1"/>
        <v>6000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43207</v>
      </c>
      <c r="D17" s="196" t="s">
        <v>16</v>
      </c>
      <c r="E17" s="196" t="s">
        <v>24</v>
      </c>
      <c r="F17" s="197">
        <v>31260</v>
      </c>
      <c r="G17" s="197">
        <v>31360</v>
      </c>
      <c r="H17" s="196">
        <v>100</v>
      </c>
      <c r="I17" s="197">
        <v>100</v>
      </c>
      <c r="J17" s="268">
        <f t="shared" si="1"/>
        <v>10000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43208</v>
      </c>
      <c r="D18" s="196" t="s">
        <v>23</v>
      </c>
      <c r="E18" s="196" t="s">
        <v>24</v>
      </c>
      <c r="F18" s="197">
        <v>31370</v>
      </c>
      <c r="G18" s="197">
        <v>31310</v>
      </c>
      <c r="H18" s="196">
        <v>60</v>
      </c>
      <c r="I18" s="197">
        <v>100</v>
      </c>
      <c r="J18" s="268">
        <f t="shared" si="1"/>
        <v>6000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43209</v>
      </c>
      <c r="D19" s="196" t="s">
        <v>23</v>
      </c>
      <c r="E19" s="196" t="s">
        <v>24</v>
      </c>
      <c r="F19" s="197">
        <v>31600</v>
      </c>
      <c r="G19" s="197">
        <v>31450</v>
      </c>
      <c r="H19" s="196">
        <v>150</v>
      </c>
      <c r="I19" s="197">
        <v>100</v>
      </c>
      <c r="J19" s="268">
        <f t="shared" si="1"/>
        <v>15000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43210</v>
      </c>
      <c r="D20" s="196" t="s">
        <v>23</v>
      </c>
      <c r="E20" s="196" t="s">
        <v>24</v>
      </c>
      <c r="F20" s="197">
        <v>31450</v>
      </c>
      <c r="G20" s="197">
        <v>31550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43213</v>
      </c>
      <c r="D21" s="196" t="s">
        <v>23</v>
      </c>
      <c r="E21" s="196" t="s">
        <v>24</v>
      </c>
      <c r="F21" s="197">
        <v>31380</v>
      </c>
      <c r="G21" s="197">
        <v>31245</v>
      </c>
      <c r="H21" s="196">
        <v>135</v>
      </c>
      <c r="I21" s="197">
        <v>100</v>
      </c>
      <c r="J21" s="268">
        <f t="shared" si="1"/>
        <v>13500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43214</v>
      </c>
      <c r="D22" s="196" t="s">
        <v>23</v>
      </c>
      <c r="E22" s="196" t="s">
        <v>24</v>
      </c>
      <c r="F22" s="197">
        <v>31260</v>
      </c>
      <c r="G22" s="197">
        <v>31360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43215</v>
      </c>
      <c r="D23" s="196" t="s">
        <v>23</v>
      </c>
      <c r="E23" s="196" t="s">
        <v>24</v>
      </c>
      <c r="F23" s="197">
        <v>31380</v>
      </c>
      <c r="G23" s="197">
        <v>31372</v>
      </c>
      <c r="H23" s="196">
        <v>-8</v>
      </c>
      <c r="I23" s="197">
        <v>100</v>
      </c>
      <c r="J23" s="268">
        <f t="shared" si="1"/>
        <v>-800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43216</v>
      </c>
      <c r="D24" s="196" t="s">
        <v>23</v>
      </c>
      <c r="E24" s="196" t="s">
        <v>24</v>
      </c>
      <c r="F24" s="197">
        <v>31370</v>
      </c>
      <c r="G24" s="197">
        <v>31220</v>
      </c>
      <c r="H24" s="196">
        <v>150</v>
      </c>
      <c r="I24" s="197">
        <v>100</v>
      </c>
      <c r="J24" s="268">
        <f t="shared" si="1"/>
        <v>15000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43217</v>
      </c>
      <c r="D25" s="196" t="s">
        <v>16</v>
      </c>
      <c r="E25" s="196" t="s">
        <v>24</v>
      </c>
      <c r="F25" s="197">
        <v>31130</v>
      </c>
      <c r="G25" s="197">
        <v>31275</v>
      </c>
      <c r="H25" s="196">
        <v>145</v>
      </c>
      <c r="I25" s="197">
        <v>100</v>
      </c>
      <c r="J25" s="268">
        <f t="shared" si="1"/>
        <v>14500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43220</v>
      </c>
      <c r="D26" s="196" t="s">
        <v>23</v>
      </c>
      <c r="E26" s="196" t="s">
        <v>24</v>
      </c>
      <c r="F26" s="197">
        <v>31080</v>
      </c>
      <c r="G26" s="197">
        <v>30980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/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108700</v>
      </c>
      <c r="K29" s="185"/>
      <c r="V29" s="183">
        <f>SUM(V6:V28)</f>
        <v>14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43191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43192</v>
      </c>
      <c r="D37" s="192" t="s">
        <v>23</v>
      </c>
      <c r="E37" s="192" t="s">
        <v>25</v>
      </c>
      <c r="F37" s="193">
        <v>4245</v>
      </c>
      <c r="G37" s="193">
        <v>4185</v>
      </c>
      <c r="H37" s="192">
        <v>60</v>
      </c>
      <c r="I37" s="193">
        <v>100</v>
      </c>
      <c r="J37" s="267">
        <f t="shared" ref="J37:J59" si="6">I37*H37</f>
        <v>6000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43193</v>
      </c>
      <c r="D38" s="196" t="s">
        <v>16</v>
      </c>
      <c r="E38" s="196" t="s">
        <v>25</v>
      </c>
      <c r="F38" s="197">
        <v>4105</v>
      </c>
      <c r="G38" s="197">
        <v>4135</v>
      </c>
      <c r="H38" s="196">
        <v>30</v>
      </c>
      <c r="I38" s="197">
        <v>100</v>
      </c>
      <c r="J38" s="268">
        <f t="shared" si="6"/>
        <v>3000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43194</v>
      </c>
      <c r="D39" s="196" t="s">
        <v>23</v>
      </c>
      <c r="E39" s="196" t="s">
        <v>25</v>
      </c>
      <c r="F39" s="197">
        <v>4120</v>
      </c>
      <c r="G39" s="197">
        <v>4060</v>
      </c>
      <c r="H39" s="196">
        <v>60</v>
      </c>
      <c r="I39" s="197">
        <v>100</v>
      </c>
      <c r="J39" s="268">
        <f t="shared" si="6"/>
        <v>6000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43195</v>
      </c>
      <c r="D40" s="196" t="s">
        <v>23</v>
      </c>
      <c r="E40" s="196" t="s">
        <v>25</v>
      </c>
      <c r="F40" s="197">
        <v>4145</v>
      </c>
      <c r="G40" s="197">
        <v>4105</v>
      </c>
      <c r="H40" s="196">
        <v>40</v>
      </c>
      <c r="I40" s="197">
        <v>100</v>
      </c>
      <c r="J40" s="268">
        <f t="shared" si="6"/>
        <v>4000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43196</v>
      </c>
      <c r="D41" s="196" t="s">
        <v>23</v>
      </c>
      <c r="E41" s="196" t="s">
        <v>25</v>
      </c>
      <c r="F41" s="197">
        <v>4105</v>
      </c>
      <c r="G41" s="197">
        <v>4045</v>
      </c>
      <c r="H41" s="196">
        <v>60</v>
      </c>
      <c r="I41" s="197">
        <v>100</v>
      </c>
      <c r="J41" s="268">
        <f t="shared" si="6"/>
        <v>6000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43199</v>
      </c>
      <c r="D42" s="196" t="s">
        <v>23</v>
      </c>
      <c r="E42" s="196" t="s">
        <v>25</v>
      </c>
      <c r="F42" s="197">
        <v>4050</v>
      </c>
      <c r="G42" s="197">
        <v>4080</v>
      </c>
      <c r="H42" s="196">
        <v>-30</v>
      </c>
      <c r="I42" s="197">
        <v>100</v>
      </c>
      <c r="J42" s="268">
        <f t="shared" si="6"/>
        <v>-3000</v>
      </c>
      <c r="K42" s="185"/>
      <c r="V42" s="183">
        <f t="shared" si="7"/>
        <v>0</v>
      </c>
      <c r="W42" s="183">
        <f t="shared" si="8"/>
        <v>1</v>
      </c>
    </row>
    <row r="43" spans="1:23" x14ac:dyDescent="0.3">
      <c r="A43" s="184"/>
      <c r="B43" s="194">
        <v>7</v>
      </c>
      <c r="C43" s="195">
        <v>43200</v>
      </c>
      <c r="D43" s="196" t="s">
        <v>23</v>
      </c>
      <c r="E43" s="196" t="s">
        <v>25</v>
      </c>
      <c r="F43" s="197">
        <v>4175</v>
      </c>
      <c r="G43" s="197">
        <v>4205</v>
      </c>
      <c r="H43" s="196">
        <v>-30</v>
      </c>
      <c r="I43" s="197">
        <v>100</v>
      </c>
      <c r="J43" s="268">
        <f t="shared" si="6"/>
        <v>-3000</v>
      </c>
      <c r="K43" s="185"/>
      <c r="V43" s="183">
        <f t="shared" si="7"/>
        <v>0</v>
      </c>
      <c r="W43" s="183">
        <f t="shared" si="8"/>
        <v>1</v>
      </c>
    </row>
    <row r="44" spans="1:23" x14ac:dyDescent="0.3">
      <c r="A44" s="184"/>
      <c r="B44" s="194">
        <v>8</v>
      </c>
      <c r="C44" s="195">
        <v>43201</v>
      </c>
      <c r="D44" s="196" t="s">
        <v>16</v>
      </c>
      <c r="E44" s="196" t="s">
        <v>25</v>
      </c>
      <c r="F44" s="197">
        <v>4245</v>
      </c>
      <c r="G44" s="197">
        <v>4305</v>
      </c>
      <c r="H44" s="196">
        <v>60</v>
      </c>
      <c r="I44" s="197">
        <v>100</v>
      </c>
      <c r="J44" s="268">
        <f t="shared" si="6"/>
        <v>6000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43202</v>
      </c>
      <c r="D45" s="196" t="s">
        <v>23</v>
      </c>
      <c r="E45" s="196" t="s">
        <v>25</v>
      </c>
      <c r="F45" s="197">
        <v>4380</v>
      </c>
      <c r="G45" s="197">
        <v>4320</v>
      </c>
      <c r="H45" s="196">
        <v>60</v>
      </c>
      <c r="I45" s="197">
        <v>100</v>
      </c>
      <c r="J45" s="268">
        <f t="shared" si="6"/>
        <v>6000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43203</v>
      </c>
      <c r="D46" s="196" t="s">
        <v>23</v>
      </c>
      <c r="E46" s="196" t="s">
        <v>25</v>
      </c>
      <c r="F46" s="197">
        <v>4370</v>
      </c>
      <c r="G46" s="197">
        <v>4400</v>
      </c>
      <c r="H46" s="196">
        <v>-30</v>
      </c>
      <c r="I46" s="197">
        <v>100</v>
      </c>
      <c r="J46" s="268">
        <f t="shared" si="6"/>
        <v>-3000</v>
      </c>
      <c r="K46" s="185"/>
      <c r="V46" s="183">
        <f t="shared" si="7"/>
        <v>0</v>
      </c>
      <c r="W46" s="183">
        <f t="shared" si="8"/>
        <v>1</v>
      </c>
    </row>
    <row r="47" spans="1:23" x14ac:dyDescent="0.3">
      <c r="A47" s="184"/>
      <c r="B47" s="194">
        <v>11</v>
      </c>
      <c r="C47" s="195">
        <v>43206</v>
      </c>
      <c r="D47" s="196" t="s">
        <v>23</v>
      </c>
      <c r="E47" s="196" t="s">
        <v>25</v>
      </c>
      <c r="F47" s="197">
        <v>4375</v>
      </c>
      <c r="G47" s="197">
        <v>4330</v>
      </c>
      <c r="H47" s="196">
        <v>45</v>
      </c>
      <c r="I47" s="197">
        <v>100</v>
      </c>
      <c r="J47" s="268">
        <f t="shared" si="6"/>
        <v>4500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43207</v>
      </c>
      <c r="D48" s="196" t="s">
        <v>23</v>
      </c>
      <c r="E48" s="196" t="s">
        <v>25</v>
      </c>
      <c r="F48" s="197">
        <v>4365</v>
      </c>
      <c r="G48" s="197">
        <v>4305</v>
      </c>
      <c r="H48" s="196">
        <v>60</v>
      </c>
      <c r="I48" s="197">
        <v>100</v>
      </c>
      <c r="J48" s="268">
        <f t="shared" si="6"/>
        <v>6000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43208</v>
      </c>
      <c r="D49" s="196" t="s">
        <v>23</v>
      </c>
      <c r="E49" s="196" t="s">
        <v>25</v>
      </c>
      <c r="F49" s="197">
        <v>4410</v>
      </c>
      <c r="G49" s="197">
        <v>4440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14</v>
      </c>
      <c r="C50" s="195">
        <v>43209</v>
      </c>
      <c r="D50" s="196" t="s">
        <v>23</v>
      </c>
      <c r="E50" s="196" t="s">
        <v>25</v>
      </c>
      <c r="F50" s="197">
        <v>4545</v>
      </c>
      <c r="G50" s="197">
        <v>4525</v>
      </c>
      <c r="H50" s="196">
        <v>20</v>
      </c>
      <c r="I50" s="197">
        <v>100</v>
      </c>
      <c r="J50" s="268">
        <f t="shared" si="6"/>
        <v>2000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43210</v>
      </c>
      <c r="D51" s="196" t="s">
        <v>23</v>
      </c>
      <c r="E51" s="196" t="s">
        <v>25</v>
      </c>
      <c r="F51" s="197">
        <v>4515</v>
      </c>
      <c r="G51" s="197">
        <v>4545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16</v>
      </c>
      <c r="C52" s="195">
        <v>43213</v>
      </c>
      <c r="D52" s="196" t="s">
        <v>23</v>
      </c>
      <c r="E52" s="196" t="s">
        <v>25</v>
      </c>
      <c r="F52" s="197">
        <v>4540</v>
      </c>
      <c r="G52" s="197">
        <v>4480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43214</v>
      </c>
      <c r="D53" s="196" t="s">
        <v>23</v>
      </c>
      <c r="E53" s="196" t="s">
        <v>25</v>
      </c>
      <c r="F53" s="197">
        <v>4605</v>
      </c>
      <c r="G53" s="197">
        <v>4575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43215</v>
      </c>
      <c r="D54" s="196" t="s">
        <v>23</v>
      </c>
      <c r="E54" s="196" t="s">
        <v>25</v>
      </c>
      <c r="F54" s="197">
        <v>4530</v>
      </c>
      <c r="G54" s="197">
        <v>4560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19</v>
      </c>
      <c r="C55" s="195">
        <v>43216</v>
      </c>
      <c r="D55" s="196" t="s">
        <v>23</v>
      </c>
      <c r="E55" s="196" t="s">
        <v>25</v>
      </c>
      <c r="F55" s="197">
        <v>4560</v>
      </c>
      <c r="G55" s="197">
        <v>4590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20</v>
      </c>
      <c r="C56" s="195">
        <v>43217</v>
      </c>
      <c r="D56" s="196" t="s">
        <v>16</v>
      </c>
      <c r="E56" s="196" t="s">
        <v>25</v>
      </c>
      <c r="F56" s="197">
        <v>4540</v>
      </c>
      <c r="G56" s="197">
        <v>4560</v>
      </c>
      <c r="H56" s="196">
        <v>20</v>
      </c>
      <c r="I56" s="197">
        <v>100</v>
      </c>
      <c r="J56" s="268">
        <f t="shared" si="6"/>
        <v>2000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>
        <v>43220</v>
      </c>
      <c r="D57" s="196" t="s">
        <v>23</v>
      </c>
      <c r="E57" s="196" t="s">
        <v>25</v>
      </c>
      <c r="F57" s="197">
        <v>4495</v>
      </c>
      <c r="G57" s="197">
        <v>4474</v>
      </c>
      <c r="H57" s="196">
        <v>21</v>
      </c>
      <c r="I57" s="197">
        <v>100</v>
      </c>
      <c r="J57" s="268">
        <f t="shared" si="6"/>
        <v>2100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41600</v>
      </c>
      <c r="K60" s="185"/>
      <c r="V60" s="183">
        <f>SUM(V37:V59)</f>
        <v>14</v>
      </c>
      <c r="W60" s="183">
        <f>SUM(W37:W59)</f>
        <v>7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43191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43192</v>
      </c>
      <c r="D68" s="216" t="s">
        <v>23</v>
      </c>
      <c r="E68" s="256" t="s">
        <v>28</v>
      </c>
      <c r="F68" s="256">
        <v>214.3</v>
      </c>
      <c r="G68" s="256">
        <v>213.7</v>
      </c>
      <c r="H68" s="256">
        <v>0.6</v>
      </c>
      <c r="I68" s="218">
        <v>5000</v>
      </c>
      <c r="J68" s="273">
        <f>I68*H68</f>
        <v>3000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43193</v>
      </c>
      <c r="D69" s="196" t="s">
        <v>23</v>
      </c>
      <c r="E69" s="222" t="s">
        <v>28</v>
      </c>
      <c r="F69" s="222">
        <v>213.3</v>
      </c>
      <c r="G69" s="222">
        <v>212.6</v>
      </c>
      <c r="H69" s="222">
        <v>0.7</v>
      </c>
      <c r="I69" s="197">
        <v>5000</v>
      </c>
      <c r="J69" s="268">
        <f t="shared" ref="J69:J90" si="9">I69*H69</f>
        <v>3500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43194</v>
      </c>
      <c r="D70" s="196" t="s">
        <v>23</v>
      </c>
      <c r="E70" s="222" t="s">
        <v>28</v>
      </c>
      <c r="F70" s="222">
        <v>212.5</v>
      </c>
      <c r="G70" s="222">
        <v>211</v>
      </c>
      <c r="H70" s="222">
        <v>1.5</v>
      </c>
      <c r="I70" s="197">
        <v>5000</v>
      </c>
      <c r="J70" s="268">
        <f t="shared" si="9"/>
        <v>7500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43195</v>
      </c>
      <c r="D71" s="196" t="s">
        <v>23</v>
      </c>
      <c r="E71" s="222" t="s">
        <v>28</v>
      </c>
      <c r="F71" s="222">
        <v>211.5</v>
      </c>
      <c r="G71" s="222">
        <v>209.5</v>
      </c>
      <c r="H71" s="222">
        <v>2</v>
      </c>
      <c r="I71" s="197">
        <v>5000</v>
      </c>
      <c r="J71" s="268">
        <f t="shared" si="9"/>
        <v>10000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43196</v>
      </c>
      <c r="D72" s="196" t="s">
        <v>23</v>
      </c>
      <c r="E72" s="222" t="s">
        <v>28</v>
      </c>
      <c r="F72" s="222">
        <v>210.2</v>
      </c>
      <c r="G72" s="222">
        <v>209.2</v>
      </c>
      <c r="H72" s="222">
        <v>1</v>
      </c>
      <c r="I72" s="197">
        <v>5000</v>
      </c>
      <c r="J72" s="268">
        <f t="shared" si="9"/>
        <v>5000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43199</v>
      </c>
      <c r="D73" s="196" t="s">
        <v>16</v>
      </c>
      <c r="E73" s="222" t="s">
        <v>28</v>
      </c>
      <c r="F73" s="222">
        <v>209.8</v>
      </c>
      <c r="G73" s="222">
        <v>210.3</v>
      </c>
      <c r="H73" s="222">
        <v>0.5</v>
      </c>
      <c r="I73" s="197">
        <v>5000</v>
      </c>
      <c r="J73" s="268">
        <f t="shared" si="9"/>
        <v>2500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43200</v>
      </c>
      <c r="D74" s="196" t="s">
        <v>23</v>
      </c>
      <c r="E74" s="222" t="s">
        <v>28</v>
      </c>
      <c r="F74" s="222">
        <v>210.7</v>
      </c>
      <c r="G74" s="222">
        <v>209.7</v>
      </c>
      <c r="H74" s="274">
        <v>1</v>
      </c>
      <c r="I74" s="197">
        <v>5000</v>
      </c>
      <c r="J74" s="268">
        <f t="shared" si="9"/>
        <v>5000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43201</v>
      </c>
      <c r="D75" s="196" t="s">
        <v>23</v>
      </c>
      <c r="E75" s="222" t="s">
        <v>28</v>
      </c>
      <c r="F75" s="222">
        <v>211.2</v>
      </c>
      <c r="G75" s="222">
        <v>212.2</v>
      </c>
      <c r="H75" s="222">
        <v>-1</v>
      </c>
      <c r="I75" s="197">
        <v>5000</v>
      </c>
      <c r="J75" s="268">
        <f t="shared" si="9"/>
        <v>-5000</v>
      </c>
      <c r="K75" s="185"/>
      <c r="V75" s="183">
        <f t="shared" si="10"/>
        <v>0</v>
      </c>
      <c r="W75" s="183">
        <f t="shared" si="11"/>
        <v>1</v>
      </c>
    </row>
    <row r="76" spans="1:23" x14ac:dyDescent="0.3">
      <c r="A76" s="184"/>
      <c r="B76" s="194">
        <v>9</v>
      </c>
      <c r="C76" s="195">
        <v>43202</v>
      </c>
      <c r="D76" s="196" t="s">
        <v>23</v>
      </c>
      <c r="E76" s="222" t="s">
        <v>27</v>
      </c>
      <c r="F76" s="222">
        <v>154.69999999999999</v>
      </c>
      <c r="G76" s="222">
        <v>152.69999999999999</v>
      </c>
      <c r="H76" s="222">
        <v>2</v>
      </c>
      <c r="I76" s="197">
        <v>5000</v>
      </c>
      <c r="J76" s="268">
        <f t="shared" si="9"/>
        <v>10000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43203</v>
      </c>
      <c r="D77" s="196" t="s">
        <v>23</v>
      </c>
      <c r="E77" s="222" t="s">
        <v>28</v>
      </c>
      <c r="F77" s="222">
        <v>203.8</v>
      </c>
      <c r="G77" s="222">
        <v>203.3</v>
      </c>
      <c r="H77" s="222">
        <v>0.5</v>
      </c>
      <c r="I77" s="197">
        <v>5000</v>
      </c>
      <c r="J77" s="268">
        <f t="shared" si="9"/>
        <v>2500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43206</v>
      </c>
      <c r="D78" s="196" t="s">
        <v>23</v>
      </c>
      <c r="E78" s="222" t="s">
        <v>27</v>
      </c>
      <c r="F78" s="222">
        <v>152</v>
      </c>
      <c r="G78" s="222">
        <v>151.5</v>
      </c>
      <c r="H78" s="274">
        <v>0.5</v>
      </c>
      <c r="I78" s="197">
        <v>5000</v>
      </c>
      <c r="J78" s="268">
        <f t="shared" si="9"/>
        <v>2500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43207</v>
      </c>
      <c r="D79" s="196" t="s">
        <v>16</v>
      </c>
      <c r="E79" s="222" t="s">
        <v>27</v>
      </c>
      <c r="F79" s="222">
        <v>155</v>
      </c>
      <c r="G79" s="222">
        <v>155.5</v>
      </c>
      <c r="H79" s="274">
        <v>0.5</v>
      </c>
      <c r="I79" s="197">
        <v>5000</v>
      </c>
      <c r="J79" s="268">
        <f t="shared" si="9"/>
        <v>2500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43208</v>
      </c>
      <c r="D80" s="196" t="s">
        <v>23</v>
      </c>
      <c r="E80" s="222" t="s">
        <v>28</v>
      </c>
      <c r="F80" s="222">
        <v>208.2</v>
      </c>
      <c r="G80" s="222">
        <v>209.2</v>
      </c>
      <c r="H80" s="274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14</v>
      </c>
      <c r="C81" s="195">
        <v>43209</v>
      </c>
      <c r="D81" s="196" t="s">
        <v>23</v>
      </c>
      <c r="E81" s="222" t="s">
        <v>28</v>
      </c>
      <c r="F81" s="222">
        <v>213.2</v>
      </c>
      <c r="G81" s="222">
        <v>211.2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43210</v>
      </c>
      <c r="D82" s="196" t="s">
        <v>16</v>
      </c>
      <c r="E82" s="222" t="s">
        <v>29</v>
      </c>
      <c r="F82" s="223">
        <v>455</v>
      </c>
      <c r="G82" s="222">
        <v>459</v>
      </c>
      <c r="H82" s="274">
        <v>4</v>
      </c>
      <c r="I82" s="197">
        <v>1000</v>
      </c>
      <c r="J82" s="268">
        <f t="shared" si="9"/>
        <v>4000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43213</v>
      </c>
      <c r="D83" s="196" t="s">
        <v>23</v>
      </c>
      <c r="E83" s="222" t="s">
        <v>28</v>
      </c>
      <c r="F83" s="222">
        <v>215.2</v>
      </c>
      <c r="G83" s="222">
        <v>216.2</v>
      </c>
      <c r="H83" s="274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17</v>
      </c>
      <c r="C84" s="195">
        <v>43214</v>
      </c>
      <c r="D84" s="196" t="s">
        <v>16</v>
      </c>
      <c r="E84" s="222" t="s">
        <v>29</v>
      </c>
      <c r="F84" s="222">
        <v>458</v>
      </c>
      <c r="G84" s="222">
        <v>463.5</v>
      </c>
      <c r="H84" s="274">
        <v>5.5</v>
      </c>
      <c r="I84" s="197">
        <v>1000</v>
      </c>
      <c r="J84" s="268">
        <f t="shared" si="9"/>
        <v>5500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43215</v>
      </c>
      <c r="D85" s="196" t="s">
        <v>16</v>
      </c>
      <c r="E85" s="222" t="s">
        <v>29</v>
      </c>
      <c r="F85" s="222">
        <v>460</v>
      </c>
      <c r="G85" s="222">
        <v>465.5</v>
      </c>
      <c r="H85" s="274">
        <v>5.5</v>
      </c>
      <c r="I85" s="197">
        <v>1000</v>
      </c>
      <c r="J85" s="268">
        <f t="shared" si="9"/>
        <v>5500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43216</v>
      </c>
      <c r="D86" s="196" t="s">
        <v>16</v>
      </c>
      <c r="E86" s="222" t="s">
        <v>29</v>
      </c>
      <c r="F86" s="222">
        <v>460</v>
      </c>
      <c r="G86" s="222">
        <v>456</v>
      </c>
      <c r="H86" s="274">
        <v>-4</v>
      </c>
      <c r="I86" s="197">
        <v>1000</v>
      </c>
      <c r="J86" s="268">
        <f t="shared" si="9"/>
        <v>-4000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20</v>
      </c>
      <c r="C87" s="195">
        <v>43217</v>
      </c>
      <c r="D87" s="196" t="s">
        <v>16</v>
      </c>
      <c r="E87" s="222" t="s">
        <v>29</v>
      </c>
      <c r="F87" s="222">
        <v>457</v>
      </c>
      <c r="G87" s="222">
        <v>453</v>
      </c>
      <c r="H87" s="274">
        <v>-4</v>
      </c>
      <c r="I87" s="197">
        <v>1000</v>
      </c>
      <c r="J87" s="268">
        <f t="shared" si="9"/>
        <v>-4000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21</v>
      </c>
      <c r="C88" s="195">
        <v>43220</v>
      </c>
      <c r="D88" s="196" t="s">
        <v>16</v>
      </c>
      <c r="E88" s="222" t="s">
        <v>29</v>
      </c>
      <c r="F88" s="222">
        <v>450</v>
      </c>
      <c r="G88" s="222">
        <v>450</v>
      </c>
      <c r="H88" s="274">
        <v>0</v>
      </c>
      <c r="I88" s="197">
        <v>1000</v>
      </c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56000</v>
      </c>
      <c r="K91" s="185"/>
      <c r="V91" s="183">
        <f>SUM(V68:V90)</f>
        <v>15</v>
      </c>
      <c r="W91" s="183">
        <f>SUM(W68:W90)</f>
        <v>5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4000-000000000000}"/>
    <hyperlink ref="B60" r:id="rId2" xr:uid="{00000000-0004-0000-4000-000001000000}"/>
    <hyperlink ref="M4:M5" location="'APRIL-2018'!A1" display="BULLION" xr:uid="{00000000-0004-0000-4000-000002000000}"/>
    <hyperlink ref="M6:M7" location="'APRIL-2018'!A54" display="ENERGY" xr:uid="{00000000-0004-0000-4000-000003000000}"/>
    <hyperlink ref="B91" r:id="rId3" xr:uid="{00000000-0004-0000-4000-000004000000}"/>
    <hyperlink ref="M8:M9" location="'APRIL-2018'!A86" display="BASE METAL" xr:uid="{00000000-0004-0000-4000-000005000000}"/>
    <hyperlink ref="M1" location="MASTER!A1" display="Back" xr:uid="{00000000-0004-0000-4000-000006000000}"/>
  </hyperlinks>
  <pageMargins left="0" right="0" top="0" bottom="0" header="0" footer="0"/>
  <pageSetup paperSize="9" orientation="portrait" r:id="rId4"/>
  <drawing r:id="rId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W92"/>
  <sheetViews>
    <sheetView topLeftCell="A67" workbookViewId="0">
      <selection activeCell="M83" sqref="M8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43221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22</v>
      </c>
      <c r="O4" s="355">
        <f>V29</f>
        <v>15</v>
      </c>
      <c r="P4" s="355">
        <f>W29</f>
        <v>7</v>
      </c>
      <c r="Q4" s="356">
        <f>N4-O4-P4</f>
        <v>0</v>
      </c>
      <c r="R4" s="343">
        <f>O4/N4</f>
        <v>0.68181818181818177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43222</v>
      </c>
      <c r="D6" s="192" t="s">
        <v>16</v>
      </c>
      <c r="E6" s="192" t="s">
        <v>24</v>
      </c>
      <c r="F6" s="193">
        <v>30950</v>
      </c>
      <c r="G6" s="193">
        <v>31010</v>
      </c>
      <c r="H6" s="192">
        <v>60</v>
      </c>
      <c r="I6" s="193">
        <v>100</v>
      </c>
      <c r="J6" s="267">
        <f>H6*I6</f>
        <v>6000</v>
      </c>
      <c r="K6" s="185"/>
      <c r="M6" s="362" t="s">
        <v>258</v>
      </c>
      <c r="N6" s="347">
        <f>COUNT(C37:C59)</f>
        <v>22</v>
      </c>
      <c r="O6" s="348">
        <f>V60</f>
        <v>16</v>
      </c>
      <c r="P6" s="348">
        <f>W60</f>
        <v>6</v>
      </c>
      <c r="Q6" s="349">
        <f>N6-O6-P6</f>
        <v>0</v>
      </c>
      <c r="R6" s="345">
        <f t="shared" ref="R6" si="0">O6/N6</f>
        <v>0.72727272727272729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43223</v>
      </c>
      <c r="D7" s="196" t="s">
        <v>16</v>
      </c>
      <c r="E7" s="196" t="s">
        <v>24</v>
      </c>
      <c r="F7" s="197">
        <v>30920</v>
      </c>
      <c r="G7" s="197">
        <v>31120</v>
      </c>
      <c r="H7" s="196">
        <v>200</v>
      </c>
      <c r="I7" s="197">
        <v>100</v>
      </c>
      <c r="J7" s="268">
        <f t="shared" ref="J7:J28" si="1">H7*I7</f>
        <v>20000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43224</v>
      </c>
      <c r="D8" s="196" t="s">
        <v>16</v>
      </c>
      <c r="E8" s="196" t="s">
        <v>24</v>
      </c>
      <c r="F8" s="197">
        <v>31010</v>
      </c>
      <c r="G8" s="197">
        <v>31110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COUNT(C68:C90)</f>
        <v>22</v>
      </c>
      <c r="O8" s="348">
        <f>V91</f>
        <v>11</v>
      </c>
      <c r="P8" s="348">
        <f>W91</f>
        <v>9</v>
      </c>
      <c r="Q8" s="349">
        <f>N8-O8-P8</f>
        <v>2</v>
      </c>
      <c r="R8" s="345">
        <f t="shared" ref="R8" si="4">O8/N8</f>
        <v>0.5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43227</v>
      </c>
      <c r="D9" s="196" t="s">
        <v>23</v>
      </c>
      <c r="E9" s="196" t="s">
        <v>24</v>
      </c>
      <c r="F9" s="197">
        <v>31240</v>
      </c>
      <c r="G9" s="197">
        <v>31260</v>
      </c>
      <c r="H9" s="196">
        <v>-20</v>
      </c>
      <c r="I9" s="197">
        <v>100</v>
      </c>
      <c r="J9" s="268">
        <f t="shared" si="1"/>
        <v>-2000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43228</v>
      </c>
      <c r="D10" s="196" t="s">
        <v>23</v>
      </c>
      <c r="E10" s="196" t="s">
        <v>24</v>
      </c>
      <c r="F10" s="197">
        <v>31200</v>
      </c>
      <c r="G10" s="197">
        <v>31100</v>
      </c>
      <c r="H10" s="196">
        <v>100</v>
      </c>
      <c r="I10" s="197">
        <v>100</v>
      </c>
      <c r="J10" s="268">
        <f t="shared" si="1"/>
        <v>10000</v>
      </c>
      <c r="K10" s="185"/>
      <c r="M10" s="319" t="s">
        <v>300</v>
      </c>
      <c r="N10" s="321">
        <f>SUM(N4:N9)</f>
        <v>66</v>
      </c>
      <c r="O10" s="321">
        <f>SUM(O4:O9)</f>
        <v>42</v>
      </c>
      <c r="P10" s="321">
        <f>SUM(P4:P9)</f>
        <v>22</v>
      </c>
      <c r="Q10" s="341">
        <f>SUM(Q4:Q9)</f>
        <v>2</v>
      </c>
      <c r="R10" s="343">
        <f t="shared" ref="R10" si="5">O10/N10</f>
        <v>0.63636363636363635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43229</v>
      </c>
      <c r="D11" s="196" t="s">
        <v>23</v>
      </c>
      <c r="E11" s="196" t="s">
        <v>24</v>
      </c>
      <c r="F11" s="197">
        <v>31260</v>
      </c>
      <c r="G11" s="197">
        <v>31200</v>
      </c>
      <c r="H11" s="196">
        <v>60</v>
      </c>
      <c r="I11" s="197">
        <v>100</v>
      </c>
      <c r="J11" s="268">
        <f t="shared" si="1"/>
        <v>6000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43230</v>
      </c>
      <c r="D12" s="196" t="s">
        <v>23</v>
      </c>
      <c r="E12" s="196" t="s">
        <v>24</v>
      </c>
      <c r="F12" s="197">
        <v>31340</v>
      </c>
      <c r="G12" s="197">
        <v>31245</v>
      </c>
      <c r="H12" s="196">
        <v>95</v>
      </c>
      <c r="I12" s="197">
        <v>100</v>
      </c>
      <c r="J12" s="268">
        <f t="shared" si="1"/>
        <v>9500</v>
      </c>
      <c r="K12" s="185"/>
      <c r="M12" s="323" t="s">
        <v>878</v>
      </c>
      <c r="N12" s="324"/>
      <c r="O12" s="325"/>
      <c r="P12" s="332">
        <f>R10</f>
        <v>0.63636363636363635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43231</v>
      </c>
      <c r="D13" s="196" t="s">
        <v>23</v>
      </c>
      <c r="E13" s="196" t="s">
        <v>24</v>
      </c>
      <c r="F13" s="197">
        <v>31460</v>
      </c>
      <c r="G13" s="197">
        <v>31560</v>
      </c>
      <c r="H13" s="196">
        <v>-100</v>
      </c>
      <c r="I13" s="197">
        <v>100</v>
      </c>
      <c r="J13" s="268">
        <f t="shared" si="1"/>
        <v>-10000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43234</v>
      </c>
      <c r="D14" s="196" t="s">
        <v>23</v>
      </c>
      <c r="E14" s="196" t="s">
        <v>24</v>
      </c>
      <c r="F14" s="197">
        <v>31460</v>
      </c>
      <c r="G14" s="197">
        <v>31560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43235</v>
      </c>
      <c r="D15" s="196" t="s">
        <v>23</v>
      </c>
      <c r="E15" s="196" t="s">
        <v>24</v>
      </c>
      <c r="F15" s="197">
        <v>31370</v>
      </c>
      <c r="G15" s="197">
        <v>31470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43236</v>
      </c>
      <c r="D16" s="196" t="s">
        <v>23</v>
      </c>
      <c r="E16" s="196" t="s">
        <v>24</v>
      </c>
      <c r="F16" s="197">
        <v>31140</v>
      </c>
      <c r="G16" s="197">
        <v>30940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43237</v>
      </c>
      <c r="D17" s="196" t="s">
        <v>16</v>
      </c>
      <c r="E17" s="196" t="s">
        <v>24</v>
      </c>
      <c r="F17" s="197">
        <v>30920</v>
      </c>
      <c r="G17" s="197">
        <v>30980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43238</v>
      </c>
      <c r="D18" s="196" t="s">
        <v>23</v>
      </c>
      <c r="E18" s="196" t="s">
        <v>24</v>
      </c>
      <c r="F18" s="197">
        <v>31050</v>
      </c>
      <c r="G18" s="197">
        <v>30990</v>
      </c>
      <c r="H18" s="196">
        <v>60</v>
      </c>
      <c r="I18" s="197">
        <v>100</v>
      </c>
      <c r="J18" s="268">
        <f t="shared" si="1"/>
        <v>6000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43241</v>
      </c>
      <c r="D19" s="196" t="s">
        <v>23</v>
      </c>
      <c r="E19" s="196" t="s">
        <v>24</v>
      </c>
      <c r="F19" s="197">
        <v>30960</v>
      </c>
      <c r="G19" s="197">
        <v>31060</v>
      </c>
      <c r="H19" s="196">
        <v>-100</v>
      </c>
      <c r="I19" s="197">
        <v>100</v>
      </c>
      <c r="J19" s="268">
        <f t="shared" si="1"/>
        <v>-10000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43242</v>
      </c>
      <c r="D20" s="196" t="s">
        <v>23</v>
      </c>
      <c r="E20" s="196" t="s">
        <v>24</v>
      </c>
      <c r="F20" s="197">
        <v>31140</v>
      </c>
      <c r="G20" s="197">
        <v>31070</v>
      </c>
      <c r="H20" s="196">
        <v>70</v>
      </c>
      <c r="I20" s="197">
        <v>100</v>
      </c>
      <c r="J20" s="268">
        <f t="shared" si="1"/>
        <v>7000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43243</v>
      </c>
      <c r="D21" s="196" t="s">
        <v>16</v>
      </c>
      <c r="E21" s="196" t="s">
        <v>24</v>
      </c>
      <c r="F21" s="197">
        <v>31120</v>
      </c>
      <c r="G21" s="197">
        <v>31320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43244</v>
      </c>
      <c r="D22" s="196" t="s">
        <v>23</v>
      </c>
      <c r="E22" s="196" t="s">
        <v>24</v>
      </c>
      <c r="F22" s="197">
        <v>31330</v>
      </c>
      <c r="G22" s="197">
        <v>31270</v>
      </c>
      <c r="H22" s="196"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43245</v>
      </c>
      <c r="D23" s="196" t="s">
        <v>23</v>
      </c>
      <c r="E23" s="196" t="s">
        <v>24</v>
      </c>
      <c r="F23" s="197">
        <v>31430</v>
      </c>
      <c r="G23" s="197">
        <v>31230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43248</v>
      </c>
      <c r="D24" s="196" t="s">
        <v>16</v>
      </c>
      <c r="E24" s="196" t="s">
        <v>24</v>
      </c>
      <c r="F24" s="197">
        <v>30920</v>
      </c>
      <c r="G24" s="197">
        <v>30980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43249</v>
      </c>
      <c r="D25" s="196" t="s">
        <v>23</v>
      </c>
      <c r="E25" s="196" t="s">
        <v>24</v>
      </c>
      <c r="F25" s="197">
        <v>31080</v>
      </c>
      <c r="G25" s="197">
        <v>31180</v>
      </c>
      <c r="H25" s="196">
        <v>-100</v>
      </c>
      <c r="I25" s="197">
        <v>100</v>
      </c>
      <c r="J25" s="268">
        <f t="shared" si="1"/>
        <v>-10000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43250</v>
      </c>
      <c r="D26" s="196" t="s">
        <v>16</v>
      </c>
      <c r="E26" s="196" t="s">
        <v>24</v>
      </c>
      <c r="F26" s="197">
        <v>30970</v>
      </c>
      <c r="G26" s="197">
        <v>31030</v>
      </c>
      <c r="H26" s="196">
        <v>60</v>
      </c>
      <c r="I26" s="197">
        <v>100</v>
      </c>
      <c r="J26" s="268">
        <f t="shared" si="1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43251</v>
      </c>
      <c r="D27" s="196" t="s">
        <v>16</v>
      </c>
      <c r="E27" s="196" t="s">
        <v>24</v>
      </c>
      <c r="F27" s="197">
        <v>31070</v>
      </c>
      <c r="G27" s="197">
        <v>30970</v>
      </c>
      <c r="H27" s="196">
        <v>-100</v>
      </c>
      <c r="I27" s="197">
        <v>100</v>
      </c>
      <c r="J27" s="268">
        <f t="shared" si="1"/>
        <v>-10000</v>
      </c>
      <c r="K27" s="185"/>
      <c r="V27" s="183">
        <f t="shared" si="2"/>
        <v>0</v>
      </c>
      <c r="W27" s="183">
        <f t="shared" si="3"/>
        <v>1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96500</v>
      </c>
      <c r="K29" s="185"/>
      <c r="V29" s="183">
        <f>SUM(V6:V28)</f>
        <v>15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43221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43222</v>
      </c>
      <c r="D37" s="192" t="s">
        <v>23</v>
      </c>
      <c r="E37" s="192" t="s">
        <v>25</v>
      </c>
      <c r="F37" s="193">
        <v>4525</v>
      </c>
      <c r="G37" s="193">
        <v>4485</v>
      </c>
      <c r="H37" s="192">
        <v>40</v>
      </c>
      <c r="I37" s="193">
        <v>100</v>
      </c>
      <c r="J37" s="267">
        <f t="shared" ref="J37:J59" si="6">I37*H37</f>
        <v>4000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43223</v>
      </c>
      <c r="D38" s="196" t="s">
        <v>16</v>
      </c>
      <c r="E38" s="196" t="s">
        <v>25</v>
      </c>
      <c r="F38" s="197">
        <v>4520</v>
      </c>
      <c r="G38" s="197">
        <v>4570</v>
      </c>
      <c r="H38" s="196">
        <v>50</v>
      </c>
      <c r="I38" s="197">
        <v>100</v>
      </c>
      <c r="J38" s="268">
        <f t="shared" si="6"/>
        <v>5000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43224</v>
      </c>
      <c r="D39" s="196" t="s">
        <v>23</v>
      </c>
      <c r="E39" s="196" t="s">
        <v>25</v>
      </c>
      <c r="F39" s="197">
        <v>4575</v>
      </c>
      <c r="G39" s="197">
        <v>4605</v>
      </c>
      <c r="H39" s="196">
        <v>-30</v>
      </c>
      <c r="I39" s="197">
        <v>100</v>
      </c>
      <c r="J39" s="268">
        <f t="shared" si="6"/>
        <v>-3000</v>
      </c>
      <c r="K39" s="185"/>
      <c r="V39" s="183">
        <f t="shared" si="7"/>
        <v>0</v>
      </c>
      <c r="W39" s="183">
        <f t="shared" si="8"/>
        <v>1</v>
      </c>
    </row>
    <row r="40" spans="1:23" x14ac:dyDescent="0.3">
      <c r="A40" s="184"/>
      <c r="B40" s="194">
        <v>4</v>
      </c>
      <c r="C40" s="195">
        <v>43227</v>
      </c>
      <c r="D40" s="196" t="s">
        <v>23</v>
      </c>
      <c r="E40" s="196" t="s">
        <v>25</v>
      </c>
      <c r="F40" s="197">
        <v>4735</v>
      </c>
      <c r="G40" s="197">
        <v>4720</v>
      </c>
      <c r="H40" s="196">
        <v>15</v>
      </c>
      <c r="I40" s="197">
        <v>100</v>
      </c>
      <c r="J40" s="268">
        <f t="shared" si="6"/>
        <v>1500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43228</v>
      </c>
      <c r="D41" s="196" t="s">
        <v>23</v>
      </c>
      <c r="E41" s="196" t="s">
        <v>25</v>
      </c>
      <c r="F41" s="197">
        <v>4705</v>
      </c>
      <c r="G41" s="197">
        <v>4645</v>
      </c>
      <c r="H41" s="196">
        <v>60</v>
      </c>
      <c r="I41" s="197">
        <v>100</v>
      </c>
      <c r="J41" s="268">
        <f t="shared" si="6"/>
        <v>6000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43229</v>
      </c>
      <c r="D42" s="196" t="s">
        <v>23</v>
      </c>
      <c r="E42" s="196" t="s">
        <v>25</v>
      </c>
      <c r="F42" s="197">
        <v>4795</v>
      </c>
      <c r="G42" s="197">
        <v>4755</v>
      </c>
      <c r="H42" s="196">
        <v>40</v>
      </c>
      <c r="I42" s="197">
        <v>100</v>
      </c>
      <c r="J42" s="268">
        <f t="shared" si="6"/>
        <v>4000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43230</v>
      </c>
      <c r="D43" s="196" t="s">
        <v>23</v>
      </c>
      <c r="E43" s="196" t="s">
        <v>25</v>
      </c>
      <c r="F43" s="197">
        <v>4835</v>
      </c>
      <c r="G43" s="197">
        <v>4775</v>
      </c>
      <c r="H43" s="196">
        <v>60</v>
      </c>
      <c r="I43" s="197">
        <v>100</v>
      </c>
      <c r="J43" s="268">
        <f t="shared" si="6"/>
        <v>6000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43231</v>
      </c>
      <c r="D44" s="196" t="s">
        <v>23</v>
      </c>
      <c r="E44" s="196" t="s">
        <v>25</v>
      </c>
      <c r="F44" s="197">
        <v>4795</v>
      </c>
      <c r="G44" s="197">
        <v>4770</v>
      </c>
      <c r="H44" s="196">
        <v>25</v>
      </c>
      <c r="I44" s="197">
        <v>100</v>
      </c>
      <c r="J44" s="268">
        <f t="shared" si="6"/>
        <v>2500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43234</v>
      </c>
      <c r="D45" s="196" t="s">
        <v>23</v>
      </c>
      <c r="E45" s="196" t="s">
        <v>25</v>
      </c>
      <c r="F45" s="197">
        <v>4745</v>
      </c>
      <c r="G45" s="197">
        <v>4775</v>
      </c>
      <c r="H45" s="196">
        <v>-30</v>
      </c>
      <c r="I45" s="197">
        <v>100</v>
      </c>
      <c r="J45" s="268">
        <f t="shared" si="6"/>
        <v>-3000</v>
      </c>
      <c r="K45" s="185"/>
      <c r="V45" s="183">
        <f t="shared" si="7"/>
        <v>0</v>
      </c>
      <c r="W45" s="183">
        <f t="shared" si="8"/>
        <v>1</v>
      </c>
    </row>
    <row r="46" spans="1:23" x14ac:dyDescent="0.3">
      <c r="A46" s="184"/>
      <c r="B46" s="194">
        <v>10</v>
      </c>
      <c r="C46" s="195">
        <v>43235</v>
      </c>
      <c r="D46" s="196" t="s">
        <v>23</v>
      </c>
      <c r="E46" s="196" t="s">
        <v>25</v>
      </c>
      <c r="F46" s="197">
        <v>4810</v>
      </c>
      <c r="G46" s="197">
        <v>4840</v>
      </c>
      <c r="H46" s="196">
        <v>-30</v>
      </c>
      <c r="I46" s="197">
        <v>100</v>
      </c>
      <c r="J46" s="268">
        <f t="shared" si="6"/>
        <v>-3000</v>
      </c>
      <c r="K46" s="185"/>
      <c r="V46" s="183">
        <f t="shared" si="7"/>
        <v>0</v>
      </c>
      <c r="W46" s="183">
        <f t="shared" si="8"/>
        <v>1</v>
      </c>
    </row>
    <row r="47" spans="1:23" x14ac:dyDescent="0.3">
      <c r="A47" s="184"/>
      <c r="B47" s="194">
        <v>11</v>
      </c>
      <c r="C47" s="195">
        <v>43236</v>
      </c>
      <c r="D47" s="196" t="s">
        <v>23</v>
      </c>
      <c r="E47" s="196" t="s">
        <v>25</v>
      </c>
      <c r="F47" s="197">
        <v>4820</v>
      </c>
      <c r="G47" s="197">
        <v>4795</v>
      </c>
      <c r="H47" s="196">
        <v>25</v>
      </c>
      <c r="I47" s="197">
        <v>100</v>
      </c>
      <c r="J47" s="268">
        <f t="shared" si="6"/>
        <v>2500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43237</v>
      </c>
      <c r="D48" s="196" t="s">
        <v>16</v>
      </c>
      <c r="E48" s="196" t="s">
        <v>25</v>
      </c>
      <c r="F48" s="197">
        <v>4880</v>
      </c>
      <c r="G48" s="197">
        <v>4850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si="7"/>
        <v>0</v>
      </c>
      <c r="W48" s="183">
        <f t="shared" si="8"/>
        <v>1</v>
      </c>
    </row>
    <row r="49" spans="1:23" x14ac:dyDescent="0.3">
      <c r="A49" s="184"/>
      <c r="B49" s="194">
        <v>13</v>
      </c>
      <c r="C49" s="195">
        <v>43238</v>
      </c>
      <c r="D49" s="196" t="s">
        <v>16</v>
      </c>
      <c r="E49" s="196" t="s">
        <v>25</v>
      </c>
      <c r="F49" s="197">
        <v>4865</v>
      </c>
      <c r="G49" s="197">
        <v>4835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14</v>
      </c>
      <c r="C50" s="195">
        <v>43241</v>
      </c>
      <c r="D50" s="196" t="s">
        <v>23</v>
      </c>
      <c r="E50" s="196" t="s">
        <v>25</v>
      </c>
      <c r="F50" s="197">
        <v>4885</v>
      </c>
      <c r="G50" s="197">
        <v>4855</v>
      </c>
      <c r="H50" s="196">
        <v>30</v>
      </c>
      <c r="I50" s="197">
        <v>100</v>
      </c>
      <c r="J50" s="268">
        <f t="shared" si="6"/>
        <v>3000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43242</v>
      </c>
      <c r="D51" s="196" t="s">
        <v>23</v>
      </c>
      <c r="E51" s="196" t="s">
        <v>25</v>
      </c>
      <c r="F51" s="197">
        <v>4960</v>
      </c>
      <c r="G51" s="197">
        <v>4920</v>
      </c>
      <c r="H51" s="196">
        <v>40</v>
      </c>
      <c r="I51" s="197">
        <v>100</v>
      </c>
      <c r="J51" s="268">
        <f t="shared" si="6"/>
        <v>4000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43243</v>
      </c>
      <c r="D52" s="196" t="s">
        <v>23</v>
      </c>
      <c r="E52" s="196" t="s">
        <v>25</v>
      </c>
      <c r="F52" s="197">
        <v>4928</v>
      </c>
      <c r="G52" s="197">
        <v>4888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43244</v>
      </c>
      <c r="D53" s="196" t="s">
        <v>23</v>
      </c>
      <c r="E53" s="196" t="s">
        <v>25</v>
      </c>
      <c r="F53" s="197">
        <v>4915</v>
      </c>
      <c r="G53" s="197">
        <v>4855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43245</v>
      </c>
      <c r="D54" s="196" t="s">
        <v>16</v>
      </c>
      <c r="E54" s="196" t="s">
        <v>25</v>
      </c>
      <c r="F54" s="197">
        <v>4815</v>
      </c>
      <c r="G54" s="197">
        <v>4785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19</v>
      </c>
      <c r="C55" s="195">
        <v>43248</v>
      </c>
      <c r="D55" s="196" t="s">
        <v>16</v>
      </c>
      <c r="E55" s="196" t="s">
        <v>25</v>
      </c>
      <c r="F55" s="197">
        <v>4505</v>
      </c>
      <c r="G55" s="197">
        <v>4525</v>
      </c>
      <c r="H55" s="196">
        <v>20</v>
      </c>
      <c r="I55" s="197">
        <v>100</v>
      </c>
      <c r="J55" s="268">
        <f t="shared" si="6"/>
        <v>2000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43249</v>
      </c>
      <c r="D56" s="196" t="s">
        <v>23</v>
      </c>
      <c r="E56" s="196" t="s">
        <v>25</v>
      </c>
      <c r="F56" s="197">
        <v>4535</v>
      </c>
      <c r="G56" s="197">
        <v>4505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>
        <v>43250</v>
      </c>
      <c r="D57" s="196" t="s">
        <v>23</v>
      </c>
      <c r="E57" s="196" t="s">
        <v>25</v>
      </c>
      <c r="F57" s="197">
        <v>4527</v>
      </c>
      <c r="G57" s="197">
        <v>4508</v>
      </c>
      <c r="H57" s="196">
        <v>19</v>
      </c>
      <c r="I57" s="197">
        <v>100</v>
      </c>
      <c r="J57" s="268">
        <f t="shared" si="6"/>
        <v>1900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22</v>
      </c>
      <c r="C58" s="195">
        <v>43251</v>
      </c>
      <c r="D58" s="196" t="s">
        <v>23</v>
      </c>
      <c r="E58" s="196" t="s">
        <v>25</v>
      </c>
      <c r="F58" s="197">
        <v>4595</v>
      </c>
      <c r="G58" s="197">
        <v>4535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43400</v>
      </c>
      <c r="K60" s="185"/>
      <c r="V60" s="183">
        <f>SUM(V37:V59)</f>
        <v>16</v>
      </c>
      <c r="W60" s="183">
        <f>SUM(W37:W59)</f>
        <v>6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43221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43222</v>
      </c>
      <c r="D68" s="216" t="s">
        <v>23</v>
      </c>
      <c r="E68" s="256" t="s">
        <v>56</v>
      </c>
      <c r="F68" s="256">
        <v>150.6</v>
      </c>
      <c r="G68" s="256">
        <v>151.6</v>
      </c>
      <c r="H68" s="256">
        <v>-1</v>
      </c>
      <c r="I68" s="218">
        <v>5000</v>
      </c>
      <c r="J68" s="273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v>2</v>
      </c>
      <c r="C69" s="195">
        <v>43223</v>
      </c>
      <c r="D69" s="196" t="s">
        <v>23</v>
      </c>
      <c r="E69" s="222" t="s">
        <v>28</v>
      </c>
      <c r="F69" s="222">
        <v>205.1</v>
      </c>
      <c r="G69" s="222">
        <v>203.1</v>
      </c>
      <c r="H69" s="222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43224</v>
      </c>
      <c r="D70" s="196" t="s">
        <v>16</v>
      </c>
      <c r="E70" s="222" t="s">
        <v>28</v>
      </c>
      <c r="F70" s="222">
        <v>201.5</v>
      </c>
      <c r="G70" s="222">
        <v>200.5</v>
      </c>
      <c r="H70" s="222">
        <v>-1</v>
      </c>
      <c r="I70" s="197">
        <v>5000</v>
      </c>
      <c r="J70" s="268">
        <f t="shared" si="9"/>
        <v>-5000</v>
      </c>
      <c r="K70" s="185"/>
      <c r="V70" s="183">
        <f t="shared" si="10"/>
        <v>0</v>
      </c>
      <c r="W70" s="183">
        <f t="shared" si="11"/>
        <v>1</v>
      </c>
    </row>
    <row r="71" spans="1:23" x14ac:dyDescent="0.3">
      <c r="A71" s="184"/>
      <c r="B71" s="194">
        <v>4</v>
      </c>
      <c r="C71" s="195">
        <v>43227</v>
      </c>
      <c r="D71" s="196" t="s">
        <v>23</v>
      </c>
      <c r="E71" s="222" t="s">
        <v>28</v>
      </c>
      <c r="F71" s="222">
        <v>207.3</v>
      </c>
      <c r="G71" s="222">
        <v>206.3</v>
      </c>
      <c r="H71" s="222">
        <v>1</v>
      </c>
      <c r="I71" s="197">
        <v>5000</v>
      </c>
      <c r="J71" s="268">
        <f t="shared" si="9"/>
        <v>5000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43228</v>
      </c>
      <c r="D72" s="196" t="s">
        <v>23</v>
      </c>
      <c r="E72" s="222" t="s">
        <v>28</v>
      </c>
      <c r="F72" s="222">
        <v>208.5</v>
      </c>
      <c r="G72" s="222">
        <v>206.5</v>
      </c>
      <c r="H72" s="222">
        <v>2</v>
      </c>
      <c r="I72" s="197">
        <v>5000</v>
      </c>
      <c r="J72" s="268">
        <f t="shared" si="9"/>
        <v>10000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43229</v>
      </c>
      <c r="D73" s="196" t="s">
        <v>23</v>
      </c>
      <c r="E73" s="222" t="s">
        <v>28</v>
      </c>
      <c r="F73" s="222">
        <v>207.4</v>
      </c>
      <c r="G73" s="222">
        <v>208.4</v>
      </c>
      <c r="H73" s="222">
        <v>-1</v>
      </c>
      <c r="I73" s="197">
        <v>5000</v>
      </c>
      <c r="J73" s="268">
        <f t="shared" si="9"/>
        <v>-5000</v>
      </c>
      <c r="K73" s="185"/>
      <c r="V73" s="183">
        <f t="shared" si="10"/>
        <v>0</v>
      </c>
      <c r="W73" s="183">
        <f t="shared" si="11"/>
        <v>1</v>
      </c>
    </row>
    <row r="74" spans="1:23" x14ac:dyDescent="0.3">
      <c r="A74" s="184"/>
      <c r="B74" s="194">
        <v>7</v>
      </c>
      <c r="C74" s="195">
        <v>43230</v>
      </c>
      <c r="D74" s="196" t="s">
        <v>23</v>
      </c>
      <c r="E74" s="222" t="s">
        <v>28</v>
      </c>
      <c r="F74" s="222">
        <v>207.7</v>
      </c>
      <c r="G74" s="222">
        <v>207.2</v>
      </c>
      <c r="H74" s="274">
        <v>0.5</v>
      </c>
      <c r="I74" s="197">
        <v>5000</v>
      </c>
      <c r="J74" s="268">
        <f t="shared" si="9"/>
        <v>2500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43231</v>
      </c>
      <c r="D75" s="196" t="s">
        <v>23</v>
      </c>
      <c r="E75" s="222" t="s">
        <v>29</v>
      </c>
      <c r="F75" s="222">
        <v>465</v>
      </c>
      <c r="G75" s="222">
        <v>465</v>
      </c>
      <c r="H75" s="222">
        <v>0</v>
      </c>
      <c r="I75" s="197">
        <v>1000</v>
      </c>
      <c r="J75" s="268">
        <f t="shared" si="9"/>
        <v>0</v>
      </c>
      <c r="K75" s="185"/>
      <c r="V75" s="183">
        <f t="shared" si="10"/>
        <v>0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43234</v>
      </c>
      <c r="D76" s="196" t="s">
        <v>16</v>
      </c>
      <c r="E76" s="222" t="s">
        <v>29</v>
      </c>
      <c r="F76" s="222">
        <v>466</v>
      </c>
      <c r="G76" s="222">
        <v>462</v>
      </c>
      <c r="H76" s="222">
        <v>-4</v>
      </c>
      <c r="I76" s="197">
        <v>1000</v>
      </c>
      <c r="J76" s="268">
        <f t="shared" si="9"/>
        <v>-4000</v>
      </c>
      <c r="K76" s="185"/>
      <c r="V76" s="183">
        <f t="shared" si="10"/>
        <v>0</v>
      </c>
      <c r="W76" s="183">
        <f t="shared" si="11"/>
        <v>1</v>
      </c>
    </row>
    <row r="77" spans="1:23" x14ac:dyDescent="0.3">
      <c r="A77" s="184"/>
      <c r="B77" s="194">
        <v>10</v>
      </c>
      <c r="C77" s="195">
        <v>43235</v>
      </c>
      <c r="D77" s="196" t="s">
        <v>16</v>
      </c>
      <c r="E77" s="222" t="s">
        <v>29</v>
      </c>
      <c r="F77" s="222">
        <v>464</v>
      </c>
      <c r="G77" s="222">
        <v>467.5</v>
      </c>
      <c r="H77" s="222">
        <v>3.5</v>
      </c>
      <c r="I77" s="197">
        <v>1000</v>
      </c>
      <c r="J77" s="268">
        <f t="shared" si="9"/>
        <v>3500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43236</v>
      </c>
      <c r="D78" s="196" t="s">
        <v>16</v>
      </c>
      <c r="E78" s="222" t="s">
        <v>29</v>
      </c>
      <c r="F78" s="222">
        <v>462</v>
      </c>
      <c r="G78" s="222">
        <v>461</v>
      </c>
      <c r="H78" s="274">
        <v>-1</v>
      </c>
      <c r="I78" s="197">
        <v>1000</v>
      </c>
      <c r="J78" s="268">
        <f t="shared" si="9"/>
        <v>-1000</v>
      </c>
      <c r="K78" s="185"/>
      <c r="V78" s="183">
        <f t="shared" si="10"/>
        <v>0</v>
      </c>
      <c r="W78" s="183">
        <f t="shared" si="11"/>
        <v>1</v>
      </c>
    </row>
    <row r="79" spans="1:23" x14ac:dyDescent="0.3">
      <c r="A79" s="184"/>
      <c r="B79" s="194">
        <v>12</v>
      </c>
      <c r="C79" s="195">
        <v>43237</v>
      </c>
      <c r="D79" s="196" t="s">
        <v>23</v>
      </c>
      <c r="E79" s="222" t="s">
        <v>29</v>
      </c>
      <c r="F79" s="222">
        <v>465</v>
      </c>
      <c r="G79" s="222">
        <v>462.5</v>
      </c>
      <c r="H79" s="274">
        <v>2.5</v>
      </c>
      <c r="I79" s="197">
        <v>1000</v>
      </c>
      <c r="J79" s="268">
        <f t="shared" si="9"/>
        <v>2500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43238</v>
      </c>
      <c r="D80" s="196" t="s">
        <v>23</v>
      </c>
      <c r="E80" s="222" t="s">
        <v>29</v>
      </c>
      <c r="F80" s="222">
        <v>464</v>
      </c>
      <c r="G80" s="222">
        <v>461.5</v>
      </c>
      <c r="H80" s="274">
        <v>2.5</v>
      </c>
      <c r="I80" s="197">
        <v>1000</v>
      </c>
      <c r="J80" s="268">
        <f t="shared" si="9"/>
        <v>2500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43241</v>
      </c>
      <c r="D81" s="196" t="s">
        <v>23</v>
      </c>
      <c r="E81" s="222" t="s">
        <v>29</v>
      </c>
      <c r="F81" s="222">
        <v>465</v>
      </c>
      <c r="G81" s="222">
        <v>469</v>
      </c>
      <c r="H81" s="274">
        <v>-4</v>
      </c>
      <c r="I81" s="197">
        <v>1000</v>
      </c>
      <c r="J81" s="268">
        <f t="shared" si="9"/>
        <v>-4000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15</v>
      </c>
      <c r="C82" s="195">
        <v>43242</v>
      </c>
      <c r="D82" s="196" t="s">
        <v>23</v>
      </c>
      <c r="E82" s="222" t="s">
        <v>29</v>
      </c>
      <c r="F82" s="223">
        <v>470</v>
      </c>
      <c r="G82" s="222">
        <v>474</v>
      </c>
      <c r="H82" s="274">
        <v>-4</v>
      </c>
      <c r="I82" s="197">
        <v>1000</v>
      </c>
      <c r="J82" s="268">
        <f t="shared" si="9"/>
        <v>-4000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16</v>
      </c>
      <c r="C83" s="195">
        <v>43243</v>
      </c>
      <c r="D83" s="196" t="s">
        <v>23</v>
      </c>
      <c r="E83" s="222" t="s">
        <v>28</v>
      </c>
      <c r="F83" s="222">
        <v>208.2</v>
      </c>
      <c r="G83" s="222">
        <v>206.2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43244</v>
      </c>
      <c r="D84" s="196" t="s">
        <v>23</v>
      </c>
      <c r="E84" s="222" t="s">
        <v>28</v>
      </c>
      <c r="F84" s="222">
        <v>207.3</v>
      </c>
      <c r="G84" s="222">
        <v>206.3</v>
      </c>
      <c r="H84" s="274">
        <v>1</v>
      </c>
      <c r="I84" s="197">
        <v>5000</v>
      </c>
      <c r="J84" s="268">
        <f t="shared" si="9"/>
        <v>5000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43245</v>
      </c>
      <c r="D85" s="196" t="s">
        <v>23</v>
      </c>
      <c r="E85" s="222" t="s">
        <v>28</v>
      </c>
      <c r="F85" s="222">
        <v>208.6</v>
      </c>
      <c r="G85" s="222">
        <v>207.2</v>
      </c>
      <c r="H85" s="274">
        <v>1.4</v>
      </c>
      <c r="I85" s="197">
        <v>5000</v>
      </c>
      <c r="J85" s="268">
        <f t="shared" si="9"/>
        <v>7000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43248</v>
      </c>
      <c r="D86" s="196" t="s">
        <v>23</v>
      </c>
      <c r="E86" s="222" t="s">
        <v>28</v>
      </c>
      <c r="F86" s="222">
        <v>206.6</v>
      </c>
      <c r="G86" s="222">
        <v>206.6</v>
      </c>
      <c r="H86" s="274">
        <v>0</v>
      </c>
      <c r="I86" s="197">
        <v>5000</v>
      </c>
      <c r="J86" s="268">
        <f t="shared" si="9"/>
        <v>0</v>
      </c>
      <c r="K86" s="185"/>
      <c r="V86" s="183">
        <f t="shared" si="10"/>
        <v>0</v>
      </c>
      <c r="W86" s="183">
        <f t="shared" si="11"/>
        <v>0</v>
      </c>
    </row>
    <row r="87" spans="1:23" x14ac:dyDescent="0.3">
      <c r="A87" s="184"/>
      <c r="B87" s="194">
        <v>20</v>
      </c>
      <c r="C87" s="195">
        <v>43249</v>
      </c>
      <c r="D87" s="196" t="s">
        <v>23</v>
      </c>
      <c r="E87" s="222" t="s">
        <v>28</v>
      </c>
      <c r="F87" s="222">
        <v>210</v>
      </c>
      <c r="G87" s="222">
        <v>209</v>
      </c>
      <c r="H87" s="274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>
        <v>43250</v>
      </c>
      <c r="D88" s="196" t="s">
        <v>23</v>
      </c>
      <c r="E88" s="222" t="s">
        <v>28</v>
      </c>
      <c r="F88" s="222">
        <v>207.7</v>
      </c>
      <c r="G88" s="222">
        <v>208.7</v>
      </c>
      <c r="H88" s="274">
        <v>-1</v>
      </c>
      <c r="I88" s="197">
        <v>5000</v>
      </c>
      <c r="J88" s="268">
        <f t="shared" si="9"/>
        <v>-5000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22</v>
      </c>
      <c r="C89" s="195">
        <v>43251</v>
      </c>
      <c r="D89" s="196" t="s">
        <v>16</v>
      </c>
      <c r="E89" s="222" t="s">
        <v>29</v>
      </c>
      <c r="F89" s="222">
        <v>460.5</v>
      </c>
      <c r="G89" s="222">
        <v>456.5</v>
      </c>
      <c r="H89" s="222">
        <v>-4</v>
      </c>
      <c r="I89" s="197">
        <v>5000</v>
      </c>
      <c r="J89" s="268">
        <f t="shared" si="9"/>
        <v>-20000</v>
      </c>
      <c r="K89" s="185"/>
      <c r="V89" s="183">
        <f t="shared" si="10"/>
        <v>0</v>
      </c>
      <c r="W89" s="183">
        <f t="shared" si="11"/>
        <v>1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10000</v>
      </c>
      <c r="K91" s="185"/>
      <c r="V91" s="183">
        <f>SUM(V68:V90)</f>
        <v>11</v>
      </c>
      <c r="W91" s="183">
        <f>SUM(W68:W90)</f>
        <v>9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4100-000000000000}"/>
    <hyperlink ref="B60" r:id="rId2" xr:uid="{00000000-0004-0000-4100-000001000000}"/>
    <hyperlink ref="M4:M5" location="'MAY-2018'!A1" display="BULLION" xr:uid="{00000000-0004-0000-4100-000002000000}"/>
    <hyperlink ref="M6:M7" location="'MAY-2018'!A54" display="ENERGY" xr:uid="{00000000-0004-0000-4100-000003000000}"/>
    <hyperlink ref="B91" r:id="rId3" xr:uid="{00000000-0004-0000-4100-000004000000}"/>
    <hyperlink ref="M8:M9" location="'MAY-2018'!A86" display="BASE METAL" xr:uid="{00000000-0004-0000-4100-000005000000}"/>
    <hyperlink ref="M1" location="MASTER!A1" display="Back" xr:uid="{00000000-0004-0000-4100-000006000000}"/>
  </hyperlinks>
  <pageMargins left="0" right="0" top="0" bottom="0" header="0" footer="0"/>
  <pageSetup paperSize="9" orientation="portrait" r:id="rId4"/>
  <drawing r:id="rId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W92"/>
  <sheetViews>
    <sheetView topLeftCell="A1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43252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20</v>
      </c>
      <c r="O4" s="355">
        <f>V29</f>
        <v>18</v>
      </c>
      <c r="P4" s="355">
        <f>W29</f>
        <v>2</v>
      </c>
      <c r="Q4" s="356">
        <f>N4-O4-P4</f>
        <v>0</v>
      </c>
      <c r="R4" s="343">
        <f>O4/N4</f>
        <v>0.9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43252</v>
      </c>
      <c r="D6" s="192" t="s">
        <v>23</v>
      </c>
      <c r="E6" s="192" t="s">
        <v>24</v>
      </c>
      <c r="F6" s="193">
        <v>31070</v>
      </c>
      <c r="G6" s="193">
        <v>30910</v>
      </c>
      <c r="H6" s="192">
        <v>160</v>
      </c>
      <c r="I6" s="193">
        <v>100</v>
      </c>
      <c r="J6" s="267">
        <f>H6*I6</f>
        <v>16000</v>
      </c>
      <c r="K6" s="185"/>
      <c r="M6" s="362" t="s">
        <v>258</v>
      </c>
      <c r="N6" s="347">
        <f>COUNT(C37:C59)</f>
        <v>20</v>
      </c>
      <c r="O6" s="348">
        <f>V60</f>
        <v>12</v>
      </c>
      <c r="P6" s="348">
        <f>W60</f>
        <v>8</v>
      </c>
      <c r="Q6" s="349">
        <f>N6-O6-P6</f>
        <v>0</v>
      </c>
      <c r="R6" s="345">
        <f t="shared" ref="R6" si="0">O6/N6</f>
        <v>0.6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43255</v>
      </c>
      <c r="D7" s="196" t="s">
        <v>16</v>
      </c>
      <c r="E7" s="196" t="s">
        <v>24</v>
      </c>
      <c r="F7" s="197">
        <v>30920</v>
      </c>
      <c r="G7" s="197">
        <v>30980</v>
      </c>
      <c r="H7" s="196">
        <v>60</v>
      </c>
      <c r="I7" s="197">
        <v>100</v>
      </c>
      <c r="J7" s="268">
        <f t="shared" ref="J7:J28" si="1">H7*I7</f>
        <v>6000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43256</v>
      </c>
      <c r="D8" s="196" t="s">
        <v>23</v>
      </c>
      <c r="E8" s="196" t="s">
        <v>24</v>
      </c>
      <c r="F8" s="197">
        <v>30910</v>
      </c>
      <c r="G8" s="197">
        <v>31010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COUNT(C68:C90)</f>
        <v>20</v>
      </c>
      <c r="O8" s="348">
        <f>V91</f>
        <v>11</v>
      </c>
      <c r="P8" s="348">
        <f>W91</f>
        <v>9</v>
      </c>
      <c r="Q8" s="349">
        <f>N8-O8-P8</f>
        <v>0</v>
      </c>
      <c r="R8" s="345">
        <f t="shared" ref="R8" si="4">O8/N8</f>
        <v>0.55000000000000004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43257</v>
      </c>
      <c r="D9" s="196" t="s">
        <v>16</v>
      </c>
      <c r="E9" s="196" t="s">
        <v>24</v>
      </c>
      <c r="F9" s="197">
        <v>30880</v>
      </c>
      <c r="G9" s="197">
        <v>30980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43259</v>
      </c>
      <c r="D10" s="196" t="s">
        <v>23</v>
      </c>
      <c r="E10" s="196" t="s">
        <v>24</v>
      </c>
      <c r="F10" s="197">
        <v>31260</v>
      </c>
      <c r="G10" s="197">
        <v>31200</v>
      </c>
      <c r="H10" s="196">
        <v>60</v>
      </c>
      <c r="I10" s="197">
        <v>100</v>
      </c>
      <c r="J10" s="268">
        <f t="shared" si="1"/>
        <v>6000</v>
      </c>
      <c r="K10" s="185"/>
      <c r="M10" s="319" t="s">
        <v>300</v>
      </c>
      <c r="N10" s="321">
        <f>SUM(N4:N9)</f>
        <v>60</v>
      </c>
      <c r="O10" s="321">
        <f>SUM(O4:O9)</f>
        <v>41</v>
      </c>
      <c r="P10" s="321">
        <f>SUM(P4:P9)</f>
        <v>19</v>
      </c>
      <c r="Q10" s="341">
        <f>SUM(Q4:Q9)</f>
        <v>0</v>
      </c>
      <c r="R10" s="343">
        <f t="shared" ref="R10" si="5">O10/N10</f>
        <v>0.68333333333333335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43262</v>
      </c>
      <c r="D11" s="196" t="s">
        <v>23</v>
      </c>
      <c r="E11" s="196" t="s">
        <v>24</v>
      </c>
      <c r="F11" s="197">
        <v>31140</v>
      </c>
      <c r="G11" s="197">
        <v>31240</v>
      </c>
      <c r="H11" s="196">
        <v>-100</v>
      </c>
      <c r="I11" s="197">
        <v>100</v>
      </c>
      <c r="J11" s="268">
        <f t="shared" si="1"/>
        <v>-10000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43263</v>
      </c>
      <c r="D12" s="196" t="s">
        <v>23</v>
      </c>
      <c r="E12" s="196" t="s">
        <v>24</v>
      </c>
      <c r="F12" s="197">
        <v>31180</v>
      </c>
      <c r="G12" s="197">
        <v>31080</v>
      </c>
      <c r="H12" s="196">
        <v>100</v>
      </c>
      <c r="I12" s="197">
        <v>100</v>
      </c>
      <c r="J12" s="268">
        <f t="shared" si="1"/>
        <v>10000</v>
      </c>
      <c r="K12" s="185"/>
      <c r="M12" s="323" t="s">
        <v>878</v>
      </c>
      <c r="N12" s="324"/>
      <c r="O12" s="325"/>
      <c r="P12" s="332">
        <f>R10</f>
        <v>0.68333333333333335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43264</v>
      </c>
      <c r="D13" s="196" t="s">
        <v>23</v>
      </c>
      <c r="E13" s="196" t="s">
        <v>24</v>
      </c>
      <c r="F13" s="197">
        <v>31165</v>
      </c>
      <c r="G13" s="197">
        <v>31130</v>
      </c>
      <c r="H13" s="196">
        <v>35</v>
      </c>
      <c r="I13" s="197">
        <v>100</v>
      </c>
      <c r="J13" s="268">
        <f t="shared" si="1"/>
        <v>3500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43265</v>
      </c>
      <c r="D14" s="196" t="s">
        <v>23</v>
      </c>
      <c r="E14" s="196" t="s">
        <v>24</v>
      </c>
      <c r="F14" s="197">
        <v>31355</v>
      </c>
      <c r="G14" s="197">
        <v>31290</v>
      </c>
      <c r="H14" s="196">
        <v>65</v>
      </c>
      <c r="I14" s="197">
        <v>100</v>
      </c>
      <c r="J14" s="268">
        <f t="shared" si="1"/>
        <v>6500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43266</v>
      </c>
      <c r="D15" s="196" t="s">
        <v>23</v>
      </c>
      <c r="E15" s="196" t="s">
        <v>24</v>
      </c>
      <c r="F15" s="197">
        <v>31420</v>
      </c>
      <c r="G15" s="197">
        <v>31320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43269</v>
      </c>
      <c r="D16" s="196" t="s">
        <v>23</v>
      </c>
      <c r="E16" s="196" t="s">
        <v>24</v>
      </c>
      <c r="F16" s="197">
        <v>31020</v>
      </c>
      <c r="G16" s="197">
        <v>30955</v>
      </c>
      <c r="H16" s="196">
        <v>65</v>
      </c>
      <c r="I16" s="197">
        <v>100</v>
      </c>
      <c r="J16" s="268">
        <f t="shared" si="1"/>
        <v>6500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43270</v>
      </c>
      <c r="D17" s="196" t="s">
        <v>23</v>
      </c>
      <c r="E17" s="196" t="s">
        <v>24</v>
      </c>
      <c r="F17" s="197">
        <v>31080</v>
      </c>
      <c r="G17" s="197">
        <v>30940</v>
      </c>
      <c r="H17" s="196">
        <v>140</v>
      </c>
      <c r="I17" s="197">
        <v>100</v>
      </c>
      <c r="J17" s="268">
        <f t="shared" si="1"/>
        <v>14000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43271</v>
      </c>
      <c r="D18" s="196" t="s">
        <v>23</v>
      </c>
      <c r="E18" s="196" t="s">
        <v>24</v>
      </c>
      <c r="F18" s="197">
        <v>30850</v>
      </c>
      <c r="G18" s="197">
        <v>30790</v>
      </c>
      <c r="H18" s="196"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43272</v>
      </c>
      <c r="D19" s="196" t="s">
        <v>23</v>
      </c>
      <c r="E19" s="196" t="s">
        <v>24</v>
      </c>
      <c r="F19" s="197">
        <v>30670</v>
      </c>
      <c r="G19" s="197">
        <v>30520</v>
      </c>
      <c r="H19" s="196">
        <v>150</v>
      </c>
      <c r="I19" s="197">
        <v>100</v>
      </c>
      <c r="J19" s="268">
        <f t="shared" si="1"/>
        <v>15000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43273</v>
      </c>
      <c r="D20" s="196" t="s">
        <v>23</v>
      </c>
      <c r="E20" s="196" t="s">
        <v>24</v>
      </c>
      <c r="F20" s="197">
        <v>30600</v>
      </c>
      <c r="G20" s="197">
        <v>30530</v>
      </c>
      <c r="H20" s="196">
        <v>70</v>
      </c>
      <c r="I20" s="197">
        <v>100</v>
      </c>
      <c r="J20" s="268">
        <f t="shared" si="1"/>
        <v>7000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43276</v>
      </c>
      <c r="D21" s="196" t="s">
        <v>23</v>
      </c>
      <c r="E21" s="196" t="s">
        <v>24</v>
      </c>
      <c r="F21" s="197">
        <v>30660</v>
      </c>
      <c r="G21" s="197">
        <v>30620</v>
      </c>
      <c r="H21" s="196">
        <v>40</v>
      </c>
      <c r="I21" s="197">
        <v>100</v>
      </c>
      <c r="J21" s="268">
        <f t="shared" si="1"/>
        <v>4000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43277</v>
      </c>
      <c r="D22" s="196" t="s">
        <v>23</v>
      </c>
      <c r="E22" s="196" t="s">
        <v>24</v>
      </c>
      <c r="F22" s="197">
        <v>30620</v>
      </c>
      <c r="G22" s="197">
        <v>30480</v>
      </c>
      <c r="H22" s="196">
        <v>140</v>
      </c>
      <c r="I22" s="197">
        <v>100</v>
      </c>
      <c r="J22" s="268">
        <f t="shared" si="1"/>
        <v>14000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43278</v>
      </c>
      <c r="D23" s="196" t="s">
        <v>23</v>
      </c>
      <c r="E23" s="196" t="s">
        <v>24</v>
      </c>
      <c r="F23" s="197">
        <v>30630</v>
      </c>
      <c r="G23" s="197">
        <v>30570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43279</v>
      </c>
      <c r="D24" s="196" t="s">
        <v>23</v>
      </c>
      <c r="E24" s="196" t="s">
        <v>24</v>
      </c>
      <c r="F24" s="197">
        <v>30690</v>
      </c>
      <c r="G24" s="197">
        <v>30590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43280</v>
      </c>
      <c r="D25" s="196" t="s">
        <v>23</v>
      </c>
      <c r="E25" s="196" t="s">
        <v>24</v>
      </c>
      <c r="F25" s="197">
        <v>30490</v>
      </c>
      <c r="G25" s="197">
        <v>30370</v>
      </c>
      <c r="H25" s="196">
        <v>120</v>
      </c>
      <c r="I25" s="197">
        <v>100</v>
      </c>
      <c r="J25" s="268">
        <f t="shared" si="1"/>
        <v>12000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142500</v>
      </c>
      <c r="K29" s="185"/>
      <c r="V29" s="183">
        <f>SUM(V6:V28)</f>
        <v>18</v>
      </c>
      <c r="W29" s="183">
        <f>SUM(W6:W28)</f>
        <v>2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43252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43252</v>
      </c>
      <c r="D37" s="192" t="s">
        <v>16</v>
      </c>
      <c r="E37" s="192" t="s">
        <v>25</v>
      </c>
      <c r="F37" s="193">
        <v>4510</v>
      </c>
      <c r="G37" s="193">
        <v>4530</v>
      </c>
      <c r="H37" s="192">
        <v>20</v>
      </c>
      <c r="I37" s="193">
        <v>100</v>
      </c>
      <c r="J37" s="267">
        <f t="shared" ref="J37:J59" si="6">I37*H37</f>
        <v>2000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43255</v>
      </c>
      <c r="D38" s="196" t="s">
        <v>23</v>
      </c>
      <c r="E38" s="196" t="s">
        <v>25</v>
      </c>
      <c r="F38" s="197">
        <v>4425</v>
      </c>
      <c r="G38" s="197">
        <v>4365</v>
      </c>
      <c r="H38" s="196">
        <v>60</v>
      </c>
      <c r="I38" s="197">
        <v>100</v>
      </c>
      <c r="J38" s="268">
        <f t="shared" si="6"/>
        <v>6000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43256</v>
      </c>
      <c r="D39" s="196" t="s">
        <v>16</v>
      </c>
      <c r="E39" s="196" t="s">
        <v>25</v>
      </c>
      <c r="F39" s="197">
        <v>4380</v>
      </c>
      <c r="G39" s="197">
        <v>4350</v>
      </c>
      <c r="H39" s="196">
        <v>-30</v>
      </c>
      <c r="I39" s="197">
        <v>100</v>
      </c>
      <c r="J39" s="268">
        <f t="shared" si="6"/>
        <v>-3000</v>
      </c>
      <c r="K39" s="185"/>
      <c r="V39" s="183">
        <f t="shared" si="7"/>
        <v>0</v>
      </c>
      <c r="W39" s="183">
        <f t="shared" si="8"/>
        <v>1</v>
      </c>
    </row>
    <row r="40" spans="1:23" x14ac:dyDescent="0.3">
      <c r="A40" s="184"/>
      <c r="B40" s="194">
        <v>4</v>
      </c>
      <c r="C40" s="195">
        <v>43257</v>
      </c>
      <c r="D40" s="196" t="s">
        <v>16</v>
      </c>
      <c r="E40" s="196" t="s">
        <v>25</v>
      </c>
      <c r="F40" s="197">
        <v>4368</v>
      </c>
      <c r="G40" s="197">
        <v>4338</v>
      </c>
      <c r="H40" s="196">
        <v>-30</v>
      </c>
      <c r="I40" s="197">
        <v>100</v>
      </c>
      <c r="J40" s="268">
        <f t="shared" si="6"/>
        <v>-3000</v>
      </c>
      <c r="K40" s="185"/>
      <c r="V40" s="183">
        <f t="shared" si="7"/>
        <v>0</v>
      </c>
      <c r="W40" s="183">
        <f t="shared" si="8"/>
        <v>1</v>
      </c>
    </row>
    <row r="41" spans="1:23" x14ac:dyDescent="0.3">
      <c r="A41" s="184"/>
      <c r="B41" s="194">
        <v>5</v>
      </c>
      <c r="C41" s="195">
        <v>43259</v>
      </c>
      <c r="D41" s="196" t="s">
        <v>23</v>
      </c>
      <c r="E41" s="196" t="s">
        <v>25</v>
      </c>
      <c r="F41" s="197">
        <v>4450</v>
      </c>
      <c r="G41" s="197">
        <v>4420</v>
      </c>
      <c r="H41" s="196">
        <v>30</v>
      </c>
      <c r="I41" s="197">
        <v>100</v>
      </c>
      <c r="J41" s="268">
        <f t="shared" si="6"/>
        <v>3000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43262</v>
      </c>
      <c r="D42" s="196" t="s">
        <v>23</v>
      </c>
      <c r="E42" s="196" t="s">
        <v>25</v>
      </c>
      <c r="F42" s="197">
        <v>4435</v>
      </c>
      <c r="G42" s="197">
        <v>4375</v>
      </c>
      <c r="H42" s="196">
        <v>60</v>
      </c>
      <c r="I42" s="197">
        <v>100</v>
      </c>
      <c r="J42" s="268">
        <f t="shared" si="6"/>
        <v>6000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43263</v>
      </c>
      <c r="D43" s="196" t="s">
        <v>23</v>
      </c>
      <c r="E43" s="196" t="s">
        <v>25</v>
      </c>
      <c r="F43" s="197">
        <v>4470</v>
      </c>
      <c r="G43" s="197">
        <v>4448</v>
      </c>
      <c r="H43" s="196">
        <v>22</v>
      </c>
      <c r="I43" s="197">
        <v>100</v>
      </c>
      <c r="J43" s="268">
        <f t="shared" si="6"/>
        <v>2200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43264</v>
      </c>
      <c r="D44" s="196" t="s">
        <v>23</v>
      </c>
      <c r="E44" s="196" t="s">
        <v>25</v>
      </c>
      <c r="F44" s="197">
        <v>4465</v>
      </c>
      <c r="G44" s="197">
        <v>4495</v>
      </c>
      <c r="H44" s="196">
        <v>-30</v>
      </c>
      <c r="I44" s="197">
        <v>100</v>
      </c>
      <c r="J44" s="268">
        <f t="shared" si="6"/>
        <v>-3000</v>
      </c>
      <c r="K44" s="185"/>
      <c r="V44" s="183">
        <f t="shared" si="7"/>
        <v>0</v>
      </c>
      <c r="W44" s="183">
        <f t="shared" si="8"/>
        <v>1</v>
      </c>
    </row>
    <row r="45" spans="1:23" x14ac:dyDescent="0.3">
      <c r="A45" s="184"/>
      <c r="B45" s="194">
        <v>9</v>
      </c>
      <c r="C45" s="195">
        <v>43265</v>
      </c>
      <c r="D45" s="196" t="s">
        <v>23</v>
      </c>
      <c r="E45" s="196" t="s">
        <v>25</v>
      </c>
      <c r="F45" s="197">
        <v>4515</v>
      </c>
      <c r="G45" s="197">
        <v>4495</v>
      </c>
      <c r="H45" s="196">
        <v>20</v>
      </c>
      <c r="I45" s="197">
        <v>100</v>
      </c>
      <c r="J45" s="268">
        <f t="shared" si="6"/>
        <v>2000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43266</v>
      </c>
      <c r="D46" s="196" t="s">
        <v>23</v>
      </c>
      <c r="E46" s="196" t="s">
        <v>25</v>
      </c>
      <c r="F46" s="197">
        <v>4540</v>
      </c>
      <c r="G46" s="197">
        <v>4480</v>
      </c>
      <c r="H46" s="196">
        <v>60</v>
      </c>
      <c r="I46" s="197">
        <v>100</v>
      </c>
      <c r="J46" s="268">
        <f t="shared" si="6"/>
        <v>6000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43269</v>
      </c>
      <c r="D47" s="196" t="s">
        <v>23</v>
      </c>
      <c r="E47" s="196" t="s">
        <v>25</v>
      </c>
      <c r="F47" s="197">
        <v>4365</v>
      </c>
      <c r="G47" s="197">
        <v>4395</v>
      </c>
      <c r="H47" s="196">
        <v>-30</v>
      </c>
      <c r="I47" s="197">
        <v>100</v>
      </c>
      <c r="J47" s="268">
        <f t="shared" si="6"/>
        <v>-3000</v>
      </c>
      <c r="K47" s="185"/>
      <c r="V47" s="183">
        <f t="shared" si="7"/>
        <v>0</v>
      </c>
      <c r="W47" s="183">
        <f t="shared" si="8"/>
        <v>1</v>
      </c>
    </row>
    <row r="48" spans="1:23" x14ac:dyDescent="0.3">
      <c r="A48" s="184"/>
      <c r="B48" s="194">
        <v>12</v>
      </c>
      <c r="C48" s="195">
        <v>43270</v>
      </c>
      <c r="D48" s="196" t="s">
        <v>23</v>
      </c>
      <c r="E48" s="196" t="s">
        <v>25</v>
      </c>
      <c r="F48" s="197">
        <v>4430</v>
      </c>
      <c r="G48" s="197">
        <v>4390</v>
      </c>
      <c r="H48" s="196">
        <v>40</v>
      </c>
      <c r="I48" s="197">
        <v>100</v>
      </c>
      <c r="J48" s="268">
        <f t="shared" si="6"/>
        <v>4000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43271</v>
      </c>
      <c r="D49" s="196" t="s">
        <v>23</v>
      </c>
      <c r="E49" s="196" t="s">
        <v>25</v>
      </c>
      <c r="F49" s="197">
        <v>4465</v>
      </c>
      <c r="G49" s="197">
        <v>4435</v>
      </c>
      <c r="H49" s="196">
        <v>30</v>
      </c>
      <c r="I49" s="197">
        <v>100</v>
      </c>
      <c r="J49" s="268">
        <f t="shared" si="6"/>
        <v>3000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43272</v>
      </c>
      <c r="D50" s="196" t="s">
        <v>23</v>
      </c>
      <c r="E50" s="196" t="s">
        <v>25</v>
      </c>
      <c r="F50" s="197">
        <v>4460</v>
      </c>
      <c r="G50" s="197">
        <v>4420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43273</v>
      </c>
      <c r="D51" s="196" t="s">
        <v>23</v>
      </c>
      <c r="E51" s="196" t="s">
        <v>25</v>
      </c>
      <c r="F51" s="197">
        <v>4510</v>
      </c>
      <c r="G51" s="197">
        <v>4540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16</v>
      </c>
      <c r="C52" s="195">
        <v>43276</v>
      </c>
      <c r="D52" s="196" t="s">
        <v>23</v>
      </c>
      <c r="E52" s="196" t="s">
        <v>25</v>
      </c>
      <c r="F52" s="197">
        <v>4675</v>
      </c>
      <c r="G52" s="197">
        <v>4705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43277</v>
      </c>
      <c r="D53" s="196" t="s">
        <v>23</v>
      </c>
      <c r="E53" s="196" t="s">
        <v>25</v>
      </c>
      <c r="F53" s="197">
        <v>4665</v>
      </c>
      <c r="G53" s="197">
        <v>4635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43278</v>
      </c>
      <c r="D54" s="196" t="s">
        <v>23</v>
      </c>
      <c r="E54" s="196" t="s">
        <v>25</v>
      </c>
      <c r="F54" s="197">
        <v>4870</v>
      </c>
      <c r="G54" s="197">
        <v>4900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19</v>
      </c>
      <c r="C55" s="195">
        <v>43279</v>
      </c>
      <c r="D55" s="196" t="s">
        <v>16</v>
      </c>
      <c r="E55" s="196" t="s">
        <v>25</v>
      </c>
      <c r="F55" s="197">
        <v>5030</v>
      </c>
      <c r="G55" s="197">
        <v>5000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20</v>
      </c>
      <c r="C56" s="195">
        <v>43280</v>
      </c>
      <c r="D56" s="196" t="s">
        <v>16</v>
      </c>
      <c r="E56" s="196" t="s">
        <v>25</v>
      </c>
      <c r="F56" s="197">
        <v>5020</v>
      </c>
      <c r="G56" s="197">
        <v>5070</v>
      </c>
      <c r="H56" s="196">
        <v>50</v>
      </c>
      <c r="I56" s="197">
        <v>100</v>
      </c>
      <c r="J56" s="268">
        <f t="shared" si="6"/>
        <v>5000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22200</v>
      </c>
      <c r="K60" s="185"/>
      <c r="V60" s="183">
        <f>SUM(V37:V59)</f>
        <v>12</v>
      </c>
      <c r="W60" s="183">
        <f>SUM(W37:W59)</f>
        <v>8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43252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43252</v>
      </c>
      <c r="D68" s="216" t="s">
        <v>16</v>
      </c>
      <c r="E68" s="256" t="s">
        <v>29</v>
      </c>
      <c r="F68" s="256">
        <v>456</v>
      </c>
      <c r="G68" s="256">
        <v>458.5</v>
      </c>
      <c r="H68" s="256">
        <v>2.5</v>
      </c>
      <c r="I68" s="218">
        <v>1000</v>
      </c>
      <c r="J68" s="273">
        <f>I68*H68</f>
        <v>2500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43255</v>
      </c>
      <c r="D69" s="196" t="s">
        <v>16</v>
      </c>
      <c r="E69" s="222" t="s">
        <v>28</v>
      </c>
      <c r="F69" s="222">
        <v>206.5</v>
      </c>
      <c r="G69" s="222">
        <v>208.5</v>
      </c>
      <c r="H69" s="222">
        <v>2</v>
      </c>
      <c r="I69" s="197">
        <v>1000</v>
      </c>
      <c r="J69" s="268">
        <f t="shared" ref="J69:J90" si="9">I69*H69</f>
        <v>2000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43256</v>
      </c>
      <c r="D70" s="196" t="s">
        <v>23</v>
      </c>
      <c r="E70" s="222" t="s">
        <v>29</v>
      </c>
      <c r="F70" s="222">
        <v>467.5</v>
      </c>
      <c r="G70" s="222">
        <v>471.5</v>
      </c>
      <c r="H70" s="222">
        <v>-4</v>
      </c>
      <c r="I70" s="197">
        <v>1000</v>
      </c>
      <c r="J70" s="268">
        <f t="shared" si="9"/>
        <v>-4000</v>
      </c>
      <c r="K70" s="185"/>
      <c r="V70" s="183">
        <f t="shared" si="10"/>
        <v>0</v>
      </c>
      <c r="W70" s="183">
        <f t="shared" si="11"/>
        <v>1</v>
      </c>
    </row>
    <row r="71" spans="1:23" x14ac:dyDescent="0.3">
      <c r="A71" s="184"/>
      <c r="B71" s="194">
        <v>4</v>
      </c>
      <c r="C71" s="195">
        <v>43257</v>
      </c>
      <c r="D71" s="196" t="s">
        <v>16</v>
      </c>
      <c r="E71" s="222" t="s">
        <v>29</v>
      </c>
      <c r="F71" s="222">
        <v>477</v>
      </c>
      <c r="G71" s="222">
        <v>481</v>
      </c>
      <c r="H71" s="222">
        <v>4</v>
      </c>
      <c r="I71" s="197">
        <v>1000</v>
      </c>
      <c r="J71" s="268">
        <f t="shared" si="9"/>
        <v>4000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43259</v>
      </c>
      <c r="D72" s="196" t="s">
        <v>23</v>
      </c>
      <c r="E72" s="222" t="s">
        <v>28</v>
      </c>
      <c r="F72" s="222">
        <v>215.5</v>
      </c>
      <c r="G72" s="222">
        <v>216.5</v>
      </c>
      <c r="H72" s="222">
        <v>-1</v>
      </c>
      <c r="I72" s="197">
        <v>5000</v>
      </c>
      <c r="J72" s="268">
        <f t="shared" si="9"/>
        <v>-5000</v>
      </c>
      <c r="K72" s="185"/>
      <c r="V72" s="183">
        <f t="shared" si="10"/>
        <v>0</v>
      </c>
      <c r="W72" s="183">
        <f t="shared" si="11"/>
        <v>1</v>
      </c>
    </row>
    <row r="73" spans="1:23" x14ac:dyDescent="0.3">
      <c r="A73" s="184"/>
      <c r="B73" s="194">
        <v>6</v>
      </c>
      <c r="C73" s="195">
        <v>43262</v>
      </c>
      <c r="D73" s="196" t="s">
        <v>23</v>
      </c>
      <c r="E73" s="222" t="s">
        <v>28</v>
      </c>
      <c r="F73" s="222">
        <v>217.5</v>
      </c>
      <c r="G73" s="222">
        <v>217</v>
      </c>
      <c r="H73" s="222">
        <v>0.5</v>
      </c>
      <c r="I73" s="197">
        <v>5000</v>
      </c>
      <c r="J73" s="268">
        <f t="shared" si="9"/>
        <v>2500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43263</v>
      </c>
      <c r="D74" s="196" t="s">
        <v>23</v>
      </c>
      <c r="E74" s="222" t="s">
        <v>28</v>
      </c>
      <c r="F74" s="222">
        <v>217.5</v>
      </c>
      <c r="G74" s="222">
        <v>216.6</v>
      </c>
      <c r="H74" s="274">
        <v>0.9</v>
      </c>
      <c r="I74" s="197">
        <v>5000</v>
      </c>
      <c r="J74" s="268">
        <f t="shared" si="9"/>
        <v>4500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43264</v>
      </c>
      <c r="D75" s="196" t="s">
        <v>16</v>
      </c>
      <c r="E75" s="222" t="s">
        <v>28</v>
      </c>
      <c r="F75" s="222">
        <v>217.1</v>
      </c>
      <c r="G75" s="222">
        <v>218.8</v>
      </c>
      <c r="H75" s="222">
        <v>1.7</v>
      </c>
      <c r="I75" s="197">
        <v>5000</v>
      </c>
      <c r="J75" s="268">
        <f t="shared" si="9"/>
        <v>8500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43265</v>
      </c>
      <c r="D76" s="196" t="s">
        <v>23</v>
      </c>
      <c r="E76" s="222" t="s">
        <v>28</v>
      </c>
      <c r="F76" s="222">
        <v>218</v>
      </c>
      <c r="G76" s="222">
        <v>216.1</v>
      </c>
      <c r="H76" s="222">
        <v>1.9</v>
      </c>
      <c r="I76" s="197">
        <v>5000</v>
      </c>
      <c r="J76" s="268">
        <f t="shared" si="9"/>
        <v>9500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43266</v>
      </c>
      <c r="D77" s="196" t="s">
        <v>23</v>
      </c>
      <c r="E77" s="222" t="s">
        <v>28</v>
      </c>
      <c r="F77" s="222">
        <v>215.6</v>
      </c>
      <c r="G77" s="222">
        <v>213.6</v>
      </c>
      <c r="H77" s="222">
        <v>2</v>
      </c>
      <c r="I77" s="197">
        <v>5000</v>
      </c>
      <c r="J77" s="268">
        <f t="shared" si="9"/>
        <v>10000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43269</v>
      </c>
      <c r="D78" s="196" t="s">
        <v>16</v>
      </c>
      <c r="E78" s="222" t="s">
        <v>29</v>
      </c>
      <c r="F78" s="222">
        <v>472</v>
      </c>
      <c r="G78" s="222">
        <v>468</v>
      </c>
      <c r="H78" s="274">
        <v>-4</v>
      </c>
      <c r="I78" s="197">
        <v>5000</v>
      </c>
      <c r="J78" s="268">
        <f t="shared" si="9"/>
        <v>-20000</v>
      </c>
      <c r="K78" s="185"/>
      <c r="V78" s="183">
        <f t="shared" si="10"/>
        <v>0</v>
      </c>
      <c r="W78" s="183">
        <f t="shared" si="11"/>
        <v>1</v>
      </c>
    </row>
    <row r="79" spans="1:23" x14ac:dyDescent="0.3">
      <c r="A79" s="184"/>
      <c r="B79" s="194">
        <v>12</v>
      </c>
      <c r="C79" s="195">
        <v>43270</v>
      </c>
      <c r="D79" s="196" t="s">
        <v>16</v>
      </c>
      <c r="E79" s="222" t="s">
        <v>28</v>
      </c>
      <c r="F79" s="222">
        <v>209</v>
      </c>
      <c r="G79" s="222">
        <v>208</v>
      </c>
      <c r="H79" s="274">
        <v>-1</v>
      </c>
      <c r="I79" s="197">
        <v>5000</v>
      </c>
      <c r="J79" s="268">
        <f t="shared" si="9"/>
        <v>-5000</v>
      </c>
      <c r="K79" s="185"/>
      <c r="V79" s="183">
        <f t="shared" si="10"/>
        <v>0</v>
      </c>
      <c r="W79" s="183">
        <f t="shared" si="11"/>
        <v>1</v>
      </c>
    </row>
    <row r="80" spans="1:23" x14ac:dyDescent="0.3">
      <c r="A80" s="184"/>
      <c r="B80" s="194">
        <v>13</v>
      </c>
      <c r="C80" s="195">
        <v>43271</v>
      </c>
      <c r="D80" s="196" t="s">
        <v>23</v>
      </c>
      <c r="E80" s="222" t="s">
        <v>28</v>
      </c>
      <c r="F80" s="222">
        <v>206.7</v>
      </c>
      <c r="G80" s="222">
        <v>205.1</v>
      </c>
      <c r="H80" s="274">
        <v>1.6</v>
      </c>
      <c r="I80" s="197">
        <v>5000</v>
      </c>
      <c r="J80" s="268">
        <f t="shared" si="9"/>
        <v>8000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43272</v>
      </c>
      <c r="D81" s="196" t="s">
        <v>16</v>
      </c>
      <c r="E81" s="222" t="s">
        <v>29</v>
      </c>
      <c r="F81" s="222">
        <v>458</v>
      </c>
      <c r="G81" s="222">
        <v>454</v>
      </c>
      <c r="H81" s="274">
        <v>-4</v>
      </c>
      <c r="I81" s="197">
        <v>1000</v>
      </c>
      <c r="J81" s="268">
        <f t="shared" si="9"/>
        <v>-4000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15</v>
      </c>
      <c r="C82" s="195">
        <v>43273</v>
      </c>
      <c r="D82" s="196" t="s">
        <v>23</v>
      </c>
      <c r="E82" s="222" t="s">
        <v>28</v>
      </c>
      <c r="F82" s="223">
        <v>200.6</v>
      </c>
      <c r="G82" s="222">
        <v>201.6</v>
      </c>
      <c r="H82" s="274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16</v>
      </c>
      <c r="C83" s="195">
        <v>43276</v>
      </c>
      <c r="D83" s="196" t="s">
        <v>23</v>
      </c>
      <c r="E83" s="222" t="s">
        <v>56</v>
      </c>
      <c r="F83" s="222">
        <v>148.5</v>
      </c>
      <c r="G83" s="222">
        <v>147.5</v>
      </c>
      <c r="H83" s="274">
        <v>1</v>
      </c>
      <c r="I83" s="197">
        <v>5000</v>
      </c>
      <c r="J83" s="268">
        <f t="shared" si="9"/>
        <v>5000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43277</v>
      </c>
      <c r="D84" s="196" t="s">
        <v>23</v>
      </c>
      <c r="E84" s="222" t="s">
        <v>56</v>
      </c>
      <c r="F84" s="222">
        <v>146.80000000000001</v>
      </c>
      <c r="G84" s="222">
        <v>147.80000000000001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18</v>
      </c>
      <c r="C85" s="195">
        <v>43278</v>
      </c>
      <c r="D85" s="196" t="s">
        <v>23</v>
      </c>
      <c r="E85" s="222" t="s">
        <v>56</v>
      </c>
      <c r="F85" s="222">
        <v>149</v>
      </c>
      <c r="G85" s="222">
        <v>150</v>
      </c>
      <c r="H85" s="274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19</v>
      </c>
      <c r="C86" s="195">
        <v>43279</v>
      </c>
      <c r="D86" s="196" t="s">
        <v>23</v>
      </c>
      <c r="E86" s="222" t="s">
        <v>28</v>
      </c>
      <c r="F86" s="222">
        <v>200</v>
      </c>
      <c r="G86" s="222">
        <v>201</v>
      </c>
      <c r="H86" s="274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20</v>
      </c>
      <c r="C87" s="195">
        <v>43280</v>
      </c>
      <c r="D87" s="196" t="s">
        <v>23</v>
      </c>
      <c r="E87" s="222" t="s">
        <v>28</v>
      </c>
      <c r="F87" s="222">
        <v>200</v>
      </c>
      <c r="G87" s="222">
        <v>198.3</v>
      </c>
      <c r="H87" s="274">
        <v>1.7</v>
      </c>
      <c r="I87" s="197">
        <v>5000</v>
      </c>
      <c r="J87" s="268">
        <f t="shared" si="9"/>
        <v>8500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222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7000</v>
      </c>
      <c r="K91" s="185"/>
      <c r="V91" s="183">
        <f>SUM(V68:V90)</f>
        <v>11</v>
      </c>
      <c r="W91" s="183">
        <f>SUM(W68:W90)</f>
        <v>9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4200-000000000000}"/>
    <hyperlink ref="B60" r:id="rId2" xr:uid="{00000000-0004-0000-4200-000001000000}"/>
    <hyperlink ref="M4:M5" location="'JUNE-2018'!A1" display="BULLION" xr:uid="{00000000-0004-0000-4200-000002000000}"/>
    <hyperlink ref="M6:M7" location="'JUNE-2018'!A54" display="ENERGY" xr:uid="{00000000-0004-0000-4200-000003000000}"/>
    <hyperlink ref="B91" r:id="rId3" xr:uid="{00000000-0004-0000-4200-000004000000}"/>
    <hyperlink ref="M8:M9" location="'JUNE-2018'!A86" display="BASE METAL" xr:uid="{00000000-0004-0000-4200-000005000000}"/>
    <hyperlink ref="M1" location="MASTER!A1" display="Back" xr:uid="{00000000-0004-0000-4200-000006000000}"/>
  </hyperlinks>
  <pageMargins left="0" right="0" top="0" bottom="0" header="0" footer="0"/>
  <pageSetup paperSize="9" orientation="portrait" r:id="rId4"/>
  <drawing r:id="rId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W92"/>
  <sheetViews>
    <sheetView topLeftCell="A67" workbookViewId="0">
      <selection activeCell="A86" sqref="A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43282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22</v>
      </c>
      <c r="O4" s="355">
        <f>V29</f>
        <v>15</v>
      </c>
      <c r="P4" s="355">
        <f>W29</f>
        <v>6</v>
      </c>
      <c r="Q4" s="356">
        <f>N4-O4-P4</f>
        <v>1</v>
      </c>
      <c r="R4" s="343">
        <f>O4/N4</f>
        <v>0.68181818181818177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43283</v>
      </c>
      <c r="D6" s="192" t="s">
        <v>23</v>
      </c>
      <c r="E6" s="192" t="s">
        <v>24</v>
      </c>
      <c r="F6" s="193">
        <v>30450</v>
      </c>
      <c r="G6" s="193">
        <v>30290</v>
      </c>
      <c r="H6" s="192">
        <v>160</v>
      </c>
      <c r="I6" s="193">
        <v>100</v>
      </c>
      <c r="J6" s="267">
        <f>H6*I6</f>
        <v>16000</v>
      </c>
      <c r="K6" s="185"/>
      <c r="M6" s="362" t="s">
        <v>258</v>
      </c>
      <c r="N6" s="347">
        <f>COUNT(C37:C59)</f>
        <v>22</v>
      </c>
      <c r="O6" s="348">
        <f>V60</f>
        <v>15</v>
      </c>
      <c r="P6" s="348">
        <f>W60</f>
        <v>7</v>
      </c>
      <c r="Q6" s="349">
        <f>N6-O6-P6</f>
        <v>0</v>
      </c>
      <c r="R6" s="345">
        <f t="shared" ref="R6" si="0">O6/N6</f>
        <v>0.68181818181818177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43284</v>
      </c>
      <c r="D7" s="196" t="s">
        <v>23</v>
      </c>
      <c r="E7" s="196" t="s">
        <v>24</v>
      </c>
      <c r="F7" s="197">
        <v>30320</v>
      </c>
      <c r="G7" s="197">
        <v>30420</v>
      </c>
      <c r="H7" s="196">
        <v>-100</v>
      </c>
      <c r="I7" s="197">
        <v>100</v>
      </c>
      <c r="J7" s="268">
        <f t="shared" ref="J7:J28" si="1">H7*I7</f>
        <v>-10000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v>3</v>
      </c>
      <c r="C8" s="195">
        <v>43285</v>
      </c>
      <c r="D8" s="196" t="s">
        <v>23</v>
      </c>
      <c r="E8" s="196" t="s">
        <v>24</v>
      </c>
      <c r="F8" s="197">
        <v>30610</v>
      </c>
      <c r="G8" s="197">
        <v>30585</v>
      </c>
      <c r="H8" s="196">
        <v>25</v>
      </c>
      <c r="I8" s="197">
        <v>100</v>
      </c>
      <c r="J8" s="268">
        <f t="shared" si="1"/>
        <v>2500</v>
      </c>
      <c r="K8" s="185"/>
      <c r="M8" s="362" t="s">
        <v>877</v>
      </c>
      <c r="N8" s="347">
        <f>COUNT(C68:C90)</f>
        <v>22</v>
      </c>
      <c r="O8" s="348">
        <f>V91</f>
        <v>16</v>
      </c>
      <c r="P8" s="348">
        <f>W91</f>
        <v>6</v>
      </c>
      <c r="Q8" s="349">
        <f>N8-O8-P8</f>
        <v>0</v>
      </c>
      <c r="R8" s="345">
        <f t="shared" ref="R8" si="4">O8/N8</f>
        <v>0.72727272727272729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43286</v>
      </c>
      <c r="D9" s="196" t="s">
        <v>23</v>
      </c>
      <c r="E9" s="196" t="s">
        <v>24</v>
      </c>
      <c r="F9" s="197">
        <v>30600</v>
      </c>
      <c r="G9" s="197">
        <v>30700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43287</v>
      </c>
      <c r="D10" s="196" t="s">
        <v>23</v>
      </c>
      <c r="E10" s="196" t="s">
        <v>24</v>
      </c>
      <c r="F10" s="197">
        <v>30670</v>
      </c>
      <c r="G10" s="197">
        <v>30615</v>
      </c>
      <c r="H10" s="196">
        <v>55</v>
      </c>
      <c r="I10" s="197">
        <v>100</v>
      </c>
      <c r="J10" s="268">
        <f t="shared" si="1"/>
        <v>5500</v>
      </c>
      <c r="K10" s="185"/>
      <c r="M10" s="319" t="s">
        <v>300</v>
      </c>
      <c r="N10" s="321">
        <f>SUM(N4:N9)</f>
        <v>66</v>
      </c>
      <c r="O10" s="321">
        <f>SUM(O4:O9)</f>
        <v>46</v>
      </c>
      <c r="P10" s="321">
        <f>SUM(P4:P9)</f>
        <v>19</v>
      </c>
      <c r="Q10" s="341">
        <f>SUM(Q4:Q9)</f>
        <v>1</v>
      </c>
      <c r="R10" s="343">
        <f t="shared" ref="R10" si="5">O10/N10</f>
        <v>0.69696969696969702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43290</v>
      </c>
      <c r="D11" s="196" t="s">
        <v>23</v>
      </c>
      <c r="E11" s="196" t="s">
        <v>24</v>
      </c>
      <c r="F11" s="197">
        <v>30670</v>
      </c>
      <c r="G11" s="197">
        <v>30770</v>
      </c>
      <c r="H11" s="196">
        <v>-100</v>
      </c>
      <c r="I11" s="197">
        <v>100</v>
      </c>
      <c r="J11" s="268">
        <f t="shared" si="1"/>
        <v>-10000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43291</v>
      </c>
      <c r="D12" s="196" t="s">
        <v>23</v>
      </c>
      <c r="E12" s="196" t="s">
        <v>24</v>
      </c>
      <c r="F12" s="197">
        <v>30620</v>
      </c>
      <c r="G12" s="197">
        <v>30420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0.69696969696969702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43292</v>
      </c>
      <c r="D13" s="196" t="s">
        <v>23</v>
      </c>
      <c r="E13" s="196" t="s">
        <v>24</v>
      </c>
      <c r="F13" s="197">
        <v>30470</v>
      </c>
      <c r="G13" s="197">
        <v>30325</v>
      </c>
      <c r="H13" s="196">
        <v>145</v>
      </c>
      <c r="I13" s="197">
        <v>100</v>
      </c>
      <c r="J13" s="268">
        <f t="shared" si="1"/>
        <v>14500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43293</v>
      </c>
      <c r="D14" s="196" t="s">
        <v>23</v>
      </c>
      <c r="E14" s="196" t="s">
        <v>24</v>
      </c>
      <c r="F14" s="197">
        <v>30220</v>
      </c>
      <c r="G14" s="197">
        <v>30165</v>
      </c>
      <c r="H14" s="196">
        <v>55</v>
      </c>
      <c r="I14" s="197">
        <v>100</v>
      </c>
      <c r="J14" s="268">
        <f t="shared" si="1"/>
        <v>5500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43294</v>
      </c>
      <c r="D15" s="196" t="s">
        <v>23</v>
      </c>
      <c r="E15" s="196" t="s">
        <v>24</v>
      </c>
      <c r="F15" s="197">
        <v>30190</v>
      </c>
      <c r="G15" s="197">
        <v>30040</v>
      </c>
      <c r="H15" s="196">
        <v>150</v>
      </c>
      <c r="I15" s="197">
        <v>100</v>
      </c>
      <c r="J15" s="268">
        <f t="shared" si="1"/>
        <v>15000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43297</v>
      </c>
      <c r="D16" s="196" t="s">
        <v>23</v>
      </c>
      <c r="E16" s="196" t="s">
        <v>24</v>
      </c>
      <c r="F16" s="197">
        <v>30220</v>
      </c>
      <c r="G16" s="197">
        <v>30070</v>
      </c>
      <c r="H16" s="196">
        <v>150</v>
      </c>
      <c r="I16" s="197">
        <v>100</v>
      </c>
      <c r="J16" s="268">
        <f t="shared" si="1"/>
        <v>15000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43298</v>
      </c>
      <c r="D17" s="196" t="s">
        <v>23</v>
      </c>
      <c r="E17" s="196" t="s">
        <v>24</v>
      </c>
      <c r="F17" s="197">
        <v>30070</v>
      </c>
      <c r="G17" s="197">
        <v>29870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43299</v>
      </c>
      <c r="D18" s="196" t="s">
        <v>23</v>
      </c>
      <c r="E18" s="196" t="s">
        <v>24</v>
      </c>
      <c r="F18" s="197">
        <v>29720</v>
      </c>
      <c r="G18" s="197">
        <v>29660</v>
      </c>
      <c r="H18" s="196"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43300</v>
      </c>
      <c r="D19" s="196" t="s">
        <v>23</v>
      </c>
      <c r="E19" s="196" t="s">
        <v>24</v>
      </c>
      <c r="F19" s="197">
        <v>29780</v>
      </c>
      <c r="G19" s="197">
        <v>29680</v>
      </c>
      <c r="H19" s="196">
        <v>100</v>
      </c>
      <c r="I19" s="197">
        <v>100</v>
      </c>
      <c r="J19" s="268">
        <f t="shared" si="1"/>
        <v>10000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43301</v>
      </c>
      <c r="D20" s="196" t="s">
        <v>23</v>
      </c>
      <c r="E20" s="196" t="s">
        <v>24</v>
      </c>
      <c r="F20" s="197">
        <v>29800</v>
      </c>
      <c r="G20" s="197">
        <v>29900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43304</v>
      </c>
      <c r="D21" s="196" t="s">
        <v>23</v>
      </c>
      <c r="E21" s="196" t="s">
        <v>24</v>
      </c>
      <c r="F21" s="197">
        <v>29930</v>
      </c>
      <c r="G21" s="197">
        <v>29830</v>
      </c>
      <c r="H21" s="196">
        <v>100</v>
      </c>
      <c r="I21" s="197">
        <v>100</v>
      </c>
      <c r="J21" s="268">
        <f t="shared" si="1"/>
        <v>10000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43305</v>
      </c>
      <c r="D22" s="196" t="s">
        <v>23</v>
      </c>
      <c r="E22" s="196" t="s">
        <v>24</v>
      </c>
      <c r="F22" s="197">
        <v>29780</v>
      </c>
      <c r="G22" s="197">
        <v>29880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43306</v>
      </c>
      <c r="D23" s="196" t="s">
        <v>23</v>
      </c>
      <c r="E23" s="196" t="s">
        <v>24</v>
      </c>
      <c r="F23" s="197">
        <v>29870</v>
      </c>
      <c r="G23" s="197">
        <v>29970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43307</v>
      </c>
      <c r="D24" s="196" t="s">
        <v>23</v>
      </c>
      <c r="E24" s="196" t="s">
        <v>24</v>
      </c>
      <c r="F24" s="197">
        <v>29850</v>
      </c>
      <c r="G24" s="197">
        <v>29800</v>
      </c>
      <c r="H24" s="196">
        <v>50</v>
      </c>
      <c r="I24" s="197">
        <v>100</v>
      </c>
      <c r="J24" s="268">
        <f t="shared" si="1"/>
        <v>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43308</v>
      </c>
      <c r="D25" s="196" t="s">
        <v>16</v>
      </c>
      <c r="E25" s="196" t="s">
        <v>24</v>
      </c>
      <c r="F25" s="197">
        <v>29720</v>
      </c>
      <c r="G25" s="197">
        <v>29820</v>
      </c>
      <c r="H25" s="196">
        <v>100</v>
      </c>
      <c r="I25" s="197">
        <v>100</v>
      </c>
      <c r="J25" s="268">
        <f t="shared" si="1"/>
        <v>10000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43311</v>
      </c>
      <c r="D26" s="196" t="s">
        <v>23</v>
      </c>
      <c r="E26" s="196" t="s">
        <v>24</v>
      </c>
      <c r="F26" s="197">
        <v>29740</v>
      </c>
      <c r="G26" s="197">
        <v>29740</v>
      </c>
      <c r="H26" s="196">
        <v>0</v>
      </c>
      <c r="I26" s="197">
        <v>100</v>
      </c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43312</v>
      </c>
      <c r="D27" s="196" t="s">
        <v>23</v>
      </c>
      <c r="E27" s="196" t="s">
        <v>24</v>
      </c>
      <c r="F27" s="197">
        <v>29670</v>
      </c>
      <c r="G27" s="197">
        <v>29570</v>
      </c>
      <c r="H27" s="196">
        <v>100</v>
      </c>
      <c r="I27" s="197">
        <v>100</v>
      </c>
      <c r="J27" s="268">
        <f t="shared" si="1"/>
        <v>10000</v>
      </c>
      <c r="K27" s="185"/>
      <c r="V27" s="183">
        <f t="shared" si="2"/>
        <v>1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105000</v>
      </c>
      <c r="K29" s="185"/>
      <c r="V29" s="183">
        <f>SUM(V6:V28)</f>
        <v>15</v>
      </c>
      <c r="W29" s="183">
        <f>SUM(W6:W28)</f>
        <v>6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43282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43283</v>
      </c>
      <c r="D37" s="192" t="s">
        <v>23</v>
      </c>
      <c r="E37" s="192" t="s">
        <v>25</v>
      </c>
      <c r="F37" s="193">
        <v>5070</v>
      </c>
      <c r="G37" s="193">
        <v>5100</v>
      </c>
      <c r="H37" s="192">
        <v>-30</v>
      </c>
      <c r="I37" s="193">
        <v>100</v>
      </c>
      <c r="J37" s="267">
        <f t="shared" ref="J37:J59" si="6">I37*H37</f>
        <v>-3000</v>
      </c>
      <c r="K37" s="185"/>
      <c r="V37" s="183">
        <f>IF($J37&gt;0,1,0)</f>
        <v>0</v>
      </c>
      <c r="W37" s="183">
        <f>IF($J37&lt;0,1,0)</f>
        <v>1</v>
      </c>
    </row>
    <row r="38" spans="1:23" x14ac:dyDescent="0.3">
      <c r="A38" s="184"/>
      <c r="B38" s="194">
        <v>2</v>
      </c>
      <c r="C38" s="195">
        <v>43284</v>
      </c>
      <c r="D38" s="196" t="s">
        <v>23</v>
      </c>
      <c r="E38" s="196" t="s">
        <v>25</v>
      </c>
      <c r="F38" s="197">
        <v>5155</v>
      </c>
      <c r="G38" s="197">
        <v>5120</v>
      </c>
      <c r="H38" s="196">
        <v>35</v>
      </c>
      <c r="I38" s="197">
        <v>100</v>
      </c>
      <c r="J38" s="268">
        <f t="shared" si="6"/>
        <v>3500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43285</v>
      </c>
      <c r="D39" s="196" t="s">
        <v>23</v>
      </c>
      <c r="E39" s="196" t="s">
        <v>25</v>
      </c>
      <c r="F39" s="197">
        <v>5065</v>
      </c>
      <c r="G39" s="197">
        <v>5075</v>
      </c>
      <c r="H39" s="196">
        <v>-10</v>
      </c>
      <c r="I39" s="197">
        <v>100</v>
      </c>
      <c r="J39" s="268">
        <f t="shared" si="6"/>
        <v>-1000</v>
      </c>
      <c r="K39" s="185"/>
      <c r="V39" s="183">
        <f t="shared" si="7"/>
        <v>0</v>
      </c>
      <c r="W39" s="183">
        <f t="shared" si="8"/>
        <v>1</v>
      </c>
    </row>
    <row r="40" spans="1:23" x14ac:dyDescent="0.3">
      <c r="A40" s="184"/>
      <c r="B40" s="194">
        <v>4</v>
      </c>
      <c r="C40" s="195">
        <v>43286</v>
      </c>
      <c r="D40" s="196" t="s">
        <v>23</v>
      </c>
      <c r="E40" s="196" t="s">
        <v>25</v>
      </c>
      <c r="F40" s="197">
        <v>5085</v>
      </c>
      <c r="G40" s="197">
        <v>5115</v>
      </c>
      <c r="H40" s="196">
        <v>-30</v>
      </c>
      <c r="I40" s="197">
        <v>100</v>
      </c>
      <c r="J40" s="268">
        <f t="shared" si="6"/>
        <v>-3000</v>
      </c>
      <c r="K40" s="185"/>
      <c r="V40" s="183">
        <f t="shared" si="7"/>
        <v>0</v>
      </c>
      <c r="W40" s="183">
        <f t="shared" si="8"/>
        <v>1</v>
      </c>
    </row>
    <row r="41" spans="1:23" x14ac:dyDescent="0.3">
      <c r="A41" s="184"/>
      <c r="B41" s="194">
        <v>5</v>
      </c>
      <c r="C41" s="195">
        <v>43287</v>
      </c>
      <c r="D41" s="196" t="s">
        <v>23</v>
      </c>
      <c r="E41" s="196" t="s">
        <v>25</v>
      </c>
      <c r="F41" s="197">
        <v>5050</v>
      </c>
      <c r="G41" s="197">
        <v>4990</v>
      </c>
      <c r="H41" s="196">
        <v>60</v>
      </c>
      <c r="I41" s="197">
        <v>100</v>
      </c>
      <c r="J41" s="268">
        <f t="shared" si="6"/>
        <v>6000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43290</v>
      </c>
      <c r="D42" s="196" t="s">
        <v>23</v>
      </c>
      <c r="E42" s="196" t="s">
        <v>25</v>
      </c>
      <c r="F42" s="197">
        <v>5098</v>
      </c>
      <c r="G42" s="197">
        <v>5038</v>
      </c>
      <c r="H42" s="196">
        <v>60</v>
      </c>
      <c r="I42" s="197">
        <v>100</v>
      </c>
      <c r="J42" s="268">
        <f t="shared" si="6"/>
        <v>6000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43291</v>
      </c>
      <c r="D43" s="196" t="s">
        <v>23</v>
      </c>
      <c r="E43" s="196" t="s">
        <v>25</v>
      </c>
      <c r="F43" s="197">
        <v>5115</v>
      </c>
      <c r="G43" s="197">
        <v>5065</v>
      </c>
      <c r="H43" s="196">
        <v>50</v>
      </c>
      <c r="I43" s="197">
        <v>100</v>
      </c>
      <c r="J43" s="268">
        <f t="shared" si="6"/>
        <v>5000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43292</v>
      </c>
      <c r="D44" s="196" t="s">
        <v>16</v>
      </c>
      <c r="E44" s="196" t="s">
        <v>25</v>
      </c>
      <c r="F44" s="197">
        <v>5065</v>
      </c>
      <c r="G44" s="197">
        <v>5035</v>
      </c>
      <c r="H44" s="196">
        <v>-30</v>
      </c>
      <c r="I44" s="197">
        <v>100</v>
      </c>
      <c r="J44" s="268">
        <f t="shared" si="6"/>
        <v>-3000</v>
      </c>
      <c r="K44" s="185"/>
      <c r="V44" s="183">
        <f t="shared" si="7"/>
        <v>0</v>
      </c>
      <c r="W44" s="183">
        <f t="shared" si="8"/>
        <v>1</v>
      </c>
    </row>
    <row r="45" spans="1:23" x14ac:dyDescent="0.3">
      <c r="A45" s="184"/>
      <c r="B45" s="194">
        <v>9</v>
      </c>
      <c r="C45" s="195">
        <v>43293</v>
      </c>
      <c r="D45" s="196" t="s">
        <v>23</v>
      </c>
      <c r="E45" s="196" t="s">
        <v>25</v>
      </c>
      <c r="F45" s="197">
        <v>4850</v>
      </c>
      <c r="G45" s="197">
        <v>4790</v>
      </c>
      <c r="H45" s="196">
        <v>60</v>
      </c>
      <c r="I45" s="197">
        <v>100</v>
      </c>
      <c r="J45" s="268">
        <f t="shared" si="6"/>
        <v>6000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43294</v>
      </c>
      <c r="D46" s="196" t="s">
        <v>23</v>
      </c>
      <c r="E46" s="196" t="s">
        <v>25</v>
      </c>
      <c r="F46" s="197">
        <v>4815</v>
      </c>
      <c r="G46" s="197">
        <v>4785</v>
      </c>
      <c r="H46" s="196">
        <v>30</v>
      </c>
      <c r="I46" s="197">
        <v>100</v>
      </c>
      <c r="J46" s="268">
        <f t="shared" si="6"/>
        <v>3000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43297</v>
      </c>
      <c r="D47" s="196" t="s">
        <v>23</v>
      </c>
      <c r="E47" s="196" t="s">
        <v>25</v>
      </c>
      <c r="F47" s="197">
        <v>4835</v>
      </c>
      <c r="G47" s="197">
        <v>4775</v>
      </c>
      <c r="H47" s="196">
        <v>60</v>
      </c>
      <c r="I47" s="197">
        <v>100</v>
      </c>
      <c r="J47" s="268">
        <f t="shared" si="6"/>
        <v>6000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43298</v>
      </c>
      <c r="D48" s="196" t="s">
        <v>23</v>
      </c>
      <c r="E48" s="196" t="s">
        <v>25</v>
      </c>
      <c r="F48" s="197">
        <v>4650</v>
      </c>
      <c r="G48" s="197">
        <v>4600</v>
      </c>
      <c r="H48" s="196">
        <v>50</v>
      </c>
      <c r="I48" s="197">
        <v>100</v>
      </c>
      <c r="J48" s="268">
        <f t="shared" si="6"/>
        <v>5000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43299</v>
      </c>
      <c r="D49" s="196" t="s">
        <v>23</v>
      </c>
      <c r="E49" s="196" t="s">
        <v>25</v>
      </c>
      <c r="F49" s="197">
        <v>4635</v>
      </c>
      <c r="G49" s="197">
        <v>4595</v>
      </c>
      <c r="H49" s="196">
        <v>40</v>
      </c>
      <c r="I49" s="197">
        <v>100</v>
      </c>
      <c r="J49" s="268">
        <f t="shared" si="6"/>
        <v>4000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43300</v>
      </c>
      <c r="D50" s="196" t="s">
        <v>23</v>
      </c>
      <c r="E50" s="196" t="s">
        <v>25</v>
      </c>
      <c r="F50" s="197">
        <v>4725</v>
      </c>
      <c r="G50" s="197">
        <v>4685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43301</v>
      </c>
      <c r="D51" s="196" t="s">
        <v>23</v>
      </c>
      <c r="E51" s="196" t="s">
        <v>25</v>
      </c>
      <c r="F51" s="197">
        <v>4725</v>
      </c>
      <c r="G51" s="197">
        <v>4705</v>
      </c>
      <c r="H51" s="196">
        <v>20</v>
      </c>
      <c r="I51" s="197">
        <v>100</v>
      </c>
      <c r="J51" s="268">
        <f t="shared" si="6"/>
        <v>2000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43304</v>
      </c>
      <c r="D52" s="196" t="s">
        <v>23</v>
      </c>
      <c r="E52" s="196" t="s">
        <v>25</v>
      </c>
      <c r="F52" s="197">
        <v>4695</v>
      </c>
      <c r="G52" s="197">
        <v>4725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43305</v>
      </c>
      <c r="D53" s="196" t="s">
        <v>23</v>
      </c>
      <c r="E53" s="196" t="s">
        <v>25</v>
      </c>
      <c r="F53" s="197">
        <v>4690</v>
      </c>
      <c r="G53" s="197">
        <v>4720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255"/>
      <c r="B54" s="194">
        <v>18</v>
      </c>
      <c r="C54" s="195">
        <v>43306</v>
      </c>
      <c r="D54" s="196" t="s">
        <v>23</v>
      </c>
      <c r="E54" s="196" t="s">
        <v>25</v>
      </c>
      <c r="F54" s="197">
        <v>4750</v>
      </c>
      <c r="G54" s="197">
        <v>4710</v>
      </c>
      <c r="H54" s="196">
        <v>40</v>
      </c>
      <c r="I54" s="197">
        <v>100</v>
      </c>
      <c r="J54" s="268">
        <f t="shared" si="6"/>
        <v>4000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43307</v>
      </c>
      <c r="D55" s="196" t="s">
        <v>23</v>
      </c>
      <c r="E55" s="196" t="s">
        <v>25</v>
      </c>
      <c r="F55" s="197">
        <v>4785</v>
      </c>
      <c r="G55" s="197">
        <v>4755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43308</v>
      </c>
      <c r="D56" s="196" t="s">
        <v>23</v>
      </c>
      <c r="E56" s="196" t="s">
        <v>25</v>
      </c>
      <c r="F56" s="197">
        <v>4785</v>
      </c>
      <c r="G56" s="197">
        <v>4725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>
        <v>43311</v>
      </c>
      <c r="D57" s="196" t="s">
        <v>23</v>
      </c>
      <c r="E57" s="196" t="s">
        <v>25</v>
      </c>
      <c r="F57" s="197">
        <v>4755</v>
      </c>
      <c r="G57" s="197">
        <v>4785</v>
      </c>
      <c r="H57" s="196">
        <v>-30</v>
      </c>
      <c r="I57" s="197">
        <v>100</v>
      </c>
      <c r="J57" s="268">
        <f t="shared" si="6"/>
        <v>-3000</v>
      </c>
      <c r="K57" s="185"/>
      <c r="V57" s="183">
        <f t="shared" si="7"/>
        <v>0</v>
      </c>
      <c r="W57" s="183">
        <f t="shared" si="8"/>
        <v>1</v>
      </c>
    </row>
    <row r="58" spans="1:23" x14ac:dyDescent="0.3">
      <c r="A58" s="184"/>
      <c r="B58" s="194">
        <v>22</v>
      </c>
      <c r="C58" s="195">
        <v>43312</v>
      </c>
      <c r="D58" s="196" t="s">
        <v>23</v>
      </c>
      <c r="E58" s="196" t="s">
        <v>25</v>
      </c>
      <c r="F58" s="197">
        <v>4800</v>
      </c>
      <c r="G58" s="197">
        <v>4740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50500</v>
      </c>
      <c r="K60" s="185"/>
      <c r="V60" s="183">
        <f>SUM(V37:V59)</f>
        <v>15</v>
      </c>
      <c r="W60" s="183">
        <f>SUM(W37:W59)</f>
        <v>7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43282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43283</v>
      </c>
      <c r="D68" s="216" t="s">
        <v>23</v>
      </c>
      <c r="E68" s="256" t="s">
        <v>28</v>
      </c>
      <c r="F68" s="256">
        <v>197.6</v>
      </c>
      <c r="G68" s="256">
        <v>198.6</v>
      </c>
      <c r="H68" s="256">
        <v>-1</v>
      </c>
      <c r="I68" s="218">
        <v>5000</v>
      </c>
      <c r="J68" s="273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v>2</v>
      </c>
      <c r="C69" s="195">
        <v>43284</v>
      </c>
      <c r="D69" s="196" t="s">
        <v>23</v>
      </c>
      <c r="E69" s="222" t="s">
        <v>28</v>
      </c>
      <c r="F69" s="222">
        <v>196.5</v>
      </c>
      <c r="G69" s="222">
        <v>197.5</v>
      </c>
      <c r="H69" s="222">
        <v>-1</v>
      </c>
      <c r="I69" s="197">
        <v>5000</v>
      </c>
      <c r="J69" s="268">
        <f t="shared" ref="J69:J90" si="9">I69*H69</f>
        <v>-5000</v>
      </c>
      <c r="K69" s="185"/>
      <c r="V69" s="183">
        <f t="shared" ref="V69:V90" si="10">IF($J69&gt;0,1,0)</f>
        <v>0</v>
      </c>
      <c r="W69" s="183">
        <f t="shared" ref="W69:W90" si="11">IF($J69&lt;0,1,0)</f>
        <v>1</v>
      </c>
    </row>
    <row r="70" spans="1:23" x14ac:dyDescent="0.3">
      <c r="A70" s="184"/>
      <c r="B70" s="194">
        <v>3</v>
      </c>
      <c r="C70" s="195">
        <v>43285</v>
      </c>
      <c r="D70" s="196" t="s">
        <v>23</v>
      </c>
      <c r="E70" s="222" t="s">
        <v>28</v>
      </c>
      <c r="F70" s="222">
        <v>189</v>
      </c>
      <c r="G70" s="222">
        <v>187</v>
      </c>
      <c r="H70" s="222">
        <v>1</v>
      </c>
      <c r="I70" s="197">
        <v>5000</v>
      </c>
      <c r="J70" s="268">
        <f t="shared" si="9"/>
        <v>5000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43286</v>
      </c>
      <c r="D71" s="196" t="s">
        <v>23</v>
      </c>
      <c r="E71" s="222" t="s">
        <v>28</v>
      </c>
      <c r="F71" s="222">
        <v>187</v>
      </c>
      <c r="G71" s="222">
        <v>185.5</v>
      </c>
      <c r="H71" s="222">
        <v>1.5</v>
      </c>
      <c r="I71" s="197">
        <v>5000</v>
      </c>
      <c r="J71" s="268">
        <f t="shared" si="9"/>
        <v>7500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43287</v>
      </c>
      <c r="D72" s="196" t="s">
        <v>23</v>
      </c>
      <c r="E72" s="222" t="s">
        <v>28</v>
      </c>
      <c r="F72" s="222">
        <v>188.5</v>
      </c>
      <c r="G72" s="222">
        <v>186.5</v>
      </c>
      <c r="H72" s="222">
        <v>2</v>
      </c>
      <c r="I72" s="197">
        <v>5000</v>
      </c>
      <c r="J72" s="268">
        <f t="shared" si="9"/>
        <v>10000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43290</v>
      </c>
      <c r="D73" s="196" t="s">
        <v>23</v>
      </c>
      <c r="E73" s="222" t="s">
        <v>28</v>
      </c>
      <c r="F73" s="222">
        <v>190.15</v>
      </c>
      <c r="G73" s="222">
        <v>188.15</v>
      </c>
      <c r="H73" s="222">
        <v>2</v>
      </c>
      <c r="I73" s="197">
        <v>5000</v>
      </c>
      <c r="J73" s="268">
        <f t="shared" si="9"/>
        <v>10000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43291</v>
      </c>
      <c r="D74" s="196" t="s">
        <v>23</v>
      </c>
      <c r="E74" s="222" t="s">
        <v>28</v>
      </c>
      <c r="F74" s="222">
        <v>186</v>
      </c>
      <c r="G74" s="222">
        <v>184</v>
      </c>
      <c r="H74" s="274">
        <v>2</v>
      </c>
      <c r="I74" s="197">
        <v>5000</v>
      </c>
      <c r="J74" s="268">
        <f t="shared" si="9"/>
        <v>10000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43292</v>
      </c>
      <c r="D75" s="196" t="s">
        <v>23</v>
      </c>
      <c r="E75" s="222" t="s">
        <v>28</v>
      </c>
      <c r="F75" s="222">
        <v>177.2</v>
      </c>
      <c r="G75" s="222">
        <v>175.7</v>
      </c>
      <c r="H75" s="222">
        <v>1.5</v>
      </c>
      <c r="I75" s="197">
        <v>5000</v>
      </c>
      <c r="J75" s="268">
        <f t="shared" si="9"/>
        <v>7500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43293</v>
      </c>
      <c r="D76" s="196" t="s">
        <v>23</v>
      </c>
      <c r="E76" s="222" t="s">
        <v>28</v>
      </c>
      <c r="F76" s="222">
        <v>176.2</v>
      </c>
      <c r="G76" s="222">
        <v>175.2</v>
      </c>
      <c r="H76" s="222">
        <v>1</v>
      </c>
      <c r="I76" s="197">
        <v>5000</v>
      </c>
      <c r="J76" s="268">
        <f t="shared" si="9"/>
        <v>5000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43294</v>
      </c>
      <c r="D77" s="196" t="s">
        <v>23</v>
      </c>
      <c r="E77" s="222" t="s">
        <v>28</v>
      </c>
      <c r="F77" s="222">
        <v>175.5</v>
      </c>
      <c r="G77" s="222">
        <v>174.5</v>
      </c>
      <c r="H77" s="222">
        <v>1</v>
      </c>
      <c r="I77" s="197">
        <v>5000</v>
      </c>
      <c r="J77" s="268">
        <f t="shared" si="9"/>
        <v>5000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43297</v>
      </c>
      <c r="D78" s="196" t="s">
        <v>23</v>
      </c>
      <c r="E78" s="222" t="s">
        <v>28</v>
      </c>
      <c r="F78" s="222">
        <v>176</v>
      </c>
      <c r="G78" s="222">
        <v>174</v>
      </c>
      <c r="H78" s="274">
        <v>2</v>
      </c>
      <c r="I78" s="197">
        <v>5000</v>
      </c>
      <c r="J78" s="268">
        <f t="shared" si="9"/>
        <v>10000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43298</v>
      </c>
      <c r="D79" s="196" t="s">
        <v>23</v>
      </c>
      <c r="E79" s="222" t="s">
        <v>28</v>
      </c>
      <c r="F79" s="222">
        <v>171.5</v>
      </c>
      <c r="G79" s="222">
        <v>171</v>
      </c>
      <c r="H79" s="274">
        <v>0.5</v>
      </c>
      <c r="I79" s="197">
        <v>5000</v>
      </c>
      <c r="J79" s="268">
        <f t="shared" si="9"/>
        <v>2500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43299</v>
      </c>
      <c r="D80" s="196" t="s">
        <v>23</v>
      </c>
      <c r="E80" s="222" t="s">
        <v>28</v>
      </c>
      <c r="F80" s="222">
        <v>172.6</v>
      </c>
      <c r="G80" s="222">
        <v>173.6</v>
      </c>
      <c r="H80" s="274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14</v>
      </c>
      <c r="C81" s="195">
        <v>43300</v>
      </c>
      <c r="D81" s="196" t="s">
        <v>23</v>
      </c>
      <c r="E81" s="222" t="s">
        <v>28</v>
      </c>
      <c r="F81" s="222">
        <v>178.5</v>
      </c>
      <c r="G81" s="222">
        <v>176.5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43301</v>
      </c>
      <c r="D82" s="196" t="s">
        <v>16</v>
      </c>
      <c r="E82" s="222" t="s">
        <v>28</v>
      </c>
      <c r="F82" s="223">
        <v>180</v>
      </c>
      <c r="G82" s="222">
        <v>182</v>
      </c>
      <c r="H82" s="274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43304</v>
      </c>
      <c r="D83" s="196" t="s">
        <v>16</v>
      </c>
      <c r="E83" s="222" t="s">
        <v>28</v>
      </c>
      <c r="F83" s="222">
        <v>181.5</v>
      </c>
      <c r="G83" s="222">
        <v>180.5</v>
      </c>
      <c r="H83" s="274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17</v>
      </c>
      <c r="C84" s="195">
        <v>43305</v>
      </c>
      <c r="D84" s="196" t="s">
        <v>16</v>
      </c>
      <c r="E84" s="222" t="s">
        <v>28</v>
      </c>
      <c r="F84" s="222">
        <v>178.5</v>
      </c>
      <c r="G84" s="222">
        <v>180.5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43306</v>
      </c>
      <c r="D85" s="196" t="s">
        <v>23</v>
      </c>
      <c r="E85" s="222" t="s">
        <v>28</v>
      </c>
      <c r="F85" s="222">
        <v>179.7</v>
      </c>
      <c r="G85" s="222">
        <v>180.7</v>
      </c>
      <c r="H85" s="274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19</v>
      </c>
      <c r="C86" s="195">
        <v>43307</v>
      </c>
      <c r="D86" s="196" t="s">
        <v>16</v>
      </c>
      <c r="E86" s="222" t="s">
        <v>28</v>
      </c>
      <c r="F86" s="222">
        <v>179.5</v>
      </c>
      <c r="G86" s="222">
        <v>180.5</v>
      </c>
      <c r="H86" s="274">
        <v>1</v>
      </c>
      <c r="I86" s="197">
        <v>5000</v>
      </c>
      <c r="J86" s="268">
        <f t="shared" si="9"/>
        <v>5000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20</v>
      </c>
      <c r="C87" s="195">
        <v>43308</v>
      </c>
      <c r="D87" s="196" t="s">
        <v>23</v>
      </c>
      <c r="E87" s="222" t="s">
        <v>28</v>
      </c>
      <c r="F87" s="222">
        <v>179</v>
      </c>
      <c r="G87" s="222">
        <v>178</v>
      </c>
      <c r="H87" s="274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>
        <v>43311</v>
      </c>
      <c r="D88" s="196" t="s">
        <v>23</v>
      </c>
      <c r="E88" s="222" t="s">
        <v>28</v>
      </c>
      <c r="F88" s="222">
        <v>177.3</v>
      </c>
      <c r="G88" s="222">
        <v>176.8</v>
      </c>
      <c r="H88" s="274">
        <v>0.5</v>
      </c>
      <c r="I88" s="197">
        <v>5000</v>
      </c>
      <c r="J88" s="268">
        <f t="shared" si="9"/>
        <v>2500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22</v>
      </c>
      <c r="C89" s="195">
        <v>43312</v>
      </c>
      <c r="D89" s="196" t="s">
        <v>23</v>
      </c>
      <c r="E89" s="222" t="s">
        <v>28</v>
      </c>
      <c r="F89" s="222">
        <v>178.2</v>
      </c>
      <c r="G89" s="222">
        <v>179.2</v>
      </c>
      <c r="H89" s="222">
        <v>-1</v>
      </c>
      <c r="I89" s="197">
        <v>5000</v>
      </c>
      <c r="J89" s="268">
        <f t="shared" si="9"/>
        <v>-5000</v>
      </c>
      <c r="K89" s="185"/>
      <c r="V89" s="183">
        <f t="shared" si="10"/>
        <v>0</v>
      </c>
      <c r="W89" s="183">
        <f t="shared" si="11"/>
        <v>1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85000</v>
      </c>
      <c r="K91" s="185"/>
      <c r="V91" s="183">
        <f>SUM(V68:V90)</f>
        <v>16</v>
      </c>
      <c r="W91" s="183">
        <f>SUM(W68:W90)</f>
        <v>6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4300-000000000000}"/>
    <hyperlink ref="B60" r:id="rId2" xr:uid="{00000000-0004-0000-4300-000001000000}"/>
    <hyperlink ref="M4:M5" location="'JULY-2018'!A1" display="BULLION" xr:uid="{00000000-0004-0000-4300-000002000000}"/>
    <hyperlink ref="M6:M7" location="'JULY-2018'!A54" display="ENERGY" xr:uid="{00000000-0004-0000-4300-000003000000}"/>
    <hyperlink ref="B91" r:id="rId3" xr:uid="{00000000-0004-0000-4300-000004000000}"/>
    <hyperlink ref="M8:M9" location="'JULY-2018'!A86" display="BASE METAL" xr:uid="{00000000-0004-0000-4300-000005000000}"/>
    <hyperlink ref="M1" location="MASTER!A1" display="Back" xr:uid="{00000000-0004-0000-4300-000006000000}"/>
  </hyperlinks>
  <pageMargins left="0" right="0" top="0" bottom="0" header="0" footer="0"/>
  <pageSetup paperSize="9" orientation="portrait" r:id="rId4"/>
  <drawing r:id="rId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W92"/>
  <sheetViews>
    <sheetView topLeftCell="A64" workbookViewId="0">
      <selection activeCell="A86" sqref="A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43313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21</v>
      </c>
      <c r="O4" s="355">
        <f>V29</f>
        <v>17</v>
      </c>
      <c r="P4" s="355">
        <f>W29</f>
        <v>4</v>
      </c>
      <c r="Q4" s="356">
        <f>N4-O4-P4</f>
        <v>0</v>
      </c>
      <c r="R4" s="343">
        <f>O4/N4</f>
        <v>0.80952380952380953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43313</v>
      </c>
      <c r="D6" s="192" t="s">
        <v>23</v>
      </c>
      <c r="E6" s="192" t="s">
        <v>24</v>
      </c>
      <c r="F6" s="193">
        <v>29820</v>
      </c>
      <c r="G6" s="193">
        <v>29885</v>
      </c>
      <c r="H6" s="192">
        <v>65</v>
      </c>
      <c r="I6" s="193">
        <v>100</v>
      </c>
      <c r="J6" s="267">
        <f>H6*I6</f>
        <v>6500</v>
      </c>
      <c r="K6" s="185"/>
      <c r="M6" s="362" t="s">
        <v>258</v>
      </c>
      <c r="N6" s="347">
        <f>COUNT(C37:C59)</f>
        <v>21</v>
      </c>
      <c r="O6" s="348">
        <f>V60</f>
        <v>13</v>
      </c>
      <c r="P6" s="348">
        <f>W60</f>
        <v>8</v>
      </c>
      <c r="Q6" s="349">
        <f>N6-O6-P6</f>
        <v>0</v>
      </c>
      <c r="R6" s="345">
        <f t="shared" ref="R6" si="0">O6/N6</f>
        <v>0.61904761904761907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43314</v>
      </c>
      <c r="D7" s="196" t="s">
        <v>23</v>
      </c>
      <c r="E7" s="196" t="s">
        <v>24</v>
      </c>
      <c r="F7" s="197">
        <v>29700</v>
      </c>
      <c r="G7" s="197">
        <v>29640</v>
      </c>
      <c r="H7" s="196">
        <v>60</v>
      </c>
      <c r="I7" s="197">
        <v>100</v>
      </c>
      <c r="J7" s="268">
        <f t="shared" ref="J7:J28" si="1">H7*I7</f>
        <v>6000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43315</v>
      </c>
      <c r="D8" s="196" t="s">
        <v>23</v>
      </c>
      <c r="E8" s="196" t="s">
        <v>24</v>
      </c>
      <c r="F8" s="197">
        <v>29570</v>
      </c>
      <c r="G8" s="197">
        <v>29670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COUNT(C68:C90)</f>
        <v>21</v>
      </c>
      <c r="O8" s="348">
        <f>V91</f>
        <v>19</v>
      </c>
      <c r="P8" s="348">
        <f>W91</f>
        <v>2</v>
      </c>
      <c r="Q8" s="349">
        <f>N8-O8-P8</f>
        <v>0</v>
      </c>
      <c r="R8" s="345">
        <f t="shared" ref="R8" si="4">O8/N8</f>
        <v>0.90476190476190477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43318</v>
      </c>
      <c r="D9" s="196" t="s">
        <v>23</v>
      </c>
      <c r="E9" s="196" t="s">
        <v>24</v>
      </c>
      <c r="F9" s="197">
        <v>29700</v>
      </c>
      <c r="G9" s="197">
        <v>29610</v>
      </c>
      <c r="H9" s="196">
        <v>90</v>
      </c>
      <c r="I9" s="197">
        <v>100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43319</v>
      </c>
      <c r="D10" s="196" t="s">
        <v>23</v>
      </c>
      <c r="E10" s="196" t="s">
        <v>24</v>
      </c>
      <c r="F10" s="197">
        <v>29700</v>
      </c>
      <c r="G10" s="197">
        <v>29600</v>
      </c>
      <c r="H10" s="196">
        <v>100</v>
      </c>
      <c r="I10" s="197">
        <v>100</v>
      </c>
      <c r="J10" s="268">
        <f t="shared" si="1"/>
        <v>10000</v>
      </c>
      <c r="K10" s="185"/>
      <c r="M10" s="319" t="s">
        <v>300</v>
      </c>
      <c r="N10" s="321">
        <f>SUM(N4:N9)</f>
        <v>63</v>
      </c>
      <c r="O10" s="321">
        <f>SUM(O4:O9)</f>
        <v>49</v>
      </c>
      <c r="P10" s="321">
        <f>SUM(P4:P9)</f>
        <v>14</v>
      </c>
      <c r="Q10" s="341">
        <f>SUM(Q4:Q9)</f>
        <v>0</v>
      </c>
      <c r="R10" s="343">
        <f t="shared" ref="R10" si="5">O10/N10</f>
        <v>0.77777777777777779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43320</v>
      </c>
      <c r="D11" s="196" t="s">
        <v>23</v>
      </c>
      <c r="E11" s="196" t="s">
        <v>24</v>
      </c>
      <c r="F11" s="197">
        <v>29680</v>
      </c>
      <c r="G11" s="197">
        <v>29580</v>
      </c>
      <c r="H11" s="196">
        <v>100</v>
      </c>
      <c r="I11" s="197">
        <v>100</v>
      </c>
      <c r="J11" s="268">
        <f t="shared" si="1"/>
        <v>10000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43321</v>
      </c>
      <c r="D12" s="196" t="s">
        <v>23</v>
      </c>
      <c r="E12" s="196" t="s">
        <v>24</v>
      </c>
      <c r="F12" s="197">
        <v>29650</v>
      </c>
      <c r="G12" s="197">
        <v>29585</v>
      </c>
      <c r="H12" s="196">
        <v>65</v>
      </c>
      <c r="I12" s="197">
        <v>100</v>
      </c>
      <c r="J12" s="268">
        <f t="shared" si="1"/>
        <v>6500</v>
      </c>
      <c r="K12" s="185"/>
      <c r="M12" s="323" t="s">
        <v>878</v>
      </c>
      <c r="N12" s="324"/>
      <c r="O12" s="325"/>
      <c r="P12" s="332">
        <f>R10</f>
        <v>0.77777777777777779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43322</v>
      </c>
      <c r="D13" s="196" t="s">
        <v>23</v>
      </c>
      <c r="E13" s="196" t="s">
        <v>24</v>
      </c>
      <c r="F13" s="197">
        <v>29660</v>
      </c>
      <c r="G13" s="197">
        <v>29760</v>
      </c>
      <c r="H13" s="196">
        <v>-100</v>
      </c>
      <c r="I13" s="197">
        <v>100</v>
      </c>
      <c r="J13" s="268">
        <f t="shared" si="1"/>
        <v>-10000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43325</v>
      </c>
      <c r="D14" s="196" t="s">
        <v>23</v>
      </c>
      <c r="E14" s="196" t="s">
        <v>24</v>
      </c>
      <c r="F14" s="197">
        <v>29860</v>
      </c>
      <c r="G14" s="197">
        <v>29760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43326</v>
      </c>
      <c r="D15" s="196" t="s">
        <v>23</v>
      </c>
      <c r="E15" s="196" t="s">
        <v>24</v>
      </c>
      <c r="F15" s="197">
        <v>29710</v>
      </c>
      <c r="G15" s="197">
        <v>29650</v>
      </c>
      <c r="H15" s="196">
        <v>60</v>
      </c>
      <c r="I15" s="197">
        <v>100</v>
      </c>
      <c r="J15" s="268">
        <f t="shared" si="1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43328</v>
      </c>
      <c r="D16" s="196" t="s">
        <v>23</v>
      </c>
      <c r="E16" s="196" t="s">
        <v>24</v>
      </c>
      <c r="F16" s="197">
        <v>29370</v>
      </c>
      <c r="G16" s="197">
        <v>29520</v>
      </c>
      <c r="H16" s="196">
        <v>150</v>
      </c>
      <c r="I16" s="197">
        <v>100</v>
      </c>
      <c r="J16" s="268">
        <f t="shared" si="1"/>
        <v>15000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43329</v>
      </c>
      <c r="D17" s="196" t="s">
        <v>23</v>
      </c>
      <c r="E17" s="196" t="s">
        <v>24</v>
      </c>
      <c r="F17" s="197">
        <v>29350</v>
      </c>
      <c r="G17" s="197">
        <v>29290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43332</v>
      </c>
      <c r="D18" s="196" t="s">
        <v>16</v>
      </c>
      <c r="E18" s="196" t="s">
        <v>24</v>
      </c>
      <c r="F18" s="197">
        <v>29420</v>
      </c>
      <c r="G18" s="197">
        <v>29520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43333</v>
      </c>
      <c r="D19" s="196" t="s">
        <v>23</v>
      </c>
      <c r="E19" s="196" t="s">
        <v>24</v>
      </c>
      <c r="F19" s="197">
        <v>29590</v>
      </c>
      <c r="G19" s="197">
        <v>29520</v>
      </c>
      <c r="H19" s="196">
        <v>70</v>
      </c>
      <c r="I19" s="197">
        <v>100</v>
      </c>
      <c r="J19" s="268">
        <f t="shared" si="1"/>
        <v>7000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43335</v>
      </c>
      <c r="D20" s="196" t="s">
        <v>23</v>
      </c>
      <c r="E20" s="196" t="s">
        <v>24</v>
      </c>
      <c r="F20" s="197">
        <v>29670</v>
      </c>
      <c r="G20" s="197">
        <v>29570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43336</v>
      </c>
      <c r="D21" s="196" t="s">
        <v>23</v>
      </c>
      <c r="E21" s="196" t="s">
        <v>24</v>
      </c>
      <c r="F21" s="197">
        <v>29630</v>
      </c>
      <c r="G21" s="197">
        <v>29730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43339</v>
      </c>
      <c r="D22" s="196" t="s">
        <v>23</v>
      </c>
      <c r="E22" s="196" t="s">
        <v>24</v>
      </c>
      <c r="F22" s="197">
        <v>29970</v>
      </c>
      <c r="G22" s="197">
        <v>29910</v>
      </c>
      <c r="H22" s="196"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43340</v>
      </c>
      <c r="D23" s="196" t="s">
        <v>23</v>
      </c>
      <c r="E23" s="196" t="s">
        <v>24</v>
      </c>
      <c r="F23" s="197">
        <v>30220</v>
      </c>
      <c r="G23" s="197">
        <v>30020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43341</v>
      </c>
      <c r="D24" s="196" t="s">
        <v>23</v>
      </c>
      <c r="E24" s="196" t="s">
        <v>24</v>
      </c>
      <c r="F24" s="197">
        <v>30100</v>
      </c>
      <c r="G24" s="197">
        <v>30200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43342</v>
      </c>
      <c r="D25" s="196" t="s">
        <v>16</v>
      </c>
      <c r="E25" s="196" t="s">
        <v>24</v>
      </c>
      <c r="F25" s="197">
        <v>30200</v>
      </c>
      <c r="G25" s="197">
        <v>30300</v>
      </c>
      <c r="H25" s="196">
        <v>100</v>
      </c>
      <c r="I25" s="197">
        <v>100</v>
      </c>
      <c r="J25" s="268">
        <f t="shared" si="1"/>
        <v>10000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43343</v>
      </c>
      <c r="D26" s="196" t="s">
        <v>23</v>
      </c>
      <c r="E26" s="196" t="s">
        <v>24</v>
      </c>
      <c r="F26" s="197">
        <v>30340</v>
      </c>
      <c r="G26" s="197">
        <v>30180</v>
      </c>
      <c r="H26" s="196">
        <v>160</v>
      </c>
      <c r="I26" s="197">
        <v>100</v>
      </c>
      <c r="J26" s="268">
        <f t="shared" si="1"/>
        <v>16000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124000</v>
      </c>
      <c r="K29" s="185"/>
      <c r="V29" s="183">
        <f>SUM(V6:V28)</f>
        <v>17</v>
      </c>
      <c r="W29" s="183">
        <f>SUM(W6:W28)</f>
        <v>4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43313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43313</v>
      </c>
      <c r="D37" s="192" t="s">
        <v>23</v>
      </c>
      <c r="E37" s="192" t="s">
        <v>25</v>
      </c>
      <c r="F37" s="193">
        <v>4690</v>
      </c>
      <c r="G37" s="193">
        <v>4630</v>
      </c>
      <c r="H37" s="192">
        <v>60</v>
      </c>
      <c r="I37" s="193">
        <v>100</v>
      </c>
      <c r="J37" s="267">
        <f t="shared" ref="J37:J59" si="6">I37*H37</f>
        <v>6000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43314</v>
      </c>
      <c r="D38" s="196" t="s">
        <v>23</v>
      </c>
      <c r="E38" s="196" t="s">
        <v>25</v>
      </c>
      <c r="F38" s="197">
        <v>4650</v>
      </c>
      <c r="G38" s="197">
        <v>4610</v>
      </c>
      <c r="H38" s="196">
        <v>40</v>
      </c>
      <c r="I38" s="197">
        <v>100</v>
      </c>
      <c r="J38" s="268">
        <f t="shared" si="6"/>
        <v>4000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43315</v>
      </c>
      <c r="D39" s="196" t="s">
        <v>23</v>
      </c>
      <c r="E39" s="196" t="s">
        <v>25</v>
      </c>
      <c r="F39" s="197">
        <v>4735</v>
      </c>
      <c r="G39" s="197">
        <v>4675</v>
      </c>
      <c r="H39" s="196">
        <v>60</v>
      </c>
      <c r="I39" s="197">
        <v>100</v>
      </c>
      <c r="J39" s="268">
        <f t="shared" si="6"/>
        <v>6000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43318</v>
      </c>
      <c r="D40" s="196" t="s">
        <v>23</v>
      </c>
      <c r="E40" s="196" t="s">
        <v>25</v>
      </c>
      <c r="F40" s="197">
        <v>4725</v>
      </c>
      <c r="G40" s="197">
        <v>4755</v>
      </c>
      <c r="H40" s="196">
        <v>-30</v>
      </c>
      <c r="I40" s="197">
        <v>100</v>
      </c>
      <c r="J40" s="268">
        <f t="shared" si="6"/>
        <v>-3000</v>
      </c>
      <c r="K40" s="185"/>
      <c r="V40" s="183">
        <f t="shared" si="7"/>
        <v>0</v>
      </c>
      <c r="W40" s="183">
        <f t="shared" si="8"/>
        <v>1</v>
      </c>
    </row>
    <row r="41" spans="1:23" x14ac:dyDescent="0.3">
      <c r="A41" s="184"/>
      <c r="B41" s="194">
        <v>5</v>
      </c>
      <c r="C41" s="195">
        <v>43319</v>
      </c>
      <c r="D41" s="196" t="s">
        <v>23</v>
      </c>
      <c r="E41" s="196" t="s">
        <v>25</v>
      </c>
      <c r="F41" s="197">
        <v>4765</v>
      </c>
      <c r="G41" s="197">
        <v>4795</v>
      </c>
      <c r="H41" s="196">
        <v>-30</v>
      </c>
      <c r="I41" s="197">
        <v>100</v>
      </c>
      <c r="J41" s="268">
        <f t="shared" si="6"/>
        <v>-3000</v>
      </c>
      <c r="K41" s="185"/>
      <c r="V41" s="183">
        <f t="shared" si="7"/>
        <v>0</v>
      </c>
      <c r="W41" s="183">
        <f t="shared" si="8"/>
        <v>1</v>
      </c>
    </row>
    <row r="42" spans="1:23" x14ac:dyDescent="0.3">
      <c r="A42" s="184"/>
      <c r="B42" s="194">
        <v>6</v>
      </c>
      <c r="C42" s="195">
        <v>43320</v>
      </c>
      <c r="D42" s="196" t="s">
        <v>23</v>
      </c>
      <c r="E42" s="196" t="s">
        <v>25</v>
      </c>
      <c r="F42" s="197">
        <v>4755</v>
      </c>
      <c r="G42" s="197">
        <v>4695</v>
      </c>
      <c r="H42" s="196">
        <v>60</v>
      </c>
      <c r="I42" s="197">
        <v>100</v>
      </c>
      <c r="J42" s="268">
        <f t="shared" si="6"/>
        <v>6000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43321</v>
      </c>
      <c r="D43" s="196" t="s">
        <v>23</v>
      </c>
      <c r="E43" s="196" t="s">
        <v>25</v>
      </c>
      <c r="F43" s="197">
        <v>4585</v>
      </c>
      <c r="G43" s="197">
        <v>4615</v>
      </c>
      <c r="H43" s="196">
        <v>-30</v>
      </c>
      <c r="I43" s="197">
        <v>100</v>
      </c>
      <c r="J43" s="268">
        <f t="shared" si="6"/>
        <v>-3000</v>
      </c>
      <c r="K43" s="185"/>
      <c r="V43" s="183">
        <f t="shared" si="7"/>
        <v>0</v>
      </c>
      <c r="W43" s="183">
        <f t="shared" si="8"/>
        <v>1</v>
      </c>
    </row>
    <row r="44" spans="1:23" x14ac:dyDescent="0.3">
      <c r="A44" s="184"/>
      <c r="B44" s="194">
        <v>8</v>
      </c>
      <c r="C44" s="195">
        <v>43322</v>
      </c>
      <c r="D44" s="196" t="s">
        <v>23</v>
      </c>
      <c r="E44" s="196" t="s">
        <v>25</v>
      </c>
      <c r="F44" s="197">
        <v>4605</v>
      </c>
      <c r="G44" s="197">
        <v>4565</v>
      </c>
      <c r="H44" s="196">
        <v>40</v>
      </c>
      <c r="I44" s="197">
        <v>100</v>
      </c>
      <c r="J44" s="268">
        <f t="shared" si="6"/>
        <v>4000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43325</v>
      </c>
      <c r="D45" s="196" t="s">
        <v>23</v>
      </c>
      <c r="E45" s="196" t="s">
        <v>25</v>
      </c>
      <c r="F45" s="197">
        <v>4705</v>
      </c>
      <c r="G45" s="197">
        <v>4683</v>
      </c>
      <c r="H45" s="196">
        <v>22</v>
      </c>
      <c r="I45" s="197">
        <v>100</v>
      </c>
      <c r="J45" s="268">
        <f t="shared" si="6"/>
        <v>2200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43326</v>
      </c>
      <c r="D46" s="196" t="s">
        <v>23</v>
      </c>
      <c r="E46" s="196" t="s">
        <v>25</v>
      </c>
      <c r="F46" s="197">
        <v>4715</v>
      </c>
      <c r="G46" s="197">
        <v>4745</v>
      </c>
      <c r="H46" s="196">
        <v>-30</v>
      </c>
      <c r="I46" s="197">
        <v>100</v>
      </c>
      <c r="J46" s="268">
        <f t="shared" si="6"/>
        <v>-3000</v>
      </c>
      <c r="K46" s="185"/>
      <c r="V46" s="183">
        <f t="shared" si="7"/>
        <v>0</v>
      </c>
      <c r="W46" s="183">
        <f t="shared" si="8"/>
        <v>1</v>
      </c>
    </row>
    <row r="47" spans="1:23" x14ac:dyDescent="0.3">
      <c r="A47" s="184"/>
      <c r="B47" s="194">
        <v>11</v>
      </c>
      <c r="C47" s="195">
        <v>43328</v>
      </c>
      <c r="D47" s="196" t="s">
        <v>23</v>
      </c>
      <c r="E47" s="196" t="s">
        <v>25</v>
      </c>
      <c r="F47" s="197">
        <v>4585</v>
      </c>
      <c r="G47" s="197">
        <v>4525</v>
      </c>
      <c r="H47" s="196">
        <v>60</v>
      </c>
      <c r="I47" s="197">
        <v>100</v>
      </c>
      <c r="J47" s="268">
        <f t="shared" si="6"/>
        <v>6000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43329</v>
      </c>
      <c r="D48" s="196" t="s">
        <v>23</v>
      </c>
      <c r="E48" s="196" t="s">
        <v>25</v>
      </c>
      <c r="F48" s="197">
        <v>4595</v>
      </c>
      <c r="G48" s="197">
        <v>4625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si="7"/>
        <v>0</v>
      </c>
      <c r="W48" s="183">
        <f t="shared" si="8"/>
        <v>1</v>
      </c>
    </row>
    <row r="49" spans="1:23" x14ac:dyDescent="0.3">
      <c r="A49" s="184"/>
      <c r="B49" s="194">
        <v>13</v>
      </c>
      <c r="C49" s="195">
        <v>43332</v>
      </c>
      <c r="D49" s="196" t="s">
        <v>23</v>
      </c>
      <c r="E49" s="196" t="s">
        <v>25</v>
      </c>
      <c r="F49" s="197">
        <v>4600</v>
      </c>
      <c r="G49" s="197">
        <v>4575</v>
      </c>
      <c r="H49" s="196">
        <v>25</v>
      </c>
      <c r="I49" s="197">
        <v>100</v>
      </c>
      <c r="J49" s="268">
        <f t="shared" si="6"/>
        <v>2500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43333</v>
      </c>
      <c r="D50" s="196" t="s">
        <v>23</v>
      </c>
      <c r="E50" s="196" t="s">
        <v>25</v>
      </c>
      <c r="F50" s="197">
        <v>4590</v>
      </c>
      <c r="G50" s="197">
        <v>4620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15</v>
      </c>
      <c r="C51" s="195">
        <v>43335</v>
      </c>
      <c r="D51" s="196" t="s">
        <v>23</v>
      </c>
      <c r="E51" s="196" t="s">
        <v>25</v>
      </c>
      <c r="F51" s="197">
        <v>4770</v>
      </c>
      <c r="G51" s="197">
        <v>4740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43336</v>
      </c>
      <c r="D52" s="196" t="s">
        <v>23</v>
      </c>
      <c r="E52" s="196" t="s">
        <v>25</v>
      </c>
      <c r="F52" s="197">
        <v>4810</v>
      </c>
      <c r="G52" s="197">
        <v>4840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43339</v>
      </c>
      <c r="D53" s="196" t="s">
        <v>23</v>
      </c>
      <c r="E53" s="196" t="s">
        <v>25</v>
      </c>
      <c r="F53" s="197">
        <v>4820</v>
      </c>
      <c r="G53" s="197">
        <v>4800</v>
      </c>
      <c r="H53" s="196">
        <v>20</v>
      </c>
      <c r="I53" s="197">
        <v>100</v>
      </c>
      <c r="J53" s="268">
        <f t="shared" si="6"/>
        <v>2000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43340</v>
      </c>
      <c r="D54" s="196" t="s">
        <v>23</v>
      </c>
      <c r="E54" s="196" t="s">
        <v>25</v>
      </c>
      <c r="F54" s="197">
        <v>4860</v>
      </c>
      <c r="G54" s="197">
        <v>4800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43341</v>
      </c>
      <c r="D55" s="196" t="s">
        <v>23</v>
      </c>
      <c r="E55" s="196" t="s">
        <v>25</v>
      </c>
      <c r="F55" s="197">
        <v>4860</v>
      </c>
      <c r="G55" s="197">
        <v>4890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20</v>
      </c>
      <c r="C56" s="195">
        <v>43342</v>
      </c>
      <c r="D56" s="196" t="s">
        <v>16</v>
      </c>
      <c r="E56" s="196" t="s">
        <v>25</v>
      </c>
      <c r="F56" s="197">
        <v>4955</v>
      </c>
      <c r="G56" s="197">
        <v>5005</v>
      </c>
      <c r="H56" s="196">
        <v>50</v>
      </c>
      <c r="I56" s="197">
        <v>100</v>
      </c>
      <c r="J56" s="268">
        <f t="shared" si="6"/>
        <v>5000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>
        <v>43343</v>
      </c>
      <c r="D57" s="196" t="s">
        <v>23</v>
      </c>
      <c r="E57" s="196" t="s">
        <v>25</v>
      </c>
      <c r="F57" s="197">
        <v>4965</v>
      </c>
      <c r="G57" s="197">
        <v>4955</v>
      </c>
      <c r="H57" s="196">
        <v>10</v>
      </c>
      <c r="I57" s="197">
        <v>100</v>
      </c>
      <c r="J57" s="268">
        <f t="shared" si="6"/>
        <v>1000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29700</v>
      </c>
      <c r="K60" s="185"/>
      <c r="V60" s="183">
        <f>SUM(V37:V59)</f>
        <v>13</v>
      </c>
      <c r="W60" s="183">
        <f>SUM(W37:W59)</f>
        <v>8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43313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43313</v>
      </c>
      <c r="D68" s="216" t="s">
        <v>23</v>
      </c>
      <c r="E68" s="256" t="s">
        <v>28</v>
      </c>
      <c r="F68" s="256">
        <v>177.2</v>
      </c>
      <c r="G68" s="256">
        <v>175.2</v>
      </c>
      <c r="H68" s="256">
        <v>2</v>
      </c>
      <c r="I68" s="218">
        <v>5000</v>
      </c>
      <c r="J68" s="273">
        <f>I68*H68</f>
        <v>10000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43314</v>
      </c>
      <c r="D69" s="196" t="s">
        <v>23</v>
      </c>
      <c r="E69" s="222" t="s">
        <v>28</v>
      </c>
      <c r="F69" s="222">
        <v>178</v>
      </c>
      <c r="G69" s="222">
        <v>177.5</v>
      </c>
      <c r="H69" s="222">
        <v>0.5</v>
      </c>
      <c r="I69" s="197">
        <v>5000</v>
      </c>
      <c r="J69" s="268">
        <f t="shared" ref="J69:J90" si="9">I69*H69</f>
        <v>2500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43315</v>
      </c>
      <c r="D70" s="196" t="s">
        <v>23</v>
      </c>
      <c r="E70" s="222" t="s">
        <v>28</v>
      </c>
      <c r="F70" s="222">
        <v>177.3</v>
      </c>
      <c r="G70" s="222">
        <v>176.8</v>
      </c>
      <c r="H70" s="222">
        <v>0.5</v>
      </c>
      <c r="I70" s="197">
        <v>5000</v>
      </c>
      <c r="J70" s="268">
        <f t="shared" si="9"/>
        <v>2500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43318</v>
      </c>
      <c r="D71" s="196" t="s">
        <v>23</v>
      </c>
      <c r="E71" s="222" t="s">
        <v>28</v>
      </c>
      <c r="F71" s="222">
        <v>178.6</v>
      </c>
      <c r="G71" s="222">
        <v>177.1</v>
      </c>
      <c r="H71" s="222">
        <v>1.5</v>
      </c>
      <c r="I71" s="197">
        <v>5000</v>
      </c>
      <c r="J71" s="268">
        <f t="shared" si="9"/>
        <v>7500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43319</v>
      </c>
      <c r="D72" s="196" t="s">
        <v>23</v>
      </c>
      <c r="E72" s="222" t="s">
        <v>28</v>
      </c>
      <c r="F72" s="222">
        <v>179.8</v>
      </c>
      <c r="G72" s="222">
        <v>180.8</v>
      </c>
      <c r="H72" s="222">
        <v>-1</v>
      </c>
      <c r="I72" s="197">
        <v>5000</v>
      </c>
      <c r="J72" s="268">
        <f t="shared" si="9"/>
        <v>-5000</v>
      </c>
      <c r="K72" s="185"/>
      <c r="V72" s="183">
        <f t="shared" si="10"/>
        <v>0</v>
      </c>
      <c r="W72" s="183">
        <f t="shared" si="11"/>
        <v>1</v>
      </c>
    </row>
    <row r="73" spans="1:23" x14ac:dyDescent="0.3">
      <c r="A73" s="184"/>
      <c r="B73" s="194">
        <v>6</v>
      </c>
      <c r="C73" s="195">
        <v>43320</v>
      </c>
      <c r="D73" s="196" t="s">
        <v>23</v>
      </c>
      <c r="E73" s="222" t="s">
        <v>28</v>
      </c>
      <c r="F73" s="222">
        <v>181</v>
      </c>
      <c r="G73" s="222">
        <v>180.4</v>
      </c>
      <c r="H73" s="222">
        <v>0.6</v>
      </c>
      <c r="I73" s="197">
        <v>5000</v>
      </c>
      <c r="J73" s="268">
        <f t="shared" si="9"/>
        <v>3000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43321</v>
      </c>
      <c r="D74" s="196" t="s">
        <v>23</v>
      </c>
      <c r="E74" s="222" t="s">
        <v>28</v>
      </c>
      <c r="F74" s="222">
        <v>181.5</v>
      </c>
      <c r="G74" s="222">
        <v>182.5</v>
      </c>
      <c r="H74" s="274">
        <v>-1</v>
      </c>
      <c r="I74" s="197">
        <v>5000</v>
      </c>
      <c r="J74" s="268">
        <f t="shared" si="9"/>
        <v>-5000</v>
      </c>
      <c r="K74" s="185"/>
      <c r="V74" s="183">
        <f t="shared" si="10"/>
        <v>0</v>
      </c>
      <c r="W74" s="183">
        <f t="shared" si="11"/>
        <v>1</v>
      </c>
    </row>
    <row r="75" spans="1:23" x14ac:dyDescent="0.3">
      <c r="A75" s="184"/>
      <c r="B75" s="194">
        <v>8</v>
      </c>
      <c r="C75" s="195">
        <v>43322</v>
      </c>
      <c r="D75" s="196" t="s">
        <v>23</v>
      </c>
      <c r="E75" s="222" t="s">
        <v>28</v>
      </c>
      <c r="F75" s="222">
        <v>178</v>
      </c>
      <c r="G75" s="222">
        <v>176.6</v>
      </c>
      <c r="H75" s="222">
        <v>1.4</v>
      </c>
      <c r="I75" s="197">
        <v>5000</v>
      </c>
      <c r="J75" s="268">
        <f t="shared" si="9"/>
        <v>7000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43325</v>
      </c>
      <c r="D76" s="196" t="s">
        <v>23</v>
      </c>
      <c r="E76" s="222" t="s">
        <v>28</v>
      </c>
      <c r="F76" s="222">
        <v>177.8</v>
      </c>
      <c r="G76" s="222">
        <v>175.8</v>
      </c>
      <c r="H76" s="222">
        <v>2</v>
      </c>
      <c r="I76" s="197">
        <v>5000</v>
      </c>
      <c r="J76" s="268">
        <f t="shared" si="9"/>
        <v>10000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43326</v>
      </c>
      <c r="D77" s="196" t="s">
        <v>23</v>
      </c>
      <c r="E77" s="222" t="s">
        <v>28</v>
      </c>
      <c r="F77" s="222">
        <v>174.3</v>
      </c>
      <c r="G77" s="222">
        <v>172.4</v>
      </c>
      <c r="H77" s="222">
        <v>1.9</v>
      </c>
      <c r="I77" s="197">
        <v>5000</v>
      </c>
      <c r="J77" s="268">
        <f t="shared" si="9"/>
        <v>9500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43328</v>
      </c>
      <c r="D78" s="196" t="s">
        <v>23</v>
      </c>
      <c r="E78" s="222" t="s">
        <v>28</v>
      </c>
      <c r="F78" s="222">
        <v>166</v>
      </c>
      <c r="G78" s="222">
        <v>165</v>
      </c>
      <c r="H78" s="274">
        <v>1</v>
      </c>
      <c r="I78" s="197">
        <v>5000</v>
      </c>
      <c r="J78" s="268">
        <f t="shared" si="9"/>
        <v>5000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43329</v>
      </c>
      <c r="D79" s="196" t="s">
        <v>23</v>
      </c>
      <c r="E79" s="222" t="s">
        <v>28</v>
      </c>
      <c r="F79" s="222">
        <v>164.5</v>
      </c>
      <c r="G79" s="222">
        <v>163.9</v>
      </c>
      <c r="H79" s="274">
        <v>0.6</v>
      </c>
      <c r="I79" s="197">
        <v>5000</v>
      </c>
      <c r="J79" s="268">
        <f t="shared" si="9"/>
        <v>3000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43332</v>
      </c>
      <c r="D80" s="196" t="s">
        <v>23</v>
      </c>
      <c r="E80" s="222" t="s">
        <v>28</v>
      </c>
      <c r="F80" s="222">
        <v>167.8</v>
      </c>
      <c r="G80" s="222">
        <v>166.8</v>
      </c>
      <c r="H80" s="274">
        <v>1</v>
      </c>
      <c r="I80" s="197">
        <v>5000</v>
      </c>
      <c r="J80" s="268">
        <f t="shared" si="9"/>
        <v>5000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43333</v>
      </c>
      <c r="D81" s="196" t="s">
        <v>23</v>
      </c>
      <c r="E81" s="222" t="s">
        <v>28</v>
      </c>
      <c r="F81" s="222">
        <v>170</v>
      </c>
      <c r="G81" s="222">
        <v>169.5</v>
      </c>
      <c r="H81" s="274">
        <v>0.5</v>
      </c>
      <c r="I81" s="197">
        <v>5000</v>
      </c>
      <c r="J81" s="268">
        <f t="shared" si="9"/>
        <v>2500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43335</v>
      </c>
      <c r="D82" s="196" t="s">
        <v>23</v>
      </c>
      <c r="E82" s="222" t="s">
        <v>28</v>
      </c>
      <c r="F82" s="223">
        <v>171.8</v>
      </c>
      <c r="G82" s="222">
        <v>171.25</v>
      </c>
      <c r="H82" s="274">
        <v>0.55000000000000004</v>
      </c>
      <c r="I82" s="197">
        <v>5000</v>
      </c>
      <c r="J82" s="268">
        <f t="shared" si="9"/>
        <v>2750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43336</v>
      </c>
      <c r="D83" s="196" t="s">
        <v>23</v>
      </c>
      <c r="E83" s="222" t="s">
        <v>28</v>
      </c>
      <c r="F83" s="222">
        <v>174.8</v>
      </c>
      <c r="G83" s="222">
        <v>174.3</v>
      </c>
      <c r="H83" s="274">
        <v>0.55000000000000004</v>
      </c>
      <c r="I83" s="197">
        <v>5000</v>
      </c>
      <c r="J83" s="268">
        <f t="shared" si="9"/>
        <v>2750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43339</v>
      </c>
      <c r="D84" s="196" t="s">
        <v>23</v>
      </c>
      <c r="E84" s="222" t="s">
        <v>28</v>
      </c>
      <c r="F84" s="222">
        <v>178.2</v>
      </c>
      <c r="G84" s="222">
        <v>178</v>
      </c>
      <c r="H84" s="274">
        <v>0.2</v>
      </c>
      <c r="I84" s="197">
        <v>5000</v>
      </c>
      <c r="J84" s="268">
        <f t="shared" si="9"/>
        <v>1000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43340</v>
      </c>
      <c r="D85" s="196" t="s">
        <v>23</v>
      </c>
      <c r="E85" s="222" t="s">
        <v>28</v>
      </c>
      <c r="F85" s="222">
        <v>180</v>
      </c>
      <c r="G85" s="222">
        <v>178</v>
      </c>
      <c r="H85" s="274">
        <v>2</v>
      </c>
      <c r="I85" s="197">
        <v>5000</v>
      </c>
      <c r="J85" s="268">
        <f t="shared" si="9"/>
        <v>10000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43341</v>
      </c>
      <c r="D86" s="196" t="s">
        <v>23</v>
      </c>
      <c r="E86" s="222" t="s">
        <v>28</v>
      </c>
      <c r="F86" s="222">
        <v>178.2</v>
      </c>
      <c r="G86" s="222">
        <v>176.8</v>
      </c>
      <c r="H86" s="274">
        <v>1.4</v>
      </c>
      <c r="I86" s="197">
        <v>5000</v>
      </c>
      <c r="J86" s="268">
        <f t="shared" si="9"/>
        <v>7000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20</v>
      </c>
      <c r="C87" s="195">
        <v>43342</v>
      </c>
      <c r="D87" s="196" t="s">
        <v>23</v>
      </c>
      <c r="E87" s="222" t="s">
        <v>28</v>
      </c>
      <c r="F87" s="222">
        <v>176.6</v>
      </c>
      <c r="G87" s="222">
        <v>174.6</v>
      </c>
      <c r="H87" s="274">
        <v>2</v>
      </c>
      <c r="I87" s="197">
        <v>5000</v>
      </c>
      <c r="J87" s="268">
        <f t="shared" si="9"/>
        <v>10000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>
        <v>43343</v>
      </c>
      <c r="D88" s="196" t="s">
        <v>23</v>
      </c>
      <c r="E88" s="222" t="s">
        <v>28</v>
      </c>
      <c r="F88" s="222">
        <v>179</v>
      </c>
      <c r="G88" s="222">
        <v>177</v>
      </c>
      <c r="H88" s="274">
        <v>2</v>
      </c>
      <c r="I88" s="197">
        <v>5000</v>
      </c>
      <c r="J88" s="268">
        <f t="shared" si="9"/>
        <v>10000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101000</v>
      </c>
      <c r="K91" s="185"/>
      <c r="V91" s="183">
        <f>SUM(V68:V90)</f>
        <v>19</v>
      </c>
      <c r="W91" s="183">
        <f>SUM(W68:W90)</f>
        <v>2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4400-000000000000}"/>
    <hyperlink ref="B60" r:id="rId2" xr:uid="{00000000-0004-0000-4400-000001000000}"/>
    <hyperlink ref="M4:M5" location="'AUGUST-2018'!A1" display="BULLION" xr:uid="{00000000-0004-0000-4400-000002000000}"/>
    <hyperlink ref="M6:M7" location="'AUGUST-2018'!A54" display="ENERGY" xr:uid="{00000000-0004-0000-4400-000003000000}"/>
    <hyperlink ref="B91" r:id="rId3" xr:uid="{00000000-0004-0000-4400-000004000000}"/>
    <hyperlink ref="M8:M9" location="'AUGUST-2018'!A86" display="BASE METAL" xr:uid="{00000000-0004-0000-4400-000005000000}"/>
    <hyperlink ref="M1" location="MASTER!A1" display="Back" xr:uid="{00000000-0004-0000-4400-000006000000}"/>
  </hyperlinks>
  <pageMargins left="0" right="0" top="0" bottom="0" header="0" footer="0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79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49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41428</v>
      </c>
      <c r="C5" s="29" t="s">
        <v>16</v>
      </c>
      <c r="D5" s="36" t="s">
        <v>24</v>
      </c>
      <c r="E5" s="29">
        <v>27000</v>
      </c>
      <c r="F5" s="29">
        <v>27110</v>
      </c>
      <c r="G5" s="29">
        <v>100</v>
      </c>
      <c r="H5" s="29">
        <v>11000</v>
      </c>
      <c r="I5" s="20"/>
    </row>
    <row r="6" spans="1:10" x14ac:dyDescent="0.3">
      <c r="A6" s="20"/>
      <c r="B6" s="35">
        <v>41429</v>
      </c>
      <c r="C6" s="29" t="s">
        <v>16</v>
      </c>
      <c r="D6" s="36" t="s">
        <v>24</v>
      </c>
      <c r="E6" s="29">
        <v>27200</v>
      </c>
      <c r="F6" s="29">
        <v>27270</v>
      </c>
      <c r="G6" s="29">
        <v>100</v>
      </c>
      <c r="H6" s="29">
        <v>7000</v>
      </c>
      <c r="I6" s="20"/>
    </row>
    <row r="7" spans="1:10" x14ac:dyDescent="0.3">
      <c r="A7" s="20"/>
      <c r="B7" s="35">
        <v>41430</v>
      </c>
      <c r="C7" s="29" t="s">
        <v>16</v>
      </c>
      <c r="D7" s="36" t="s">
        <v>24</v>
      </c>
      <c r="E7" s="29">
        <v>27150</v>
      </c>
      <c r="F7" s="29">
        <v>27245</v>
      </c>
      <c r="G7" s="29">
        <v>100</v>
      </c>
      <c r="H7" s="29">
        <v>9500</v>
      </c>
      <c r="I7" s="20"/>
    </row>
    <row r="8" spans="1:10" x14ac:dyDescent="0.3">
      <c r="A8" s="20"/>
      <c r="B8" s="35">
        <v>41431</v>
      </c>
      <c r="C8" s="29" t="s">
        <v>16</v>
      </c>
      <c r="D8" s="36" t="s">
        <v>24</v>
      </c>
      <c r="E8" s="29">
        <v>27660</v>
      </c>
      <c r="F8" s="29">
        <v>27590</v>
      </c>
      <c r="G8" s="29">
        <v>100</v>
      </c>
      <c r="H8" s="29">
        <v>-7000</v>
      </c>
      <c r="I8" s="20"/>
    </row>
    <row r="9" spans="1:10" x14ac:dyDescent="0.3">
      <c r="A9" s="20"/>
      <c r="B9" s="35">
        <v>41432</v>
      </c>
      <c r="C9" s="29" t="s">
        <v>16</v>
      </c>
      <c r="D9" s="36" t="s">
        <v>24</v>
      </c>
      <c r="E9" s="29">
        <v>27830</v>
      </c>
      <c r="F9" s="29">
        <v>27945</v>
      </c>
      <c r="G9" s="29">
        <v>100</v>
      </c>
      <c r="H9" s="29">
        <v>11500</v>
      </c>
      <c r="I9" s="20"/>
    </row>
    <row r="10" spans="1:10" x14ac:dyDescent="0.3">
      <c r="A10" s="20"/>
      <c r="B10" s="35">
        <v>41435</v>
      </c>
      <c r="C10" s="29" t="s">
        <v>23</v>
      </c>
      <c r="D10" s="36" t="s">
        <v>24</v>
      </c>
      <c r="E10" s="29">
        <v>27780</v>
      </c>
      <c r="F10" s="29">
        <v>27675</v>
      </c>
      <c r="G10" s="29">
        <v>100</v>
      </c>
      <c r="H10" s="29">
        <v>10500</v>
      </c>
      <c r="I10" s="20"/>
    </row>
    <row r="11" spans="1:10" x14ac:dyDescent="0.3">
      <c r="A11" s="20"/>
      <c r="B11" s="35">
        <v>41436</v>
      </c>
      <c r="C11" s="29" t="s">
        <v>23</v>
      </c>
      <c r="D11" s="36" t="s">
        <v>22</v>
      </c>
      <c r="E11" s="29">
        <v>44000</v>
      </c>
      <c r="F11" s="29">
        <v>43700</v>
      </c>
      <c r="G11" s="29">
        <v>30</v>
      </c>
      <c r="H11" s="37">
        <v>9000</v>
      </c>
      <c r="I11" s="20"/>
    </row>
    <row r="12" spans="1:10" x14ac:dyDescent="0.3">
      <c r="A12" s="20"/>
      <c r="B12" s="35">
        <v>41437</v>
      </c>
      <c r="C12" s="29" t="s">
        <v>16</v>
      </c>
      <c r="D12" s="36" t="s">
        <v>22</v>
      </c>
      <c r="E12" s="29">
        <v>43400</v>
      </c>
      <c r="F12" s="29">
        <v>43650</v>
      </c>
      <c r="G12" s="29">
        <v>30</v>
      </c>
      <c r="H12" s="37">
        <v>7500</v>
      </c>
      <c r="I12" s="20"/>
    </row>
    <row r="13" spans="1:10" x14ac:dyDescent="0.3">
      <c r="A13" s="20"/>
      <c r="B13" s="35">
        <v>41438</v>
      </c>
      <c r="C13" s="29" t="s">
        <v>23</v>
      </c>
      <c r="D13" s="36" t="s">
        <v>22</v>
      </c>
      <c r="E13" s="29">
        <v>43800</v>
      </c>
      <c r="F13" s="29">
        <v>43500</v>
      </c>
      <c r="G13" s="29">
        <v>30</v>
      </c>
      <c r="H13" s="37">
        <v>9000</v>
      </c>
      <c r="I13" s="20"/>
    </row>
    <row r="14" spans="1:10" x14ac:dyDescent="0.3">
      <c r="A14" s="20"/>
      <c r="B14" s="35">
        <v>41439</v>
      </c>
      <c r="C14" s="29" t="s">
        <v>23</v>
      </c>
      <c r="D14" s="36" t="s">
        <v>24</v>
      </c>
      <c r="E14" s="29">
        <v>27800</v>
      </c>
      <c r="F14" s="29">
        <v>27700</v>
      </c>
      <c r="G14" s="29">
        <v>100</v>
      </c>
      <c r="H14" s="37">
        <v>10000</v>
      </c>
      <c r="I14" s="20"/>
    </row>
    <row r="15" spans="1:10" x14ac:dyDescent="0.3">
      <c r="A15" s="20"/>
      <c r="B15" s="35">
        <v>41442</v>
      </c>
      <c r="C15" s="29" t="s">
        <v>23</v>
      </c>
      <c r="D15" s="36" t="s">
        <v>24</v>
      </c>
      <c r="E15" s="29">
        <v>27925</v>
      </c>
      <c r="F15" s="29">
        <v>27850</v>
      </c>
      <c r="G15" s="29">
        <v>100</v>
      </c>
      <c r="H15" s="37">
        <v>7500</v>
      </c>
      <c r="I15" s="20"/>
    </row>
    <row r="16" spans="1:10" x14ac:dyDescent="0.3">
      <c r="A16" s="20"/>
      <c r="B16" s="35">
        <v>41443</v>
      </c>
      <c r="C16" s="29" t="s">
        <v>23</v>
      </c>
      <c r="D16" s="36" t="s">
        <v>22</v>
      </c>
      <c r="E16" s="29">
        <v>43920</v>
      </c>
      <c r="F16" s="29">
        <v>43820</v>
      </c>
      <c r="G16" s="29">
        <v>30</v>
      </c>
      <c r="H16" s="37">
        <v>3000</v>
      </c>
      <c r="I16" s="20"/>
    </row>
    <row r="17" spans="1:9" x14ac:dyDescent="0.3">
      <c r="A17" s="20"/>
      <c r="B17" s="35">
        <v>41444</v>
      </c>
      <c r="C17" s="29" t="s">
        <v>16</v>
      </c>
      <c r="D17" s="36" t="s">
        <v>22</v>
      </c>
      <c r="E17" s="29">
        <v>43850</v>
      </c>
      <c r="F17" s="29">
        <v>43650</v>
      </c>
      <c r="G17" s="29">
        <v>30</v>
      </c>
      <c r="H17" s="37">
        <v>-6000</v>
      </c>
      <c r="I17" s="20"/>
    </row>
    <row r="18" spans="1:9" x14ac:dyDescent="0.3">
      <c r="A18" s="20"/>
      <c r="B18" s="35">
        <v>41445</v>
      </c>
      <c r="C18" s="29" t="s">
        <v>23</v>
      </c>
      <c r="D18" s="36" t="s">
        <v>22</v>
      </c>
      <c r="E18" s="29">
        <v>43550</v>
      </c>
      <c r="F18" s="29">
        <v>43250</v>
      </c>
      <c r="G18" s="29">
        <v>30</v>
      </c>
      <c r="H18" s="37">
        <v>9000</v>
      </c>
      <c r="I18" s="20"/>
    </row>
    <row r="19" spans="1:9" x14ac:dyDescent="0.3">
      <c r="A19" s="20"/>
      <c r="B19" s="35">
        <v>41446</v>
      </c>
      <c r="C19" s="29" t="s">
        <v>16</v>
      </c>
      <c r="D19" s="36" t="s">
        <v>22</v>
      </c>
      <c r="E19" s="29">
        <v>41100</v>
      </c>
      <c r="F19" s="29">
        <v>40900</v>
      </c>
      <c r="G19" s="29">
        <v>30</v>
      </c>
      <c r="H19" s="37">
        <v>-6000</v>
      </c>
      <c r="I19" s="20"/>
    </row>
    <row r="20" spans="1:9" x14ac:dyDescent="0.3">
      <c r="A20" s="20"/>
      <c r="B20" s="35">
        <v>41449</v>
      </c>
      <c r="C20" s="29" t="s">
        <v>23</v>
      </c>
      <c r="D20" s="36" t="s">
        <v>22</v>
      </c>
      <c r="E20" s="29">
        <v>40800</v>
      </c>
      <c r="F20" s="29">
        <v>40600</v>
      </c>
      <c r="G20" s="29">
        <v>30</v>
      </c>
      <c r="H20" s="37">
        <v>6000</v>
      </c>
      <c r="I20" s="20"/>
    </row>
    <row r="21" spans="1:9" x14ac:dyDescent="0.3">
      <c r="A21" s="20"/>
      <c r="B21" s="35">
        <v>41450</v>
      </c>
      <c r="C21" s="29" t="s">
        <v>16</v>
      </c>
      <c r="D21" s="36" t="s">
        <v>22</v>
      </c>
      <c r="E21" s="29">
        <v>39200</v>
      </c>
      <c r="F21" s="29">
        <v>39500</v>
      </c>
      <c r="G21" s="29">
        <v>30</v>
      </c>
      <c r="H21" s="37">
        <v>9000</v>
      </c>
      <c r="I21" s="20"/>
    </row>
    <row r="22" spans="1:9" x14ac:dyDescent="0.3">
      <c r="A22" s="20"/>
      <c r="B22" s="35">
        <v>41451</v>
      </c>
      <c r="C22" s="29" t="s">
        <v>23</v>
      </c>
      <c r="D22" s="36" t="s">
        <v>24</v>
      </c>
      <c r="E22" s="29">
        <v>25900</v>
      </c>
      <c r="F22" s="29">
        <v>25990</v>
      </c>
      <c r="G22" s="29">
        <v>100</v>
      </c>
      <c r="H22" s="37">
        <v>-9000</v>
      </c>
      <c r="I22" s="20"/>
    </row>
    <row r="23" spans="1:9" x14ac:dyDescent="0.3">
      <c r="A23" s="20"/>
      <c r="B23" s="35">
        <v>41452</v>
      </c>
      <c r="C23" s="29" t="s">
        <v>23</v>
      </c>
      <c r="D23" s="36" t="s">
        <v>24</v>
      </c>
      <c r="E23" s="29">
        <v>25910</v>
      </c>
      <c r="F23" s="29">
        <v>25840</v>
      </c>
      <c r="G23" s="29">
        <v>100</v>
      </c>
      <c r="H23" s="37">
        <v>7000</v>
      </c>
      <c r="I23" s="20"/>
    </row>
    <row r="24" spans="1:9" x14ac:dyDescent="0.3">
      <c r="A24" s="20"/>
      <c r="B24" s="35">
        <v>41453</v>
      </c>
      <c r="C24" s="29" t="s">
        <v>23</v>
      </c>
      <c r="D24" s="36" t="s">
        <v>24</v>
      </c>
      <c r="E24" s="29">
        <v>25200</v>
      </c>
      <c r="F24" s="29">
        <v>25120</v>
      </c>
      <c r="G24" s="29">
        <v>100</v>
      </c>
      <c r="H24" s="37">
        <v>8000</v>
      </c>
      <c r="I24" s="20"/>
    </row>
    <row r="25" spans="1:9" x14ac:dyDescent="0.3">
      <c r="A25" s="20"/>
      <c r="B25" s="22"/>
      <c r="C25" s="29"/>
      <c r="D25" s="36"/>
      <c r="E25" s="29"/>
      <c r="F25" s="29"/>
      <c r="G25" s="29"/>
      <c r="H25" s="38">
        <v>106500</v>
      </c>
      <c r="I25" s="20"/>
    </row>
    <row r="26" spans="1:9" x14ac:dyDescent="0.3">
      <c r="A26" s="20"/>
      <c r="B26" s="27"/>
      <c r="C26" s="27"/>
      <c r="D26" s="27"/>
      <c r="E26" s="27"/>
      <c r="F26" s="27"/>
      <c r="G26" s="27"/>
      <c r="H26" s="30"/>
      <c r="I26" s="20"/>
    </row>
    <row r="27" spans="1:9" x14ac:dyDescent="0.3">
      <c r="A27" s="20"/>
      <c r="B27" s="18"/>
      <c r="C27" s="18"/>
      <c r="D27" s="18"/>
      <c r="E27" s="18"/>
      <c r="F27" s="18"/>
      <c r="G27" s="18"/>
      <c r="H27" s="18"/>
      <c r="I27" s="20"/>
    </row>
    <row r="28" spans="1:9" ht="15.6" x14ac:dyDescent="0.3">
      <c r="A28" s="20"/>
      <c r="B28" s="295" t="s">
        <v>50</v>
      </c>
      <c r="C28" s="295"/>
      <c r="D28" s="295"/>
      <c r="E28" s="295"/>
      <c r="F28" s="295"/>
      <c r="G28" s="295"/>
      <c r="H28" s="295"/>
      <c r="I28" s="20"/>
    </row>
    <row r="29" spans="1:9" x14ac:dyDescent="0.3">
      <c r="A29" s="20"/>
      <c r="B29" s="35">
        <v>41428</v>
      </c>
      <c r="C29" s="29" t="s">
        <v>16</v>
      </c>
      <c r="D29" s="36" t="s">
        <v>25</v>
      </c>
      <c r="E29" s="29">
        <v>5200</v>
      </c>
      <c r="F29" s="29">
        <v>5217</v>
      </c>
      <c r="G29" s="29">
        <v>100</v>
      </c>
      <c r="H29" s="29">
        <v>1700</v>
      </c>
      <c r="I29" s="20"/>
    </row>
    <row r="30" spans="1:9" x14ac:dyDescent="0.3">
      <c r="A30" s="20"/>
      <c r="B30" s="35">
        <v>41429</v>
      </c>
      <c r="C30" s="29" t="s">
        <v>16</v>
      </c>
      <c r="D30" s="36" t="s">
        <v>25</v>
      </c>
      <c r="E30" s="29">
        <v>5275</v>
      </c>
      <c r="F30" s="29">
        <v>5291</v>
      </c>
      <c r="G30" s="29">
        <v>100</v>
      </c>
      <c r="H30" s="29">
        <v>1600</v>
      </c>
      <c r="I30" s="20"/>
    </row>
    <row r="31" spans="1:9" x14ac:dyDescent="0.3">
      <c r="A31" s="20"/>
      <c r="B31" s="35">
        <v>41430</v>
      </c>
      <c r="C31" s="29" t="s">
        <v>23</v>
      </c>
      <c r="D31" s="36" t="s">
        <v>25</v>
      </c>
      <c r="E31" s="29">
        <v>5292</v>
      </c>
      <c r="F31" s="29">
        <v>5288</v>
      </c>
      <c r="G31" s="29">
        <v>100</v>
      </c>
      <c r="H31" s="29">
        <v>400</v>
      </c>
      <c r="I31" s="20"/>
    </row>
    <row r="32" spans="1:9" x14ac:dyDescent="0.3">
      <c r="A32" s="20"/>
      <c r="B32" s="35">
        <v>41431</v>
      </c>
      <c r="C32" s="29" t="s">
        <v>16</v>
      </c>
      <c r="D32" s="36" t="s">
        <v>25</v>
      </c>
      <c r="E32" s="29">
        <v>5364</v>
      </c>
      <c r="F32" s="29">
        <v>5394</v>
      </c>
      <c r="G32" s="29">
        <v>100</v>
      </c>
      <c r="H32" s="29">
        <v>3000</v>
      </c>
      <c r="I32" s="20"/>
    </row>
    <row r="33" spans="1:9" x14ac:dyDescent="0.3">
      <c r="A33" s="20"/>
      <c r="B33" s="35">
        <v>41432</v>
      </c>
      <c r="C33" s="29" t="s">
        <v>23</v>
      </c>
      <c r="D33" s="36" t="s">
        <v>25</v>
      </c>
      <c r="E33" s="29">
        <v>5390</v>
      </c>
      <c r="F33" s="29">
        <v>5423</v>
      </c>
      <c r="G33" s="29">
        <v>100</v>
      </c>
      <c r="H33" s="29">
        <v>-3300</v>
      </c>
      <c r="I33" s="20"/>
    </row>
    <row r="34" spans="1:9" x14ac:dyDescent="0.3">
      <c r="A34" s="20"/>
      <c r="B34" s="35">
        <v>41435</v>
      </c>
      <c r="C34" s="29" t="s">
        <v>16</v>
      </c>
      <c r="D34" s="36" t="s">
        <v>25</v>
      </c>
      <c r="E34" s="29">
        <v>5530</v>
      </c>
      <c r="F34" s="29">
        <v>5562</v>
      </c>
      <c r="G34" s="29">
        <v>100</v>
      </c>
      <c r="H34" s="29">
        <v>3200</v>
      </c>
      <c r="I34" s="20"/>
    </row>
    <row r="35" spans="1:9" x14ac:dyDescent="0.3">
      <c r="A35" s="20"/>
      <c r="B35" s="35">
        <v>41436</v>
      </c>
      <c r="C35" s="39" t="s">
        <v>23</v>
      </c>
      <c r="D35" s="40" t="s">
        <v>25</v>
      </c>
      <c r="E35" s="39">
        <v>5575</v>
      </c>
      <c r="F35" s="39">
        <v>5550</v>
      </c>
      <c r="G35" s="39">
        <v>100</v>
      </c>
      <c r="H35" s="39">
        <v>2500</v>
      </c>
      <c r="I35" s="20"/>
    </row>
    <row r="36" spans="1:9" x14ac:dyDescent="0.3">
      <c r="A36" s="20"/>
      <c r="B36" s="35">
        <v>41437</v>
      </c>
      <c r="C36" s="29" t="s">
        <v>16</v>
      </c>
      <c r="D36" s="36" t="s">
        <v>26</v>
      </c>
      <c r="E36" s="29">
        <v>218</v>
      </c>
      <c r="F36" s="29">
        <v>218</v>
      </c>
      <c r="G36" s="29">
        <v>1250</v>
      </c>
      <c r="H36" s="37">
        <v>2500</v>
      </c>
      <c r="I36" s="20"/>
    </row>
    <row r="37" spans="1:9" x14ac:dyDescent="0.3">
      <c r="A37" s="20"/>
      <c r="B37" s="35">
        <v>41438</v>
      </c>
      <c r="C37" s="29" t="s">
        <v>23</v>
      </c>
      <c r="D37" s="36" t="s">
        <v>25</v>
      </c>
      <c r="E37" s="29">
        <v>5570</v>
      </c>
      <c r="F37" s="29">
        <v>5540</v>
      </c>
      <c r="G37" s="29">
        <v>100</v>
      </c>
      <c r="H37" s="37">
        <v>3000</v>
      </c>
      <c r="I37" s="20"/>
    </row>
    <row r="38" spans="1:9" x14ac:dyDescent="0.3">
      <c r="A38" s="20"/>
      <c r="B38" s="35">
        <v>41439</v>
      </c>
      <c r="C38" s="29" t="s">
        <v>23</v>
      </c>
      <c r="D38" s="36" t="s">
        <v>25</v>
      </c>
      <c r="E38" s="29">
        <v>5593</v>
      </c>
      <c r="F38" s="29">
        <v>5565</v>
      </c>
      <c r="G38" s="29">
        <v>100</v>
      </c>
      <c r="H38" s="37">
        <v>2800</v>
      </c>
      <c r="I38" s="20"/>
    </row>
    <row r="39" spans="1:9" x14ac:dyDescent="0.3">
      <c r="A39" s="20"/>
      <c r="B39" s="35">
        <v>41442</v>
      </c>
      <c r="C39" s="29" t="s">
        <v>23</v>
      </c>
      <c r="D39" s="36" t="s">
        <v>25</v>
      </c>
      <c r="E39" s="29">
        <v>5645</v>
      </c>
      <c r="F39" s="29">
        <v>5670</v>
      </c>
      <c r="G39" s="29">
        <v>100</v>
      </c>
      <c r="H39" s="37">
        <v>2500</v>
      </c>
      <c r="I39" s="20"/>
    </row>
    <row r="40" spans="1:9" x14ac:dyDescent="0.3">
      <c r="A40" s="20"/>
      <c r="B40" s="35">
        <v>41443</v>
      </c>
      <c r="C40" s="29" t="s">
        <v>23</v>
      </c>
      <c r="D40" s="36" t="s">
        <v>25</v>
      </c>
      <c r="E40" s="29">
        <v>5718</v>
      </c>
      <c r="F40" s="29">
        <v>5702</v>
      </c>
      <c r="G40" s="29">
        <v>100</v>
      </c>
      <c r="H40" s="37">
        <v>1600</v>
      </c>
      <c r="I40" s="20"/>
    </row>
    <row r="41" spans="1:9" x14ac:dyDescent="0.3">
      <c r="A41" s="20"/>
      <c r="B41" s="35">
        <v>41444</v>
      </c>
      <c r="C41" s="29" t="s">
        <v>16</v>
      </c>
      <c r="D41" s="29" t="s">
        <v>25</v>
      </c>
      <c r="E41" s="29">
        <v>5815</v>
      </c>
      <c r="F41" s="29">
        <v>5845</v>
      </c>
      <c r="G41" s="29">
        <v>100</v>
      </c>
      <c r="H41" s="37">
        <v>3000</v>
      </c>
      <c r="I41" s="20"/>
    </row>
    <row r="42" spans="1:9" x14ac:dyDescent="0.3">
      <c r="A42" s="20"/>
      <c r="B42" s="35">
        <v>41445</v>
      </c>
      <c r="C42" s="29" t="s">
        <v>23</v>
      </c>
      <c r="D42" s="36" t="s">
        <v>25</v>
      </c>
      <c r="E42" s="29">
        <v>5788</v>
      </c>
      <c r="F42" s="29">
        <v>5768</v>
      </c>
      <c r="G42" s="29">
        <v>100</v>
      </c>
      <c r="H42" s="37">
        <v>2000</v>
      </c>
      <c r="I42" s="20"/>
    </row>
    <row r="43" spans="1:9" x14ac:dyDescent="0.3">
      <c r="A43" s="20"/>
      <c r="B43" s="35">
        <v>41446</v>
      </c>
      <c r="C43" s="29" t="s">
        <v>23</v>
      </c>
      <c r="D43" s="36" t="s">
        <v>25</v>
      </c>
      <c r="E43" s="29">
        <v>5670</v>
      </c>
      <c r="F43" s="29">
        <v>5690</v>
      </c>
      <c r="G43" s="29">
        <v>100</v>
      </c>
      <c r="H43" s="37">
        <v>-2000</v>
      </c>
      <c r="I43" s="20"/>
    </row>
    <row r="44" spans="1:9" x14ac:dyDescent="0.3">
      <c r="A44" s="20"/>
      <c r="B44" s="35">
        <v>41449</v>
      </c>
      <c r="C44" s="29" t="s">
        <v>16</v>
      </c>
      <c r="D44" s="36" t="s">
        <v>25</v>
      </c>
      <c r="E44" s="29">
        <v>5610</v>
      </c>
      <c r="F44" s="29">
        <v>5635</v>
      </c>
      <c r="G44" s="29">
        <v>100</v>
      </c>
      <c r="H44" s="37">
        <v>2500</v>
      </c>
      <c r="I44" s="20"/>
    </row>
    <row r="45" spans="1:9" x14ac:dyDescent="0.3">
      <c r="A45" s="20"/>
      <c r="B45" s="35">
        <v>41450</v>
      </c>
      <c r="C45" s="29" t="s">
        <v>23</v>
      </c>
      <c r="D45" s="36" t="s">
        <v>25</v>
      </c>
      <c r="E45" s="29">
        <v>5715</v>
      </c>
      <c r="F45" s="29">
        <v>5695</v>
      </c>
      <c r="G45" s="29">
        <v>100</v>
      </c>
      <c r="H45" s="37">
        <v>2000</v>
      </c>
      <c r="I45" s="20"/>
    </row>
    <row r="46" spans="1:9" x14ac:dyDescent="0.3">
      <c r="A46" s="20"/>
      <c r="B46" s="35">
        <v>41451</v>
      </c>
      <c r="C46" s="29" t="s">
        <v>16</v>
      </c>
      <c r="D46" s="36" t="s">
        <v>25</v>
      </c>
      <c r="E46" s="29">
        <v>5720</v>
      </c>
      <c r="F46" s="29">
        <v>5750</v>
      </c>
      <c r="G46" s="29">
        <v>100</v>
      </c>
      <c r="H46" s="37">
        <v>3000</v>
      </c>
      <c r="I46" s="20"/>
    </row>
    <row r="47" spans="1:9" x14ac:dyDescent="0.3">
      <c r="A47" s="20"/>
      <c r="B47" s="35">
        <v>41452</v>
      </c>
      <c r="C47" s="29" t="s">
        <v>16</v>
      </c>
      <c r="D47" s="36" t="s">
        <v>25</v>
      </c>
      <c r="E47" s="29">
        <v>5785</v>
      </c>
      <c r="F47" s="29">
        <v>5810</v>
      </c>
      <c r="G47" s="29">
        <v>100</v>
      </c>
      <c r="H47" s="37">
        <v>2500</v>
      </c>
      <c r="I47" s="20"/>
    </row>
    <row r="48" spans="1:9" x14ac:dyDescent="0.3">
      <c r="A48" s="20"/>
      <c r="B48" s="35">
        <v>41453</v>
      </c>
      <c r="C48" s="37" t="s">
        <v>23</v>
      </c>
      <c r="D48" s="37" t="s">
        <v>25</v>
      </c>
      <c r="E48" s="37">
        <v>5820</v>
      </c>
      <c r="F48" s="37">
        <v>5800</v>
      </c>
      <c r="G48" s="37">
        <v>100</v>
      </c>
      <c r="H48" s="37">
        <v>2000</v>
      </c>
      <c r="I48" s="20"/>
    </row>
    <row r="49" spans="1:9" x14ac:dyDescent="0.3">
      <c r="A49" s="20"/>
      <c r="B49" s="27"/>
      <c r="C49" s="37"/>
      <c r="D49" s="37"/>
      <c r="E49" s="37"/>
      <c r="F49" s="37"/>
      <c r="G49" s="37"/>
      <c r="H49" s="38">
        <v>36500</v>
      </c>
      <c r="I49" s="20"/>
    </row>
    <row r="50" spans="1:9" x14ac:dyDescent="0.3">
      <c r="A50" s="20"/>
      <c r="B50" s="27"/>
      <c r="C50" s="27"/>
      <c r="D50" s="27"/>
      <c r="E50" s="27"/>
      <c r="F50" s="27"/>
      <c r="G50" s="27"/>
      <c r="I50" s="20"/>
    </row>
    <row r="51" spans="1:9" x14ac:dyDescent="0.3">
      <c r="A51" s="20"/>
      <c r="B51" s="18"/>
      <c r="C51" s="18"/>
      <c r="D51" s="18"/>
      <c r="E51" s="18"/>
      <c r="F51" s="18"/>
      <c r="G51" s="18"/>
      <c r="H51" s="18"/>
      <c r="I51" s="20"/>
    </row>
    <row r="52" spans="1:9" ht="15.6" x14ac:dyDescent="0.3">
      <c r="A52" s="20"/>
      <c r="B52" s="295" t="s">
        <v>51</v>
      </c>
      <c r="C52" s="295"/>
      <c r="D52" s="295"/>
      <c r="E52" s="295"/>
      <c r="F52" s="295"/>
      <c r="G52" s="295"/>
      <c r="H52" s="295"/>
      <c r="I52" s="20"/>
    </row>
    <row r="53" spans="1:9" x14ac:dyDescent="0.3">
      <c r="A53" s="20"/>
      <c r="B53" s="35">
        <v>41428</v>
      </c>
      <c r="C53" s="29" t="s">
        <v>16</v>
      </c>
      <c r="D53" s="36" t="s">
        <v>29</v>
      </c>
      <c r="E53" s="29">
        <v>415.5</v>
      </c>
      <c r="F53" s="29">
        <v>419.6</v>
      </c>
      <c r="G53" s="29">
        <v>1000</v>
      </c>
      <c r="H53" s="29">
        <v>4100.0000000000227</v>
      </c>
      <c r="I53" s="20"/>
    </row>
    <row r="54" spans="1:9" x14ac:dyDescent="0.3">
      <c r="A54" s="20"/>
      <c r="B54" s="35">
        <v>41429</v>
      </c>
      <c r="C54" s="29" t="s">
        <v>16</v>
      </c>
      <c r="D54" s="36" t="s">
        <v>35</v>
      </c>
      <c r="E54" s="29">
        <v>858</v>
      </c>
      <c r="F54" s="29">
        <v>869.5</v>
      </c>
      <c r="G54" s="29">
        <v>250</v>
      </c>
      <c r="H54" s="29">
        <v>2875</v>
      </c>
      <c r="I54" s="20"/>
    </row>
    <row r="55" spans="1:9" x14ac:dyDescent="0.3">
      <c r="A55" s="20"/>
      <c r="B55" s="35">
        <v>41430</v>
      </c>
      <c r="C55" s="29" t="s">
        <v>16</v>
      </c>
      <c r="D55" s="36" t="s">
        <v>35</v>
      </c>
      <c r="E55" s="29">
        <v>862</v>
      </c>
      <c r="F55" s="29">
        <v>872.9</v>
      </c>
      <c r="G55" s="29">
        <v>250</v>
      </c>
      <c r="H55" s="29">
        <v>2724.9999999999945</v>
      </c>
      <c r="I55" s="20"/>
    </row>
    <row r="56" spans="1:9" x14ac:dyDescent="0.3">
      <c r="A56" s="20"/>
      <c r="B56" s="35">
        <v>41431</v>
      </c>
      <c r="C56" s="29" t="s">
        <v>23</v>
      </c>
      <c r="D56" s="36" t="s">
        <v>35</v>
      </c>
      <c r="E56" s="29">
        <v>861</v>
      </c>
      <c r="F56" s="29">
        <v>865</v>
      </c>
      <c r="G56" s="29">
        <v>250</v>
      </c>
      <c r="H56" s="29">
        <v>-1000</v>
      </c>
      <c r="I56" s="20"/>
    </row>
    <row r="57" spans="1:9" x14ac:dyDescent="0.3">
      <c r="A57" s="20"/>
      <c r="B57" s="35">
        <v>41432</v>
      </c>
      <c r="C57" s="29" t="s">
        <v>16</v>
      </c>
      <c r="D57" s="36" t="s">
        <v>28</v>
      </c>
      <c r="E57" s="29">
        <v>109.5</v>
      </c>
      <c r="F57" s="29">
        <v>110.05</v>
      </c>
      <c r="G57" s="29">
        <v>5000</v>
      </c>
      <c r="H57" s="29">
        <v>2749.9999999999859</v>
      </c>
      <c r="I57" s="20"/>
    </row>
    <row r="58" spans="1:9" x14ac:dyDescent="0.3">
      <c r="A58" s="20"/>
      <c r="B58" s="35">
        <v>41435</v>
      </c>
      <c r="C58" s="29" t="s">
        <v>23</v>
      </c>
      <c r="D58" s="36" t="s">
        <v>27</v>
      </c>
      <c r="E58" s="29">
        <v>123.25</v>
      </c>
      <c r="F58" s="29">
        <v>122.55</v>
      </c>
      <c r="G58" s="29">
        <v>5000</v>
      </c>
      <c r="H58" s="29">
        <v>3500.0000000000141</v>
      </c>
      <c r="I58" s="20"/>
    </row>
    <row r="59" spans="1:9" x14ac:dyDescent="0.3">
      <c r="A59" s="20"/>
      <c r="B59" s="35">
        <v>41436</v>
      </c>
      <c r="C59" s="29" t="s">
        <v>23</v>
      </c>
      <c r="D59" s="36" t="s">
        <v>27</v>
      </c>
      <c r="E59" s="29">
        <v>126</v>
      </c>
      <c r="F59" s="29">
        <v>125</v>
      </c>
      <c r="G59" s="29">
        <v>5000</v>
      </c>
      <c r="H59" s="37">
        <v>5000</v>
      </c>
      <c r="I59" s="20"/>
    </row>
    <row r="60" spans="1:9" x14ac:dyDescent="0.3">
      <c r="A60" s="20"/>
      <c r="B60" s="35">
        <v>41437</v>
      </c>
      <c r="C60" s="29" t="s">
        <v>23</v>
      </c>
      <c r="D60" s="36" t="s">
        <v>27</v>
      </c>
      <c r="E60" s="29">
        <v>123.5</v>
      </c>
      <c r="F60" s="29">
        <v>122.5</v>
      </c>
      <c r="G60" s="29">
        <v>5000</v>
      </c>
      <c r="H60" s="37">
        <v>5000</v>
      </c>
      <c r="I60" s="20"/>
    </row>
    <row r="61" spans="1:9" x14ac:dyDescent="0.3">
      <c r="A61" s="20"/>
      <c r="B61" s="35">
        <v>41438</v>
      </c>
      <c r="C61" s="29" t="s">
        <v>23</v>
      </c>
      <c r="D61" s="29" t="s">
        <v>29</v>
      </c>
      <c r="E61" s="29">
        <v>415</v>
      </c>
      <c r="F61" s="29">
        <v>412</v>
      </c>
      <c r="G61" s="29">
        <v>1000</v>
      </c>
      <c r="H61" s="37">
        <v>3000</v>
      </c>
      <c r="I61" s="20"/>
    </row>
    <row r="62" spans="1:9" x14ac:dyDescent="0.3">
      <c r="A62" s="20"/>
      <c r="B62" s="35">
        <v>41439</v>
      </c>
      <c r="C62" s="39" t="s">
        <v>23</v>
      </c>
      <c r="D62" s="40" t="s">
        <v>29</v>
      </c>
      <c r="E62" s="39">
        <v>411</v>
      </c>
      <c r="F62" s="39">
        <v>408</v>
      </c>
      <c r="G62" s="39">
        <v>1000</v>
      </c>
      <c r="H62" s="41">
        <v>3000</v>
      </c>
      <c r="I62" s="20"/>
    </row>
    <row r="63" spans="1:9" x14ac:dyDescent="0.3">
      <c r="A63" s="20"/>
      <c r="B63" s="35">
        <v>41442</v>
      </c>
      <c r="C63" s="29" t="s">
        <v>23</v>
      </c>
      <c r="D63" s="36" t="s">
        <v>29</v>
      </c>
      <c r="E63" s="29">
        <v>411.5</v>
      </c>
      <c r="F63" s="29">
        <v>408</v>
      </c>
      <c r="G63" s="29">
        <v>1000</v>
      </c>
      <c r="H63" s="37">
        <v>3500</v>
      </c>
      <c r="I63" s="20"/>
    </row>
    <row r="64" spans="1:9" x14ac:dyDescent="0.3">
      <c r="A64" s="20"/>
      <c r="B64" s="35">
        <v>41443</v>
      </c>
      <c r="C64" s="29" t="s">
        <v>16</v>
      </c>
      <c r="D64" s="36" t="s">
        <v>27</v>
      </c>
      <c r="E64" s="29">
        <v>122.5</v>
      </c>
      <c r="F64" s="29">
        <v>123</v>
      </c>
      <c r="G64" s="29">
        <v>5000</v>
      </c>
      <c r="H64" s="37">
        <v>2500</v>
      </c>
      <c r="I64" s="20"/>
    </row>
    <row r="65" spans="1:9" x14ac:dyDescent="0.3">
      <c r="A65" s="20"/>
      <c r="B65" s="35">
        <v>41444</v>
      </c>
      <c r="C65" s="29" t="s">
        <v>23</v>
      </c>
      <c r="D65" s="36" t="s">
        <v>27</v>
      </c>
      <c r="E65" s="29">
        <v>123</v>
      </c>
      <c r="F65" s="29">
        <v>122</v>
      </c>
      <c r="G65" s="29">
        <v>5000</v>
      </c>
      <c r="H65" s="37">
        <v>5000</v>
      </c>
      <c r="I65" s="20"/>
    </row>
    <row r="66" spans="1:9" x14ac:dyDescent="0.3">
      <c r="A66" s="20"/>
      <c r="B66" s="35">
        <v>41445</v>
      </c>
      <c r="C66" s="29" t="s">
        <v>23</v>
      </c>
      <c r="D66" s="36" t="s">
        <v>27</v>
      </c>
      <c r="E66" s="29">
        <v>120</v>
      </c>
      <c r="F66" s="29">
        <v>121</v>
      </c>
      <c r="G66" s="29">
        <v>5000</v>
      </c>
      <c r="H66" s="37">
        <v>-5000</v>
      </c>
      <c r="I66" s="20"/>
    </row>
    <row r="67" spans="1:9" x14ac:dyDescent="0.3">
      <c r="A67" s="20"/>
      <c r="B67" s="35">
        <v>41446</v>
      </c>
      <c r="C67" s="29" t="s">
        <v>23</v>
      </c>
      <c r="D67" s="36" t="s">
        <v>27</v>
      </c>
      <c r="E67" s="29">
        <v>120.3</v>
      </c>
      <c r="F67" s="29">
        <v>119.3</v>
      </c>
      <c r="G67" s="29">
        <v>5000</v>
      </c>
      <c r="H67" s="37">
        <v>5000</v>
      </c>
      <c r="I67" s="20"/>
    </row>
    <row r="68" spans="1:9" x14ac:dyDescent="0.3">
      <c r="A68" s="20"/>
      <c r="B68" s="35">
        <v>41449</v>
      </c>
      <c r="C68" s="29" t="s">
        <v>16</v>
      </c>
      <c r="D68" s="29" t="s">
        <v>27</v>
      </c>
      <c r="E68" s="29">
        <v>118.5</v>
      </c>
      <c r="F68" s="29">
        <v>119.3</v>
      </c>
      <c r="G68" s="29">
        <v>5000</v>
      </c>
      <c r="H68" s="37">
        <v>2500</v>
      </c>
      <c r="I68" s="20"/>
    </row>
    <row r="69" spans="1:9" x14ac:dyDescent="0.3">
      <c r="A69" s="20"/>
      <c r="B69" s="35">
        <v>41450</v>
      </c>
      <c r="C69" s="29" t="s">
        <v>16</v>
      </c>
      <c r="D69" s="36" t="s">
        <v>27</v>
      </c>
      <c r="E69" s="29">
        <v>119.6</v>
      </c>
      <c r="F69" s="29">
        <v>120.6</v>
      </c>
      <c r="G69" s="29">
        <v>5000</v>
      </c>
      <c r="H69" s="37">
        <v>5000</v>
      </c>
      <c r="I69" s="20"/>
    </row>
    <row r="70" spans="1:9" x14ac:dyDescent="0.3">
      <c r="A70" s="20"/>
      <c r="B70" s="35">
        <v>41451</v>
      </c>
      <c r="C70" s="29" t="s">
        <v>16</v>
      </c>
      <c r="D70" s="36" t="s">
        <v>28</v>
      </c>
      <c r="E70" s="29">
        <v>108.5</v>
      </c>
      <c r="F70" s="29">
        <v>109.5</v>
      </c>
      <c r="G70" s="29">
        <v>5000</v>
      </c>
      <c r="H70" s="37">
        <v>5000</v>
      </c>
      <c r="I70" s="20"/>
    </row>
    <row r="71" spans="1:9" x14ac:dyDescent="0.3">
      <c r="A71" s="20"/>
      <c r="B71" s="35">
        <v>41452</v>
      </c>
      <c r="C71" s="29" t="s">
        <v>23</v>
      </c>
      <c r="D71" s="36" t="s">
        <v>29</v>
      </c>
      <c r="E71" s="29">
        <v>407</v>
      </c>
      <c r="F71" s="29">
        <v>404</v>
      </c>
      <c r="G71" s="29">
        <v>1000</v>
      </c>
      <c r="H71" s="37">
        <v>3000</v>
      </c>
      <c r="I71" s="20"/>
    </row>
    <row r="72" spans="1:9" x14ac:dyDescent="0.3">
      <c r="A72" s="20"/>
      <c r="B72" s="35"/>
      <c r="C72" s="29"/>
      <c r="D72" s="29"/>
      <c r="E72" s="29"/>
      <c r="F72" s="29"/>
      <c r="G72" s="29"/>
      <c r="H72" s="38">
        <v>57450</v>
      </c>
      <c r="I72" s="20"/>
    </row>
    <row r="73" spans="1:9" x14ac:dyDescent="0.3">
      <c r="A73" s="20"/>
      <c r="B73" s="22"/>
      <c r="C73" s="29"/>
      <c r="D73" s="29"/>
      <c r="E73" s="29"/>
      <c r="F73" s="29"/>
      <c r="G73" s="29"/>
      <c r="H73" s="37"/>
      <c r="I73" s="20"/>
    </row>
    <row r="74" spans="1:9" x14ac:dyDescent="0.3">
      <c r="A74" s="20"/>
      <c r="B74" s="27"/>
      <c r="C74" s="27"/>
      <c r="D74" s="27"/>
      <c r="E74" s="27"/>
      <c r="F74" s="27"/>
      <c r="G74" s="27"/>
      <c r="H74" s="30"/>
      <c r="I74" s="20"/>
    </row>
    <row r="75" spans="1:9" x14ac:dyDescent="0.3">
      <c r="A75" s="20"/>
      <c r="B75" s="18"/>
      <c r="C75" s="18"/>
      <c r="D75" s="18"/>
      <c r="E75" s="18"/>
      <c r="F75" s="18"/>
      <c r="G75" s="18"/>
      <c r="H75" s="18"/>
      <c r="I75" s="20"/>
    </row>
    <row r="76" spans="1:9" x14ac:dyDescent="0.3">
      <c r="A76" s="20"/>
      <c r="B76" s="18"/>
      <c r="C76" s="18"/>
      <c r="D76" s="18"/>
      <c r="E76" s="18"/>
      <c r="F76" s="18"/>
      <c r="G76" s="18"/>
      <c r="H76" s="18"/>
      <c r="I76" s="20"/>
    </row>
    <row r="77" spans="1:9" x14ac:dyDescent="0.3">
      <c r="A77" s="20"/>
      <c r="B77" s="18"/>
      <c r="C77" s="18"/>
      <c r="D77" s="18"/>
      <c r="E77" s="18"/>
      <c r="F77" s="18"/>
      <c r="G77" s="18"/>
      <c r="H77" s="18"/>
      <c r="I77" s="20"/>
    </row>
    <row r="78" spans="1:9" x14ac:dyDescent="0.3">
      <c r="A78" s="20"/>
      <c r="B78" s="18"/>
      <c r="C78" s="18"/>
      <c r="D78" s="18"/>
      <c r="E78" s="18"/>
      <c r="F78" s="18"/>
      <c r="G78" s="18"/>
      <c r="H78" s="18"/>
      <c r="I78" s="20"/>
    </row>
    <row r="79" spans="1:9" x14ac:dyDescent="0.3">
      <c r="A79" s="20"/>
      <c r="B79" s="18"/>
      <c r="C79" s="18"/>
      <c r="D79" s="18"/>
      <c r="E79" s="18"/>
      <c r="F79" s="18"/>
      <c r="G79" s="18"/>
      <c r="H79" s="18"/>
      <c r="I79" s="20"/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600-000000000000}"/>
  </hyperlinks>
  <pageMargins left="0.7" right="0.7" top="0.75" bottom="0.75" header="0.3" footer="0.3"/>
  <pageSetup orientation="portrait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W92"/>
  <sheetViews>
    <sheetView topLeftCell="A10" workbookViewId="0">
      <selection activeCell="M23" sqref="M2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43344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17</v>
      </c>
      <c r="O4" s="355">
        <f>V29</f>
        <v>16</v>
      </c>
      <c r="P4" s="355">
        <f>W29</f>
        <v>1</v>
      </c>
      <c r="Q4" s="356">
        <f>N4-O4-P4</f>
        <v>0</v>
      </c>
      <c r="R4" s="343">
        <f>O4/N4</f>
        <v>0.94117647058823528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43346</v>
      </c>
      <c r="D6" s="192" t="s">
        <v>16</v>
      </c>
      <c r="E6" s="192" t="s">
        <v>24</v>
      </c>
      <c r="F6" s="193">
        <v>30130</v>
      </c>
      <c r="G6" s="193">
        <v>30260</v>
      </c>
      <c r="H6" s="192">
        <v>130</v>
      </c>
      <c r="I6" s="193">
        <v>100</v>
      </c>
      <c r="J6" s="267">
        <f>H6*I6</f>
        <v>13000</v>
      </c>
      <c r="K6" s="185"/>
      <c r="M6" s="362" t="s">
        <v>258</v>
      </c>
      <c r="N6" s="347">
        <f>COUNT(C37:C59)</f>
        <v>17</v>
      </c>
      <c r="O6" s="348">
        <f>V60</f>
        <v>10</v>
      </c>
      <c r="P6" s="348">
        <f>W60</f>
        <v>7</v>
      </c>
      <c r="Q6" s="349">
        <f>N6-O6-P6</f>
        <v>0</v>
      </c>
      <c r="R6" s="345">
        <f t="shared" ref="R6" si="0">O6/N6</f>
        <v>0.58823529411764708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43348</v>
      </c>
      <c r="D7" s="196" t="s">
        <v>16</v>
      </c>
      <c r="E7" s="196" t="s">
        <v>24</v>
      </c>
      <c r="F7" s="197">
        <v>30280</v>
      </c>
      <c r="G7" s="197">
        <v>30430</v>
      </c>
      <c r="H7" s="196">
        <v>150</v>
      </c>
      <c r="I7" s="197">
        <v>100</v>
      </c>
      <c r="J7" s="268">
        <f t="shared" ref="J7:J28" si="1">H7*I7</f>
        <v>15000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43349</v>
      </c>
      <c r="D8" s="196" t="s">
        <v>16</v>
      </c>
      <c r="E8" s="196" t="s">
        <v>24</v>
      </c>
      <c r="F8" s="197">
        <v>30480</v>
      </c>
      <c r="G8" s="197">
        <v>30680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COUNT(C68:C90)</f>
        <v>17</v>
      </c>
      <c r="O8" s="348">
        <f>V91</f>
        <v>15</v>
      </c>
      <c r="P8" s="348">
        <f>W91</f>
        <v>2</v>
      </c>
      <c r="Q8" s="349">
        <f>N8-O8-P8</f>
        <v>0</v>
      </c>
      <c r="R8" s="345">
        <f t="shared" ref="R8" si="4">O8/N8</f>
        <v>0.88235294117647056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43350</v>
      </c>
      <c r="D9" s="196" t="s">
        <v>16</v>
      </c>
      <c r="E9" s="196" t="s">
        <v>24</v>
      </c>
      <c r="F9" s="197">
        <v>30460</v>
      </c>
      <c r="G9" s="197">
        <v>30520</v>
      </c>
      <c r="H9" s="196">
        <v>60</v>
      </c>
      <c r="I9" s="197">
        <v>100</v>
      </c>
      <c r="J9" s="268">
        <f t="shared" si="1"/>
        <v>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43353</v>
      </c>
      <c r="D10" s="196" t="s">
        <v>16</v>
      </c>
      <c r="E10" s="196" t="s">
        <v>24</v>
      </c>
      <c r="F10" s="197">
        <v>30560</v>
      </c>
      <c r="G10" s="197">
        <v>30700</v>
      </c>
      <c r="H10" s="196">
        <v>140</v>
      </c>
      <c r="I10" s="197">
        <v>100</v>
      </c>
      <c r="J10" s="268">
        <f t="shared" si="1"/>
        <v>14000</v>
      </c>
      <c r="K10" s="185"/>
      <c r="M10" s="319" t="s">
        <v>300</v>
      </c>
      <c r="N10" s="321">
        <f>SUM(N4:N9)</f>
        <v>51</v>
      </c>
      <c r="O10" s="321">
        <f>SUM(O4:O9)</f>
        <v>41</v>
      </c>
      <c r="P10" s="321">
        <f>SUM(P4:P9)</f>
        <v>10</v>
      </c>
      <c r="Q10" s="341">
        <f>SUM(Q4:Q9)</f>
        <v>0</v>
      </c>
      <c r="R10" s="343">
        <f t="shared" ref="R10" si="5">O10/N10</f>
        <v>0.80392156862745101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43354</v>
      </c>
      <c r="D11" s="196" t="s">
        <v>16</v>
      </c>
      <c r="E11" s="196" t="s">
        <v>24</v>
      </c>
      <c r="F11" s="197">
        <v>30560</v>
      </c>
      <c r="G11" s="197">
        <v>30710</v>
      </c>
      <c r="H11" s="196">
        <v>150</v>
      </c>
      <c r="I11" s="197">
        <v>100</v>
      </c>
      <c r="J11" s="268">
        <f t="shared" si="1"/>
        <v>15000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43355</v>
      </c>
      <c r="D12" s="196" t="s">
        <v>23</v>
      </c>
      <c r="E12" s="196" t="s">
        <v>24</v>
      </c>
      <c r="F12" s="197">
        <v>30720</v>
      </c>
      <c r="G12" s="197">
        <v>30520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0.80392156862745101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43357</v>
      </c>
      <c r="D13" s="196" t="s">
        <v>16</v>
      </c>
      <c r="E13" s="196" t="s">
        <v>24</v>
      </c>
      <c r="F13" s="197">
        <v>30540</v>
      </c>
      <c r="G13" s="197">
        <v>30630</v>
      </c>
      <c r="H13" s="196">
        <v>90</v>
      </c>
      <c r="I13" s="197">
        <v>100</v>
      </c>
      <c r="J13" s="268">
        <f t="shared" si="1"/>
        <v>9000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43360</v>
      </c>
      <c r="D14" s="196" t="s">
        <v>16</v>
      </c>
      <c r="E14" s="196" t="s">
        <v>24</v>
      </c>
      <c r="F14" s="197">
        <v>30600</v>
      </c>
      <c r="G14" s="197">
        <v>30800</v>
      </c>
      <c r="H14" s="196">
        <v>200</v>
      </c>
      <c r="I14" s="197">
        <v>100</v>
      </c>
      <c r="J14" s="268">
        <f t="shared" si="1"/>
        <v>20000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43361</v>
      </c>
      <c r="D15" s="196" t="s">
        <v>16</v>
      </c>
      <c r="E15" s="196" t="s">
        <v>24</v>
      </c>
      <c r="F15" s="197">
        <v>30660</v>
      </c>
      <c r="G15" s="197">
        <v>30860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43362</v>
      </c>
      <c r="D16" s="196" t="s">
        <v>23</v>
      </c>
      <c r="E16" s="196" t="s">
        <v>24</v>
      </c>
      <c r="F16" s="197">
        <v>30850</v>
      </c>
      <c r="G16" s="197">
        <v>30650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43364</v>
      </c>
      <c r="D17" s="196" t="s">
        <v>16</v>
      </c>
      <c r="E17" s="196" t="s">
        <v>24</v>
      </c>
      <c r="F17" s="197">
        <v>30680</v>
      </c>
      <c r="G17" s="197">
        <v>30880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43367</v>
      </c>
      <c r="D18" s="196" t="s">
        <v>16</v>
      </c>
      <c r="E18" s="196" t="s">
        <v>24</v>
      </c>
      <c r="F18" s="197">
        <v>30650</v>
      </c>
      <c r="G18" s="197">
        <v>30850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43368</v>
      </c>
      <c r="D19" s="196" t="s">
        <v>16</v>
      </c>
      <c r="E19" s="196" t="s">
        <v>24</v>
      </c>
      <c r="F19" s="197">
        <v>30780</v>
      </c>
      <c r="G19" s="197">
        <v>30840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43369</v>
      </c>
      <c r="D20" s="196" t="s">
        <v>16</v>
      </c>
      <c r="E20" s="196" t="s">
        <v>24</v>
      </c>
      <c r="F20" s="197">
        <v>30730</v>
      </c>
      <c r="G20" s="197">
        <v>30630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43370</v>
      </c>
      <c r="D21" s="196" t="s">
        <v>16</v>
      </c>
      <c r="E21" s="196" t="s">
        <v>24</v>
      </c>
      <c r="F21" s="197">
        <v>30620</v>
      </c>
      <c r="G21" s="197">
        <v>30520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43371</v>
      </c>
      <c r="D22" s="196" t="s">
        <v>16</v>
      </c>
      <c r="E22" s="196" t="s">
        <v>24</v>
      </c>
      <c r="F22" s="197">
        <v>30280</v>
      </c>
      <c r="G22" s="197">
        <v>30480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/>
      <c r="D23" s="196"/>
      <c r="E23" s="196"/>
      <c r="F23" s="197"/>
      <c r="G23" s="197"/>
      <c r="H23" s="196"/>
      <c r="I23" s="197"/>
      <c r="J23" s="268">
        <f t="shared" si="1"/>
        <v>0</v>
      </c>
      <c r="K23" s="185"/>
      <c r="V23" s="183">
        <f t="shared" si="2"/>
        <v>0</v>
      </c>
      <c r="W23" s="183">
        <f t="shared" si="3"/>
        <v>0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238000</v>
      </c>
      <c r="K29" s="185"/>
      <c r="V29" s="183">
        <f>SUM(V6:V28)</f>
        <v>16</v>
      </c>
      <c r="W29" s="183">
        <f>SUM(W6:W28)</f>
        <v>1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43344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43346</v>
      </c>
      <c r="D37" s="192" t="s">
        <v>16</v>
      </c>
      <c r="E37" s="192" t="s">
        <v>25</v>
      </c>
      <c r="F37" s="193">
        <v>4950</v>
      </c>
      <c r="G37" s="193">
        <v>4990</v>
      </c>
      <c r="H37" s="192">
        <v>40</v>
      </c>
      <c r="I37" s="193">
        <v>100</v>
      </c>
      <c r="J37" s="267">
        <f t="shared" ref="J37:J59" si="6">I37*H37</f>
        <v>4000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43348</v>
      </c>
      <c r="D38" s="196" t="s">
        <v>23</v>
      </c>
      <c r="E38" s="196" t="s">
        <v>25</v>
      </c>
      <c r="F38" s="197">
        <v>4975</v>
      </c>
      <c r="G38" s="197">
        <v>4945</v>
      </c>
      <c r="H38" s="196">
        <v>30</v>
      </c>
      <c r="I38" s="197">
        <v>100</v>
      </c>
      <c r="J38" s="268">
        <f t="shared" si="6"/>
        <v>3000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43349</v>
      </c>
      <c r="D39" s="196" t="s">
        <v>23</v>
      </c>
      <c r="E39" s="196" t="s">
        <v>25</v>
      </c>
      <c r="F39" s="197">
        <v>4950</v>
      </c>
      <c r="G39" s="197">
        <v>4890</v>
      </c>
      <c r="H39" s="196">
        <v>60</v>
      </c>
      <c r="I39" s="197">
        <v>100</v>
      </c>
      <c r="J39" s="268">
        <f t="shared" si="6"/>
        <v>6000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43350</v>
      </c>
      <c r="D40" s="196" t="s">
        <v>16</v>
      </c>
      <c r="E40" s="196" t="s">
        <v>25</v>
      </c>
      <c r="F40" s="197">
        <v>4880</v>
      </c>
      <c r="G40" s="197">
        <v>4850</v>
      </c>
      <c r="H40" s="196">
        <v>-30</v>
      </c>
      <c r="I40" s="197">
        <v>100</v>
      </c>
      <c r="J40" s="268">
        <f t="shared" si="6"/>
        <v>-3000</v>
      </c>
      <c r="K40" s="185"/>
      <c r="V40" s="183">
        <f t="shared" si="7"/>
        <v>0</v>
      </c>
      <c r="W40" s="183">
        <f t="shared" si="8"/>
        <v>1</v>
      </c>
    </row>
    <row r="41" spans="1:23" x14ac:dyDescent="0.3">
      <c r="A41" s="184"/>
      <c r="B41" s="194">
        <v>5</v>
      </c>
      <c r="C41" s="195">
        <v>43353</v>
      </c>
      <c r="D41" s="196" t="s">
        <v>23</v>
      </c>
      <c r="E41" s="196" t="s">
        <v>25</v>
      </c>
      <c r="F41" s="197">
        <v>4955</v>
      </c>
      <c r="G41" s="197">
        <v>4895</v>
      </c>
      <c r="H41" s="196">
        <v>60</v>
      </c>
      <c r="I41" s="197">
        <v>100</v>
      </c>
      <c r="J41" s="268">
        <f t="shared" si="6"/>
        <v>6000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43354</v>
      </c>
      <c r="D42" s="196" t="s">
        <v>23</v>
      </c>
      <c r="E42" s="196" t="s">
        <v>25</v>
      </c>
      <c r="F42" s="197">
        <v>4930</v>
      </c>
      <c r="G42" s="197">
        <v>4960</v>
      </c>
      <c r="H42" s="196">
        <v>-30</v>
      </c>
      <c r="I42" s="197">
        <v>100</v>
      </c>
      <c r="J42" s="268">
        <f t="shared" si="6"/>
        <v>-3000</v>
      </c>
      <c r="K42" s="185"/>
      <c r="V42" s="183">
        <f t="shared" si="7"/>
        <v>0</v>
      </c>
      <c r="W42" s="183">
        <f t="shared" si="8"/>
        <v>1</v>
      </c>
    </row>
    <row r="43" spans="1:23" x14ac:dyDescent="0.3">
      <c r="A43" s="184"/>
      <c r="B43" s="194">
        <v>7</v>
      </c>
      <c r="C43" s="195">
        <v>43355</v>
      </c>
      <c r="D43" s="196" t="s">
        <v>23</v>
      </c>
      <c r="E43" s="196" t="s">
        <v>25</v>
      </c>
      <c r="F43" s="197">
        <v>5045</v>
      </c>
      <c r="G43" s="197">
        <v>5025</v>
      </c>
      <c r="H43" s="196">
        <v>20</v>
      </c>
      <c r="I43" s="197">
        <v>100</v>
      </c>
      <c r="J43" s="268">
        <f t="shared" si="6"/>
        <v>2000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43357</v>
      </c>
      <c r="D44" s="196" t="s">
        <v>23</v>
      </c>
      <c r="E44" s="196" t="s">
        <v>25</v>
      </c>
      <c r="F44" s="197">
        <v>4925</v>
      </c>
      <c r="G44" s="197">
        <v>4955</v>
      </c>
      <c r="H44" s="196">
        <v>-30</v>
      </c>
      <c r="I44" s="197">
        <v>100</v>
      </c>
      <c r="J44" s="268">
        <f t="shared" si="6"/>
        <v>-3000</v>
      </c>
      <c r="K44" s="185"/>
      <c r="V44" s="183">
        <f t="shared" si="7"/>
        <v>0</v>
      </c>
      <c r="W44" s="183">
        <f t="shared" si="8"/>
        <v>1</v>
      </c>
    </row>
    <row r="45" spans="1:23" x14ac:dyDescent="0.3">
      <c r="A45" s="184"/>
      <c r="B45" s="194">
        <v>9</v>
      </c>
      <c r="C45" s="195">
        <v>43360</v>
      </c>
      <c r="D45" s="196" t="s">
        <v>23</v>
      </c>
      <c r="E45" s="196" t="s">
        <v>25</v>
      </c>
      <c r="F45" s="197">
        <v>5020</v>
      </c>
      <c r="G45" s="197">
        <v>4980</v>
      </c>
      <c r="H45" s="196">
        <v>40</v>
      </c>
      <c r="I45" s="197">
        <v>100</v>
      </c>
      <c r="J45" s="268">
        <f t="shared" si="6"/>
        <v>4000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43361</v>
      </c>
      <c r="D46" s="196" t="s">
        <v>23</v>
      </c>
      <c r="E46" s="196" t="s">
        <v>25</v>
      </c>
      <c r="F46" s="197">
        <v>4975</v>
      </c>
      <c r="G46" s="197">
        <v>5005</v>
      </c>
      <c r="H46" s="196">
        <v>-30</v>
      </c>
      <c r="I46" s="197">
        <v>100</v>
      </c>
      <c r="J46" s="268">
        <f t="shared" si="6"/>
        <v>-3000</v>
      </c>
      <c r="K46" s="185"/>
      <c r="V46" s="183">
        <f t="shared" si="7"/>
        <v>0</v>
      </c>
      <c r="W46" s="183">
        <f t="shared" si="8"/>
        <v>1</v>
      </c>
    </row>
    <row r="47" spans="1:23" x14ac:dyDescent="0.3">
      <c r="A47" s="184"/>
      <c r="B47" s="194">
        <v>11</v>
      </c>
      <c r="C47" s="195">
        <v>43362</v>
      </c>
      <c r="D47" s="196" t="s">
        <v>23</v>
      </c>
      <c r="E47" s="196" t="s">
        <v>25</v>
      </c>
      <c r="F47" s="197">
        <v>5070</v>
      </c>
      <c r="G47" s="197">
        <v>5040</v>
      </c>
      <c r="H47" s="196">
        <v>30</v>
      </c>
      <c r="I47" s="197">
        <v>100</v>
      </c>
      <c r="J47" s="268">
        <f t="shared" si="6"/>
        <v>3000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43364</v>
      </c>
      <c r="D48" s="196" t="s">
        <v>23</v>
      </c>
      <c r="E48" s="196" t="s">
        <v>25</v>
      </c>
      <c r="F48" s="197">
        <v>5130</v>
      </c>
      <c r="G48" s="197">
        <v>5160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si="7"/>
        <v>0</v>
      </c>
      <c r="W48" s="183">
        <f t="shared" si="8"/>
        <v>1</v>
      </c>
    </row>
    <row r="49" spans="1:23" x14ac:dyDescent="0.3">
      <c r="A49" s="184"/>
      <c r="B49" s="194">
        <v>13</v>
      </c>
      <c r="C49" s="195">
        <v>43367</v>
      </c>
      <c r="D49" s="196" t="s">
        <v>23</v>
      </c>
      <c r="E49" s="196" t="s">
        <v>25</v>
      </c>
      <c r="F49" s="197">
        <v>5230</v>
      </c>
      <c r="G49" s="197">
        <v>5260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14</v>
      </c>
      <c r="C50" s="195">
        <v>43368</v>
      </c>
      <c r="D50" s="196" t="s">
        <v>16</v>
      </c>
      <c r="E50" s="196" t="s">
        <v>25</v>
      </c>
      <c r="F50" s="197">
        <v>5280</v>
      </c>
      <c r="G50" s="197">
        <v>5250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15</v>
      </c>
      <c r="C51" s="195">
        <v>43369</v>
      </c>
      <c r="D51" s="196" t="s">
        <v>23</v>
      </c>
      <c r="E51" s="196" t="s">
        <v>25</v>
      </c>
      <c r="F51" s="197">
        <v>5250</v>
      </c>
      <c r="G51" s="197">
        <v>5220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43370</v>
      </c>
      <c r="D52" s="196" t="s">
        <v>23</v>
      </c>
      <c r="E52" s="196" t="s">
        <v>25</v>
      </c>
      <c r="F52" s="197">
        <v>5270</v>
      </c>
      <c r="G52" s="197">
        <v>5225</v>
      </c>
      <c r="H52" s="196">
        <v>45</v>
      </c>
      <c r="I52" s="197">
        <v>100</v>
      </c>
      <c r="J52" s="268">
        <f t="shared" si="6"/>
        <v>4500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43371</v>
      </c>
      <c r="D53" s="196" t="s">
        <v>23</v>
      </c>
      <c r="E53" s="196" t="s">
        <v>25</v>
      </c>
      <c r="F53" s="197">
        <v>5260</v>
      </c>
      <c r="G53" s="197">
        <v>5230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/>
      <c r="D54" s="196"/>
      <c r="E54" s="196"/>
      <c r="F54" s="197"/>
      <c r="G54" s="197"/>
      <c r="H54" s="196"/>
      <c r="I54" s="197"/>
      <c r="J54" s="268">
        <f t="shared" si="6"/>
        <v>0</v>
      </c>
      <c r="K54" s="185"/>
      <c r="V54" s="183">
        <f t="shared" si="7"/>
        <v>0</v>
      </c>
      <c r="W54" s="183">
        <f t="shared" si="8"/>
        <v>0</v>
      </c>
    </row>
    <row r="55" spans="1:23" x14ac:dyDescent="0.3">
      <c r="A55" s="184"/>
      <c r="B55" s="194">
        <v>19</v>
      </c>
      <c r="C55" s="195"/>
      <c r="D55" s="196"/>
      <c r="E55" s="196"/>
      <c r="F55" s="197"/>
      <c r="G55" s="197"/>
      <c r="H55" s="196"/>
      <c r="I55" s="197"/>
      <c r="J55" s="268">
        <f t="shared" si="6"/>
        <v>0</v>
      </c>
      <c r="K55" s="185"/>
      <c r="V55" s="183">
        <f t="shared" si="7"/>
        <v>0</v>
      </c>
      <c r="W55" s="183">
        <f t="shared" si="8"/>
        <v>0</v>
      </c>
    </row>
    <row r="56" spans="1:23" x14ac:dyDescent="0.3">
      <c r="A56" s="184"/>
      <c r="B56" s="194">
        <v>20</v>
      </c>
      <c r="C56" s="195"/>
      <c r="D56" s="196"/>
      <c r="E56" s="196"/>
      <c r="F56" s="197"/>
      <c r="G56" s="197"/>
      <c r="H56" s="196"/>
      <c r="I56" s="197"/>
      <c r="J56" s="268">
        <f t="shared" si="6"/>
        <v>0</v>
      </c>
      <c r="K56" s="185"/>
      <c r="V56" s="183">
        <f t="shared" si="7"/>
        <v>0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17500</v>
      </c>
      <c r="K60" s="185"/>
      <c r="V60" s="183">
        <f>SUM(V37:V59)</f>
        <v>10</v>
      </c>
      <c r="W60" s="183">
        <f>SUM(W37:W59)</f>
        <v>7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43344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43346</v>
      </c>
      <c r="D68" s="216" t="s">
        <v>16</v>
      </c>
      <c r="E68" s="256" t="s">
        <v>28</v>
      </c>
      <c r="F68" s="256">
        <v>175.5</v>
      </c>
      <c r="G68" s="256">
        <v>177</v>
      </c>
      <c r="H68" s="256">
        <v>1.5</v>
      </c>
      <c r="I68" s="218">
        <v>5000</v>
      </c>
      <c r="J68" s="273">
        <f>I68*H68</f>
        <v>7500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43348</v>
      </c>
      <c r="D69" s="196" t="s">
        <v>16</v>
      </c>
      <c r="E69" s="222" t="s">
        <v>28</v>
      </c>
      <c r="F69" s="222">
        <v>174</v>
      </c>
      <c r="G69" s="222">
        <v>175.5</v>
      </c>
      <c r="H69" s="222">
        <v>1.5</v>
      </c>
      <c r="I69" s="197">
        <v>5000</v>
      </c>
      <c r="J69" s="268">
        <f t="shared" ref="J69:J90" si="9">I69*H69</f>
        <v>7500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43349</v>
      </c>
      <c r="D70" s="196" t="s">
        <v>23</v>
      </c>
      <c r="E70" s="222" t="s">
        <v>28</v>
      </c>
      <c r="F70" s="222">
        <v>178</v>
      </c>
      <c r="G70" s="222">
        <v>176.7</v>
      </c>
      <c r="H70" s="222">
        <v>1.3</v>
      </c>
      <c r="I70" s="197">
        <v>5000</v>
      </c>
      <c r="J70" s="268">
        <f t="shared" si="9"/>
        <v>6500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43350</v>
      </c>
      <c r="D71" s="196" t="s">
        <v>23</v>
      </c>
      <c r="E71" s="222" t="s">
        <v>28</v>
      </c>
      <c r="F71" s="222">
        <v>174.8</v>
      </c>
      <c r="G71" s="222">
        <v>173.8</v>
      </c>
      <c r="H71" s="222">
        <v>1.5</v>
      </c>
      <c r="I71" s="197">
        <v>5000</v>
      </c>
      <c r="J71" s="268">
        <f t="shared" si="9"/>
        <v>7500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43353</v>
      </c>
      <c r="D72" s="196" t="s">
        <v>23</v>
      </c>
      <c r="E72" s="222" t="s">
        <v>28</v>
      </c>
      <c r="F72" s="222">
        <v>174.6</v>
      </c>
      <c r="G72" s="222">
        <v>175.6</v>
      </c>
      <c r="H72" s="222">
        <v>1</v>
      </c>
      <c r="I72" s="197">
        <v>5000</v>
      </c>
      <c r="J72" s="268">
        <f t="shared" si="9"/>
        <v>5000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43354</v>
      </c>
      <c r="D73" s="196" t="s">
        <v>23</v>
      </c>
      <c r="E73" s="222" t="s">
        <v>28</v>
      </c>
      <c r="F73" s="222">
        <v>172</v>
      </c>
      <c r="G73" s="222">
        <v>170.1</v>
      </c>
      <c r="H73" s="222">
        <v>1.9</v>
      </c>
      <c r="I73" s="197">
        <v>5000</v>
      </c>
      <c r="J73" s="268">
        <f t="shared" si="9"/>
        <v>9500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43355</v>
      </c>
      <c r="D74" s="196" t="s">
        <v>23</v>
      </c>
      <c r="E74" s="222" t="s">
        <v>28</v>
      </c>
      <c r="F74" s="222">
        <v>172</v>
      </c>
      <c r="G74" s="222">
        <v>170</v>
      </c>
      <c r="H74" s="274">
        <v>2</v>
      </c>
      <c r="I74" s="197">
        <v>5000</v>
      </c>
      <c r="J74" s="268">
        <f t="shared" si="9"/>
        <v>10000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43357</v>
      </c>
      <c r="D75" s="196" t="s">
        <v>23</v>
      </c>
      <c r="E75" s="222" t="s">
        <v>28</v>
      </c>
      <c r="F75" s="222">
        <v>169</v>
      </c>
      <c r="G75" s="222">
        <v>168</v>
      </c>
      <c r="H75" s="222">
        <v>1</v>
      </c>
      <c r="I75" s="197">
        <v>5000</v>
      </c>
      <c r="J75" s="268">
        <f t="shared" si="9"/>
        <v>5000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43360</v>
      </c>
      <c r="D76" s="196" t="s">
        <v>23</v>
      </c>
      <c r="E76" s="222" t="s">
        <v>28</v>
      </c>
      <c r="F76" s="222">
        <v>167</v>
      </c>
      <c r="G76" s="222">
        <v>166.5</v>
      </c>
      <c r="H76" s="222">
        <v>0.5</v>
      </c>
      <c r="I76" s="197">
        <v>5000</v>
      </c>
      <c r="J76" s="268">
        <f t="shared" si="9"/>
        <v>2500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43361</v>
      </c>
      <c r="D77" s="196" t="s">
        <v>23</v>
      </c>
      <c r="E77" s="222" t="s">
        <v>28</v>
      </c>
      <c r="F77" s="222">
        <v>169.6</v>
      </c>
      <c r="G77" s="222">
        <v>170.6</v>
      </c>
      <c r="H77" s="222">
        <v>-1</v>
      </c>
      <c r="I77" s="197">
        <v>5000</v>
      </c>
      <c r="J77" s="268">
        <f t="shared" si="9"/>
        <v>-5000</v>
      </c>
      <c r="K77" s="185"/>
      <c r="V77" s="183">
        <f t="shared" si="10"/>
        <v>0</v>
      </c>
      <c r="W77" s="183">
        <f t="shared" si="11"/>
        <v>1</v>
      </c>
    </row>
    <row r="78" spans="1:23" x14ac:dyDescent="0.3">
      <c r="A78" s="184"/>
      <c r="B78" s="194">
        <v>11</v>
      </c>
      <c r="C78" s="195">
        <v>43362</v>
      </c>
      <c r="D78" s="196" t="s">
        <v>23</v>
      </c>
      <c r="E78" s="222" t="s">
        <v>28</v>
      </c>
      <c r="F78" s="222">
        <v>175.3</v>
      </c>
      <c r="G78" s="222">
        <v>173.9</v>
      </c>
      <c r="H78" s="274">
        <v>1.4</v>
      </c>
      <c r="I78" s="197">
        <v>5000</v>
      </c>
      <c r="J78" s="268">
        <f t="shared" si="9"/>
        <v>7000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43364</v>
      </c>
      <c r="D79" s="196" t="s">
        <v>23</v>
      </c>
      <c r="E79" s="222" t="s">
        <v>28</v>
      </c>
      <c r="F79" s="222">
        <v>177.8</v>
      </c>
      <c r="G79" s="222">
        <v>176.3</v>
      </c>
      <c r="H79" s="274">
        <v>1.5</v>
      </c>
      <c r="I79" s="197">
        <v>5000</v>
      </c>
      <c r="J79" s="268">
        <f t="shared" si="9"/>
        <v>7500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43367</v>
      </c>
      <c r="D80" s="196" t="s">
        <v>23</v>
      </c>
      <c r="E80" s="222" t="s">
        <v>28</v>
      </c>
      <c r="F80" s="222">
        <v>184.3</v>
      </c>
      <c r="G80" s="222">
        <v>183.4</v>
      </c>
      <c r="H80" s="274">
        <v>0.9</v>
      </c>
      <c r="I80" s="197">
        <v>5000</v>
      </c>
      <c r="J80" s="268">
        <f t="shared" si="9"/>
        <v>4500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43368</v>
      </c>
      <c r="D81" s="196" t="s">
        <v>16</v>
      </c>
      <c r="E81" s="222" t="s">
        <v>28</v>
      </c>
      <c r="F81" s="222">
        <v>183</v>
      </c>
      <c r="G81" s="222">
        <v>185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43369</v>
      </c>
      <c r="D82" s="196" t="s">
        <v>23</v>
      </c>
      <c r="E82" s="222" t="s">
        <v>28</v>
      </c>
      <c r="F82" s="223">
        <v>184.7</v>
      </c>
      <c r="G82" s="222">
        <v>185.7</v>
      </c>
      <c r="H82" s="274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16</v>
      </c>
      <c r="C83" s="195">
        <v>43370</v>
      </c>
      <c r="D83" s="196" t="s">
        <v>23</v>
      </c>
      <c r="E83" s="222" t="s">
        <v>28</v>
      </c>
      <c r="F83" s="222">
        <v>186</v>
      </c>
      <c r="G83" s="222">
        <v>184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43371</v>
      </c>
      <c r="D84" s="196" t="s">
        <v>16</v>
      </c>
      <c r="E84" s="222" t="s">
        <v>28</v>
      </c>
      <c r="F84" s="222">
        <v>186.4</v>
      </c>
      <c r="G84" s="222">
        <v>188.4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/>
      <c r="D85" s="196"/>
      <c r="E85" s="222"/>
      <c r="F85" s="222"/>
      <c r="G85" s="222"/>
      <c r="H85" s="274"/>
      <c r="I85" s="197"/>
      <c r="J85" s="268">
        <f t="shared" si="9"/>
        <v>0</v>
      </c>
      <c r="K85" s="185"/>
      <c r="V85" s="183">
        <f t="shared" si="10"/>
        <v>0</v>
      </c>
      <c r="W85" s="183">
        <f t="shared" si="11"/>
        <v>0</v>
      </c>
    </row>
    <row r="86" spans="1:23" x14ac:dyDescent="0.3">
      <c r="A86" s="184"/>
      <c r="B86" s="194">
        <v>19</v>
      </c>
      <c r="C86" s="195"/>
      <c r="D86" s="196"/>
      <c r="E86" s="222"/>
      <c r="F86" s="222"/>
      <c r="G86" s="222"/>
      <c r="H86" s="274"/>
      <c r="I86" s="197"/>
      <c r="J86" s="268">
        <f t="shared" si="9"/>
        <v>0</v>
      </c>
      <c r="K86" s="185"/>
      <c r="V86" s="183">
        <f t="shared" si="10"/>
        <v>0</v>
      </c>
      <c r="W86" s="183">
        <f t="shared" si="11"/>
        <v>0</v>
      </c>
    </row>
    <row r="87" spans="1:23" x14ac:dyDescent="0.3">
      <c r="A87" s="184"/>
      <c r="B87" s="194">
        <v>20</v>
      </c>
      <c r="C87" s="195"/>
      <c r="D87" s="196"/>
      <c r="E87" s="222"/>
      <c r="F87" s="222"/>
      <c r="G87" s="222"/>
      <c r="H87" s="274"/>
      <c r="I87" s="197"/>
      <c r="J87" s="268">
        <f t="shared" si="9"/>
        <v>0</v>
      </c>
      <c r="K87" s="185"/>
      <c r="V87" s="183">
        <f t="shared" si="10"/>
        <v>0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222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100000</v>
      </c>
      <c r="K91" s="185"/>
      <c r="V91" s="183">
        <f>SUM(V68:V90)</f>
        <v>15</v>
      </c>
      <c r="W91" s="183">
        <f>SUM(W68:W90)</f>
        <v>2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4500-000000000000}"/>
    <hyperlink ref="B60" r:id="rId2" xr:uid="{00000000-0004-0000-4500-000001000000}"/>
    <hyperlink ref="M4:M5" location="'SEP-2018'!A1" display="BULLION" xr:uid="{00000000-0004-0000-4500-000002000000}"/>
    <hyperlink ref="M6:M7" location="'SEP-2018'!A54" display="ENERGY" xr:uid="{00000000-0004-0000-4500-000003000000}"/>
    <hyperlink ref="B91" r:id="rId3" xr:uid="{00000000-0004-0000-4500-000004000000}"/>
    <hyperlink ref="M8:M9" location="'SEP-2018'!A86" display="BASE METAL" xr:uid="{00000000-0004-0000-4500-000005000000}"/>
    <hyperlink ref="M1" location="MASTER!A1" display="Back" xr:uid="{00000000-0004-0000-4500-000006000000}"/>
  </hyperlinks>
  <pageMargins left="0" right="0" top="0" bottom="0" header="0" footer="0"/>
  <pageSetup paperSize="9" orientation="portrait" r:id="rId4"/>
  <drawing r:id="rId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W92"/>
  <sheetViews>
    <sheetView workbookViewId="0">
      <selection activeCell="M50" sqref="M5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43374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20</v>
      </c>
      <c r="O4" s="355">
        <f>V29</f>
        <v>10</v>
      </c>
      <c r="P4" s="355">
        <f>W29</f>
        <v>10</v>
      </c>
      <c r="Q4" s="356">
        <f>N4-O4-P4</f>
        <v>0</v>
      </c>
      <c r="R4" s="343">
        <f>O4/N4</f>
        <v>0.5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43374</v>
      </c>
      <c r="D6" s="192" t="s">
        <v>23</v>
      </c>
      <c r="E6" s="192" t="s">
        <v>24</v>
      </c>
      <c r="F6" s="193">
        <v>30750</v>
      </c>
      <c r="G6" s="193">
        <v>30685</v>
      </c>
      <c r="H6" s="192">
        <v>65</v>
      </c>
      <c r="I6" s="193">
        <v>100</v>
      </c>
      <c r="J6" s="267">
        <f>H6*I6</f>
        <v>6500</v>
      </c>
      <c r="K6" s="185"/>
      <c r="M6" s="362" t="s">
        <v>258</v>
      </c>
      <c r="N6" s="347">
        <f>COUNT(C37:C59)</f>
        <v>20</v>
      </c>
      <c r="O6" s="348">
        <f>V60</f>
        <v>19</v>
      </c>
      <c r="P6" s="348">
        <f>W60</f>
        <v>1</v>
      </c>
      <c r="Q6" s="349">
        <f>N6-O6-P6</f>
        <v>0</v>
      </c>
      <c r="R6" s="345">
        <f t="shared" ref="R6" si="0">O6/N6</f>
        <v>0.95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43376</v>
      </c>
      <c r="D7" s="196" t="s">
        <v>23</v>
      </c>
      <c r="E7" s="196" t="s">
        <v>24</v>
      </c>
      <c r="F7" s="197">
        <v>31250</v>
      </c>
      <c r="G7" s="197">
        <v>31350</v>
      </c>
      <c r="H7" s="196">
        <v>-100</v>
      </c>
      <c r="I7" s="197">
        <v>100</v>
      </c>
      <c r="J7" s="268">
        <f t="shared" ref="J7:J28" si="1">H7*I7</f>
        <v>-10000</v>
      </c>
      <c r="K7" s="185"/>
      <c r="M7" s="362"/>
      <c r="N7" s="347"/>
      <c r="O7" s="348"/>
      <c r="P7" s="348"/>
      <c r="Q7" s="350"/>
      <c r="R7" s="345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v>3</v>
      </c>
      <c r="C8" s="195">
        <v>43377</v>
      </c>
      <c r="D8" s="196" t="s">
        <v>23</v>
      </c>
      <c r="E8" s="196" t="s">
        <v>24</v>
      </c>
      <c r="F8" s="197">
        <v>31380</v>
      </c>
      <c r="G8" s="197">
        <v>31480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COUNT(C68:C90)</f>
        <v>20</v>
      </c>
      <c r="O8" s="348">
        <f>V91</f>
        <v>13</v>
      </c>
      <c r="P8" s="348">
        <f>W91</f>
        <v>7</v>
      </c>
      <c r="Q8" s="349">
        <f>N8-O8-P8</f>
        <v>0</v>
      </c>
      <c r="R8" s="345">
        <f t="shared" ref="R8" si="4">O8/N8</f>
        <v>0.65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43378</v>
      </c>
      <c r="D9" s="196" t="s">
        <v>23</v>
      </c>
      <c r="E9" s="196" t="s">
        <v>24</v>
      </c>
      <c r="F9" s="197">
        <v>31560</v>
      </c>
      <c r="G9" s="197">
        <v>31500</v>
      </c>
      <c r="H9" s="196">
        <v>60</v>
      </c>
      <c r="I9" s="197">
        <v>100</v>
      </c>
      <c r="J9" s="268">
        <f t="shared" si="1"/>
        <v>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43381</v>
      </c>
      <c r="D10" s="196" t="s">
        <v>16</v>
      </c>
      <c r="E10" s="196" t="s">
        <v>24</v>
      </c>
      <c r="F10" s="197">
        <v>31430</v>
      </c>
      <c r="G10" s="197">
        <v>31330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60</v>
      </c>
      <c r="O10" s="321">
        <f>SUM(O4:O9)</f>
        <v>42</v>
      </c>
      <c r="P10" s="321">
        <f>SUM(P4:P9)</f>
        <v>18</v>
      </c>
      <c r="Q10" s="341">
        <f>SUM(Q4:Q9)</f>
        <v>0</v>
      </c>
      <c r="R10" s="343">
        <f t="shared" ref="R10" si="5">O10/N10</f>
        <v>0.7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43383</v>
      </c>
      <c r="D11" s="196" t="s">
        <v>23</v>
      </c>
      <c r="E11" s="196" t="s">
        <v>24</v>
      </c>
      <c r="F11" s="197">
        <v>31320</v>
      </c>
      <c r="G11" s="197">
        <v>31350</v>
      </c>
      <c r="H11" s="196">
        <v>-30</v>
      </c>
      <c r="I11" s="197">
        <v>100</v>
      </c>
      <c r="J11" s="268">
        <f t="shared" si="1"/>
        <v>-3000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43384</v>
      </c>
      <c r="D12" s="196" t="s">
        <v>23</v>
      </c>
      <c r="E12" s="196" t="s">
        <v>24</v>
      </c>
      <c r="F12" s="197">
        <v>31500</v>
      </c>
      <c r="G12" s="197">
        <v>31600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0.7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43385</v>
      </c>
      <c r="D13" s="196" t="s">
        <v>16</v>
      </c>
      <c r="E13" s="196" t="s">
        <v>24</v>
      </c>
      <c r="F13" s="197">
        <v>31810</v>
      </c>
      <c r="G13" s="197">
        <v>31880</v>
      </c>
      <c r="H13" s="196">
        <v>70</v>
      </c>
      <c r="I13" s="197">
        <v>100</v>
      </c>
      <c r="J13" s="268">
        <f t="shared" si="1"/>
        <v>7000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43388</v>
      </c>
      <c r="D14" s="196" t="s">
        <v>16</v>
      </c>
      <c r="E14" s="196" t="s">
        <v>24</v>
      </c>
      <c r="F14" s="197">
        <v>31970</v>
      </c>
      <c r="G14" s="197">
        <v>32170</v>
      </c>
      <c r="H14" s="196">
        <v>200</v>
      </c>
      <c r="I14" s="197">
        <v>100</v>
      </c>
      <c r="J14" s="268">
        <f t="shared" si="1"/>
        <v>20000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43389</v>
      </c>
      <c r="D15" s="196" t="s">
        <v>16</v>
      </c>
      <c r="E15" s="196" t="s">
        <v>24</v>
      </c>
      <c r="F15" s="197">
        <v>32110</v>
      </c>
      <c r="G15" s="197">
        <v>32010</v>
      </c>
      <c r="H15" s="196">
        <v>-10</v>
      </c>
      <c r="I15" s="197">
        <v>100</v>
      </c>
      <c r="J15" s="268">
        <f t="shared" si="1"/>
        <v>-1000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43390</v>
      </c>
      <c r="D16" s="196" t="s">
        <v>16</v>
      </c>
      <c r="E16" s="196" t="s">
        <v>24</v>
      </c>
      <c r="F16" s="197">
        <v>31810</v>
      </c>
      <c r="G16" s="197">
        <v>32010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43392</v>
      </c>
      <c r="D17" s="196" t="s">
        <v>16</v>
      </c>
      <c r="E17" s="196" t="s">
        <v>24</v>
      </c>
      <c r="F17" s="197">
        <v>31960</v>
      </c>
      <c r="G17" s="197">
        <v>31940</v>
      </c>
      <c r="H17" s="196">
        <v>-20</v>
      </c>
      <c r="I17" s="197">
        <v>100</v>
      </c>
      <c r="J17" s="268">
        <f t="shared" si="1"/>
        <v>-2000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43395</v>
      </c>
      <c r="D18" s="196" t="s">
        <v>16</v>
      </c>
      <c r="E18" s="196" t="s">
        <v>24</v>
      </c>
      <c r="F18" s="197">
        <v>31840</v>
      </c>
      <c r="G18" s="197">
        <v>31900</v>
      </c>
      <c r="H18" s="196"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43396</v>
      </c>
      <c r="D19" s="196" t="s">
        <v>16</v>
      </c>
      <c r="E19" s="196" t="s">
        <v>24</v>
      </c>
      <c r="F19" s="197">
        <v>32100</v>
      </c>
      <c r="G19" s="197">
        <v>32250</v>
      </c>
      <c r="H19" s="196">
        <v>150</v>
      </c>
      <c r="I19" s="197">
        <v>100</v>
      </c>
      <c r="J19" s="268">
        <f t="shared" si="1"/>
        <v>15000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43397</v>
      </c>
      <c r="D20" s="196" t="s">
        <v>16</v>
      </c>
      <c r="E20" s="196" t="s">
        <v>24</v>
      </c>
      <c r="F20" s="197">
        <v>31980</v>
      </c>
      <c r="G20" s="197">
        <v>31880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43398</v>
      </c>
      <c r="D21" s="196" t="s">
        <v>16</v>
      </c>
      <c r="E21" s="196" t="s">
        <v>24</v>
      </c>
      <c r="F21" s="197">
        <v>32060</v>
      </c>
      <c r="G21" s="197">
        <v>31960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43399</v>
      </c>
      <c r="D22" s="196" t="s">
        <v>16</v>
      </c>
      <c r="E22" s="196" t="s">
        <v>24</v>
      </c>
      <c r="F22" s="197">
        <v>31980</v>
      </c>
      <c r="G22" s="197">
        <v>32080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43402</v>
      </c>
      <c r="D23" s="196" t="s">
        <v>16</v>
      </c>
      <c r="E23" s="196" t="s">
        <v>24</v>
      </c>
      <c r="F23" s="197">
        <v>31980</v>
      </c>
      <c r="G23" s="197">
        <v>31880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43403</v>
      </c>
      <c r="D24" s="196" t="s">
        <v>23</v>
      </c>
      <c r="E24" s="196" t="s">
        <v>24</v>
      </c>
      <c r="F24" s="197">
        <v>31870</v>
      </c>
      <c r="G24" s="197">
        <v>31770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43404</v>
      </c>
      <c r="D25" s="196" t="s">
        <v>23</v>
      </c>
      <c r="E25" s="196" t="s">
        <v>24</v>
      </c>
      <c r="F25" s="197">
        <v>31860</v>
      </c>
      <c r="G25" s="197">
        <v>31720</v>
      </c>
      <c r="H25" s="196">
        <v>140</v>
      </c>
      <c r="I25" s="197">
        <v>100</v>
      </c>
      <c r="J25" s="268">
        <f t="shared" si="1"/>
        <v>14000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38500</v>
      </c>
      <c r="K29" s="185"/>
      <c r="V29" s="183">
        <f>SUM(V6:V28)</f>
        <v>10</v>
      </c>
      <c r="W29" s="183">
        <f>SUM(W6:W28)</f>
        <v>10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43374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43374</v>
      </c>
      <c r="D37" s="192" t="s">
        <v>140</v>
      </c>
      <c r="E37" s="192" t="s">
        <v>25</v>
      </c>
      <c r="F37" s="193">
        <v>5355</v>
      </c>
      <c r="G37" s="193">
        <v>5325</v>
      </c>
      <c r="H37" s="192">
        <v>30</v>
      </c>
      <c r="I37" s="193">
        <v>100</v>
      </c>
      <c r="J37" s="267">
        <f t="shared" ref="J37:J59" si="6">I37*H37</f>
        <v>3000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43376</v>
      </c>
      <c r="D38" s="196" t="s">
        <v>140</v>
      </c>
      <c r="E38" s="196" t="s">
        <v>25</v>
      </c>
      <c r="F38" s="197">
        <v>5530</v>
      </c>
      <c r="G38" s="197">
        <v>5470</v>
      </c>
      <c r="H38" s="196">
        <v>60</v>
      </c>
      <c r="I38" s="197">
        <v>100</v>
      </c>
      <c r="J38" s="268">
        <f t="shared" si="6"/>
        <v>6000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43377</v>
      </c>
      <c r="D39" s="196" t="s">
        <v>140</v>
      </c>
      <c r="E39" s="196" t="s">
        <v>25</v>
      </c>
      <c r="F39" s="197">
        <v>5630</v>
      </c>
      <c r="G39" s="197">
        <v>5570</v>
      </c>
      <c r="H39" s="196">
        <v>60</v>
      </c>
      <c r="I39" s="197">
        <v>100</v>
      </c>
      <c r="J39" s="268">
        <f t="shared" si="6"/>
        <v>6000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43378</v>
      </c>
      <c r="D40" s="196" t="s">
        <v>140</v>
      </c>
      <c r="E40" s="196" t="s">
        <v>25</v>
      </c>
      <c r="F40" s="197">
        <v>5515</v>
      </c>
      <c r="G40" s="197">
        <v>5493</v>
      </c>
      <c r="H40" s="196">
        <v>22</v>
      </c>
      <c r="I40" s="197">
        <v>100</v>
      </c>
      <c r="J40" s="268">
        <f t="shared" si="6"/>
        <v>2200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43381</v>
      </c>
      <c r="D41" s="196" t="s">
        <v>140</v>
      </c>
      <c r="E41" s="196" t="s">
        <v>25</v>
      </c>
      <c r="F41" s="197">
        <v>5470</v>
      </c>
      <c r="G41" s="197">
        <v>5430</v>
      </c>
      <c r="H41" s="196">
        <v>40</v>
      </c>
      <c r="I41" s="197">
        <v>100</v>
      </c>
      <c r="J41" s="268">
        <f t="shared" si="6"/>
        <v>4000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43383</v>
      </c>
      <c r="D42" s="196" t="s">
        <v>140</v>
      </c>
      <c r="E42" s="196" t="s">
        <v>25</v>
      </c>
      <c r="F42" s="197">
        <v>5550</v>
      </c>
      <c r="G42" s="197">
        <v>5490</v>
      </c>
      <c r="H42" s="196">
        <v>60</v>
      </c>
      <c r="I42" s="197">
        <v>100</v>
      </c>
      <c r="J42" s="268">
        <f t="shared" si="6"/>
        <v>6000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43384</v>
      </c>
      <c r="D43" s="196" t="s">
        <v>140</v>
      </c>
      <c r="E43" s="196" t="s">
        <v>25</v>
      </c>
      <c r="F43" s="197">
        <v>5365</v>
      </c>
      <c r="G43" s="197">
        <v>5305</v>
      </c>
      <c r="H43" s="196">
        <v>60</v>
      </c>
      <c r="I43" s="197">
        <v>100</v>
      </c>
      <c r="J43" s="268">
        <f t="shared" si="6"/>
        <v>6000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43385</v>
      </c>
      <c r="D44" s="196" t="s">
        <v>140</v>
      </c>
      <c r="E44" s="196" t="s">
        <v>25</v>
      </c>
      <c r="F44" s="197">
        <v>5305</v>
      </c>
      <c r="G44" s="197">
        <v>5265</v>
      </c>
      <c r="H44" s="196">
        <v>40</v>
      </c>
      <c r="I44" s="197">
        <v>100</v>
      </c>
      <c r="J44" s="268">
        <f t="shared" si="6"/>
        <v>4000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43388</v>
      </c>
      <c r="D45" s="196" t="s">
        <v>140</v>
      </c>
      <c r="E45" s="196" t="s">
        <v>25</v>
      </c>
      <c r="F45" s="197">
        <v>5320</v>
      </c>
      <c r="G45" s="197">
        <v>5260</v>
      </c>
      <c r="H45" s="196">
        <v>60</v>
      </c>
      <c r="I45" s="197">
        <v>100</v>
      </c>
      <c r="J45" s="268">
        <f t="shared" si="6"/>
        <v>6000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43389</v>
      </c>
      <c r="D46" s="196" t="s">
        <v>140</v>
      </c>
      <c r="E46" s="196" t="s">
        <v>25</v>
      </c>
      <c r="F46" s="197">
        <v>5275</v>
      </c>
      <c r="G46" s="197">
        <v>5215</v>
      </c>
      <c r="H46" s="196">
        <v>60</v>
      </c>
      <c r="I46" s="197">
        <v>100</v>
      </c>
      <c r="J46" s="268">
        <f t="shared" si="6"/>
        <v>6000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43390</v>
      </c>
      <c r="D47" s="196" t="s">
        <v>140</v>
      </c>
      <c r="E47" s="196" t="s">
        <v>25</v>
      </c>
      <c r="F47" s="197">
        <v>5300</v>
      </c>
      <c r="G47" s="197">
        <v>5240</v>
      </c>
      <c r="H47" s="196">
        <v>60</v>
      </c>
      <c r="I47" s="197">
        <v>100</v>
      </c>
      <c r="J47" s="268">
        <f t="shared" si="6"/>
        <v>6000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43392</v>
      </c>
      <c r="D48" s="196" t="s">
        <v>140</v>
      </c>
      <c r="E48" s="196" t="s">
        <v>25</v>
      </c>
      <c r="F48" s="197">
        <v>5065</v>
      </c>
      <c r="G48" s="197">
        <v>5035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43395</v>
      </c>
      <c r="D49" s="196" t="s">
        <v>140</v>
      </c>
      <c r="E49" s="196" t="s">
        <v>25</v>
      </c>
      <c r="F49" s="197">
        <v>5130</v>
      </c>
      <c r="G49" s="197">
        <v>5070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43396</v>
      </c>
      <c r="D50" s="196" t="s">
        <v>140</v>
      </c>
      <c r="E50" s="196" t="s">
        <v>25</v>
      </c>
      <c r="F50" s="197">
        <v>5120</v>
      </c>
      <c r="G50" s="197">
        <v>5060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43397</v>
      </c>
      <c r="D51" s="196" t="s">
        <v>140</v>
      </c>
      <c r="E51" s="196" t="s">
        <v>25</v>
      </c>
      <c r="F51" s="197">
        <v>4885</v>
      </c>
      <c r="G51" s="197">
        <v>4855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43398</v>
      </c>
      <c r="D52" s="196" t="s">
        <v>140</v>
      </c>
      <c r="E52" s="196" t="s">
        <v>25</v>
      </c>
      <c r="F52" s="197">
        <v>4880</v>
      </c>
      <c r="G52" s="197">
        <v>4910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43399</v>
      </c>
      <c r="D53" s="196" t="s">
        <v>140</v>
      </c>
      <c r="E53" s="196" t="s">
        <v>25</v>
      </c>
      <c r="F53" s="197">
        <v>4915</v>
      </c>
      <c r="G53" s="197">
        <v>4875</v>
      </c>
      <c r="H53" s="196">
        <v>40</v>
      </c>
      <c r="I53" s="197">
        <v>100</v>
      </c>
      <c r="J53" s="268">
        <f t="shared" si="6"/>
        <v>4000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43402</v>
      </c>
      <c r="D54" s="196" t="s">
        <v>140</v>
      </c>
      <c r="E54" s="196" t="s">
        <v>25</v>
      </c>
      <c r="F54" s="197">
        <v>4960</v>
      </c>
      <c r="G54" s="197">
        <v>4915</v>
      </c>
      <c r="H54" s="196">
        <v>45</v>
      </c>
      <c r="I54" s="197">
        <v>100</v>
      </c>
      <c r="J54" s="268">
        <f t="shared" si="6"/>
        <v>4500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43403</v>
      </c>
      <c r="D55" s="196" t="s">
        <v>140</v>
      </c>
      <c r="E55" s="196" t="s">
        <v>25</v>
      </c>
      <c r="F55" s="197">
        <v>4955</v>
      </c>
      <c r="G55" s="197">
        <v>4895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43404</v>
      </c>
      <c r="D56" s="196" t="s">
        <v>140</v>
      </c>
      <c r="E56" s="196" t="s">
        <v>25</v>
      </c>
      <c r="F56" s="197">
        <v>4935</v>
      </c>
      <c r="G56" s="197">
        <v>4885</v>
      </c>
      <c r="H56" s="196">
        <v>50</v>
      </c>
      <c r="I56" s="197">
        <v>100</v>
      </c>
      <c r="J56" s="268">
        <f t="shared" si="6"/>
        <v>5000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89700</v>
      </c>
      <c r="K60" s="185"/>
      <c r="V60" s="183">
        <f>SUM(V37:V59)</f>
        <v>19</v>
      </c>
      <c r="W60" s="183">
        <f>SUM(W37:W59)</f>
        <v>1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43374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43374</v>
      </c>
      <c r="D68" s="216" t="s">
        <v>23</v>
      </c>
      <c r="E68" s="256" t="s">
        <v>28</v>
      </c>
      <c r="F68" s="256">
        <v>191.5</v>
      </c>
      <c r="G68" s="256">
        <v>192.5</v>
      </c>
      <c r="H68" s="256">
        <v>-1</v>
      </c>
      <c r="I68" s="218">
        <v>5000</v>
      </c>
      <c r="J68" s="273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v>2</v>
      </c>
      <c r="C69" s="195">
        <v>43376</v>
      </c>
      <c r="D69" s="196" t="s">
        <v>23</v>
      </c>
      <c r="E69" s="222" t="s">
        <v>28</v>
      </c>
      <c r="F69" s="222">
        <v>196</v>
      </c>
      <c r="G69" s="222">
        <v>194</v>
      </c>
      <c r="H69" s="222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43377</v>
      </c>
      <c r="D70" s="196" t="s">
        <v>23</v>
      </c>
      <c r="E70" s="222" t="s">
        <v>28</v>
      </c>
      <c r="F70" s="222">
        <v>198.85</v>
      </c>
      <c r="G70" s="222">
        <v>197.85</v>
      </c>
      <c r="H70" s="222">
        <v>1</v>
      </c>
      <c r="I70" s="197">
        <v>5000</v>
      </c>
      <c r="J70" s="268">
        <f t="shared" si="9"/>
        <v>5000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43378</v>
      </c>
      <c r="D71" s="196" t="s">
        <v>23</v>
      </c>
      <c r="E71" s="222" t="s">
        <v>28</v>
      </c>
      <c r="F71" s="222">
        <v>195.2</v>
      </c>
      <c r="G71" s="222">
        <v>194.7</v>
      </c>
      <c r="H71" s="222">
        <v>0.5</v>
      </c>
      <c r="I71" s="197">
        <v>5000</v>
      </c>
      <c r="J71" s="268">
        <f t="shared" si="9"/>
        <v>2500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43381</v>
      </c>
      <c r="D72" s="196" t="s">
        <v>16</v>
      </c>
      <c r="E72" s="222" t="s">
        <v>28</v>
      </c>
      <c r="F72" s="222">
        <v>194.3</v>
      </c>
      <c r="G72" s="222">
        <v>196.3</v>
      </c>
      <c r="H72" s="222">
        <v>2</v>
      </c>
      <c r="I72" s="197">
        <v>5000</v>
      </c>
      <c r="J72" s="268">
        <f t="shared" si="9"/>
        <v>10000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43383</v>
      </c>
      <c r="D73" s="196" t="s">
        <v>16</v>
      </c>
      <c r="E73" s="222" t="s">
        <v>28</v>
      </c>
      <c r="F73" s="222">
        <v>203.1</v>
      </c>
      <c r="G73" s="222">
        <v>202.1</v>
      </c>
      <c r="H73" s="222">
        <v>-1</v>
      </c>
      <c r="I73" s="197">
        <v>5000</v>
      </c>
      <c r="J73" s="268">
        <f t="shared" si="9"/>
        <v>-5000</v>
      </c>
      <c r="K73" s="185"/>
      <c r="V73" s="183">
        <f t="shared" si="10"/>
        <v>0</v>
      </c>
      <c r="W73" s="183">
        <f t="shared" si="11"/>
        <v>1</v>
      </c>
    </row>
    <row r="74" spans="1:23" x14ac:dyDescent="0.3">
      <c r="A74" s="184"/>
      <c r="B74" s="194">
        <v>7</v>
      </c>
      <c r="C74" s="195">
        <v>43384</v>
      </c>
      <c r="D74" s="196" t="s">
        <v>23</v>
      </c>
      <c r="E74" s="222" t="s">
        <v>28</v>
      </c>
      <c r="F74" s="222">
        <v>194.5</v>
      </c>
      <c r="G74" s="222">
        <v>195.5</v>
      </c>
      <c r="H74" s="274">
        <v>-1</v>
      </c>
      <c r="I74" s="197">
        <v>5000</v>
      </c>
      <c r="J74" s="268">
        <f t="shared" si="9"/>
        <v>-5000</v>
      </c>
      <c r="K74" s="185"/>
      <c r="V74" s="183">
        <f t="shared" si="10"/>
        <v>0</v>
      </c>
      <c r="W74" s="183">
        <f t="shared" si="11"/>
        <v>1</v>
      </c>
    </row>
    <row r="75" spans="1:23" x14ac:dyDescent="0.3">
      <c r="A75" s="184"/>
      <c r="B75" s="194">
        <v>8</v>
      </c>
      <c r="C75" s="195">
        <v>43385</v>
      </c>
      <c r="D75" s="196" t="s">
        <v>23</v>
      </c>
      <c r="E75" s="222" t="s">
        <v>28</v>
      </c>
      <c r="F75" s="222">
        <v>198.2</v>
      </c>
      <c r="G75" s="222">
        <v>199.2</v>
      </c>
      <c r="H75" s="222">
        <v>-1</v>
      </c>
      <c r="I75" s="197">
        <v>5000</v>
      </c>
      <c r="J75" s="268">
        <f t="shared" si="9"/>
        <v>-5000</v>
      </c>
      <c r="K75" s="185"/>
      <c r="V75" s="183">
        <f t="shared" si="10"/>
        <v>0</v>
      </c>
      <c r="W75" s="183">
        <f t="shared" si="11"/>
        <v>1</v>
      </c>
    </row>
    <row r="76" spans="1:23" x14ac:dyDescent="0.3">
      <c r="A76" s="184"/>
      <c r="B76" s="194">
        <v>9</v>
      </c>
      <c r="C76" s="195">
        <v>43388</v>
      </c>
      <c r="D76" s="196" t="s">
        <v>16</v>
      </c>
      <c r="E76" s="222" t="s">
        <v>28</v>
      </c>
      <c r="F76" s="222">
        <v>198.5</v>
      </c>
      <c r="G76" s="222">
        <v>197.5</v>
      </c>
      <c r="H76" s="222">
        <v>-1</v>
      </c>
      <c r="I76" s="197">
        <v>5000</v>
      </c>
      <c r="J76" s="268">
        <f t="shared" si="9"/>
        <v>-5000</v>
      </c>
      <c r="K76" s="185"/>
      <c r="V76" s="183">
        <f t="shared" si="10"/>
        <v>0</v>
      </c>
      <c r="W76" s="183">
        <f t="shared" si="11"/>
        <v>1</v>
      </c>
    </row>
    <row r="77" spans="1:23" x14ac:dyDescent="0.3">
      <c r="A77" s="184"/>
      <c r="B77" s="194">
        <v>10</v>
      </c>
      <c r="C77" s="195">
        <v>43389</v>
      </c>
      <c r="D77" s="196" t="s">
        <v>23</v>
      </c>
      <c r="E77" s="222" t="s">
        <v>28</v>
      </c>
      <c r="F77" s="222">
        <v>194.1</v>
      </c>
      <c r="G77" s="222">
        <v>192.1</v>
      </c>
      <c r="H77" s="222">
        <v>2</v>
      </c>
      <c r="I77" s="197">
        <v>5000</v>
      </c>
      <c r="J77" s="268">
        <f t="shared" si="9"/>
        <v>10000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43390</v>
      </c>
      <c r="D78" s="196" t="s">
        <v>23</v>
      </c>
      <c r="E78" s="222" t="s">
        <v>28</v>
      </c>
      <c r="F78" s="222">
        <v>195.5</v>
      </c>
      <c r="G78" s="222">
        <v>196.5</v>
      </c>
      <c r="H78" s="274">
        <v>-1</v>
      </c>
      <c r="I78" s="197">
        <v>5000</v>
      </c>
      <c r="J78" s="268">
        <f t="shared" si="9"/>
        <v>-5000</v>
      </c>
      <c r="K78" s="185"/>
      <c r="V78" s="183">
        <f t="shared" si="10"/>
        <v>0</v>
      </c>
      <c r="W78" s="183">
        <f t="shared" si="11"/>
        <v>1</v>
      </c>
    </row>
    <row r="79" spans="1:23" x14ac:dyDescent="0.3">
      <c r="A79" s="184"/>
      <c r="B79" s="194">
        <v>12</v>
      </c>
      <c r="C79" s="195">
        <v>43392</v>
      </c>
      <c r="D79" s="196" t="s">
        <v>23</v>
      </c>
      <c r="E79" s="222" t="s">
        <v>28</v>
      </c>
      <c r="F79" s="222">
        <v>198.8</v>
      </c>
      <c r="G79" s="222">
        <v>196.8</v>
      </c>
      <c r="H79" s="274">
        <v>2</v>
      </c>
      <c r="I79" s="197">
        <v>5000</v>
      </c>
      <c r="J79" s="268">
        <f t="shared" si="9"/>
        <v>10000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43395</v>
      </c>
      <c r="D80" s="196" t="s">
        <v>16</v>
      </c>
      <c r="E80" s="222" t="s">
        <v>28</v>
      </c>
      <c r="F80" s="222">
        <v>199</v>
      </c>
      <c r="G80" s="222">
        <v>200.49</v>
      </c>
      <c r="H80" s="274">
        <v>1.49</v>
      </c>
      <c r="I80" s="197">
        <v>5000</v>
      </c>
      <c r="J80" s="268">
        <f t="shared" si="9"/>
        <v>7450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43396</v>
      </c>
      <c r="D81" s="196" t="s">
        <v>23</v>
      </c>
      <c r="E81" s="222" t="s">
        <v>28</v>
      </c>
      <c r="F81" s="222">
        <v>199</v>
      </c>
      <c r="G81" s="222">
        <v>198.5</v>
      </c>
      <c r="H81" s="274">
        <v>0.5</v>
      </c>
      <c r="I81" s="197">
        <v>5000</v>
      </c>
      <c r="J81" s="268">
        <f t="shared" si="9"/>
        <v>2500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43397</v>
      </c>
      <c r="D82" s="196" t="s">
        <v>16</v>
      </c>
      <c r="E82" s="222" t="s">
        <v>28</v>
      </c>
      <c r="F82" s="223">
        <v>202.1</v>
      </c>
      <c r="G82" s="222">
        <v>202.7</v>
      </c>
      <c r="H82" s="274">
        <v>0.6</v>
      </c>
      <c r="I82" s="197">
        <v>5000</v>
      </c>
      <c r="J82" s="268">
        <f t="shared" si="9"/>
        <v>3000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43398</v>
      </c>
      <c r="D83" s="196" t="s">
        <v>23</v>
      </c>
      <c r="E83" s="222" t="s">
        <v>28</v>
      </c>
      <c r="F83" s="222">
        <v>197.8</v>
      </c>
      <c r="G83" s="222">
        <v>195.8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43399</v>
      </c>
      <c r="D84" s="196" t="s">
        <v>23</v>
      </c>
      <c r="E84" s="222" t="s">
        <v>28</v>
      </c>
      <c r="F84" s="222">
        <v>196</v>
      </c>
      <c r="G84" s="222">
        <v>195.45</v>
      </c>
      <c r="H84" s="274">
        <v>0.55000000000000004</v>
      </c>
      <c r="I84" s="197">
        <v>5000</v>
      </c>
      <c r="J84" s="268">
        <f t="shared" si="9"/>
        <v>2750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43402</v>
      </c>
      <c r="D85" s="196" t="s">
        <v>23</v>
      </c>
      <c r="E85" s="222" t="s">
        <v>28</v>
      </c>
      <c r="F85" s="222">
        <v>198</v>
      </c>
      <c r="G85" s="222">
        <v>196</v>
      </c>
      <c r="H85" s="274">
        <v>2</v>
      </c>
      <c r="I85" s="197">
        <v>5000</v>
      </c>
      <c r="J85" s="268">
        <f t="shared" si="9"/>
        <v>10000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43403</v>
      </c>
      <c r="D86" s="196" t="s">
        <v>23</v>
      </c>
      <c r="E86" s="222" t="s">
        <v>28</v>
      </c>
      <c r="F86" s="222">
        <v>195.2</v>
      </c>
      <c r="G86" s="222">
        <v>196.2</v>
      </c>
      <c r="H86" s="274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20</v>
      </c>
      <c r="C87" s="195">
        <v>43404</v>
      </c>
      <c r="D87" s="196" t="s">
        <v>23</v>
      </c>
      <c r="E87" s="222" t="s">
        <v>28</v>
      </c>
      <c r="F87" s="222">
        <v>193.8</v>
      </c>
      <c r="G87" s="222">
        <v>191.8</v>
      </c>
      <c r="H87" s="274">
        <v>2</v>
      </c>
      <c r="I87" s="197">
        <v>5000</v>
      </c>
      <c r="J87" s="268">
        <f t="shared" si="9"/>
        <v>10000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222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58200</v>
      </c>
      <c r="K91" s="185"/>
      <c r="V91" s="183">
        <f>SUM(V68:V90)</f>
        <v>13</v>
      </c>
      <c r="W91" s="183">
        <f>SUM(W68:W90)</f>
        <v>7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4600-000000000000}"/>
    <hyperlink ref="B60" r:id="rId2" xr:uid="{00000000-0004-0000-4600-000001000000}"/>
    <hyperlink ref="M4:M5" location="'OCT -2018'!A1" display="BULLION" xr:uid="{00000000-0004-0000-4600-000002000000}"/>
    <hyperlink ref="M6:M7" location="'OCT -2018'!A54" display="ENERGY" xr:uid="{00000000-0004-0000-4600-000003000000}"/>
    <hyperlink ref="B91" r:id="rId3" xr:uid="{00000000-0004-0000-4600-000004000000}"/>
    <hyperlink ref="M8:M9" location="'OCT -2018'!A86" display="BASE METAL" xr:uid="{00000000-0004-0000-4600-000005000000}"/>
    <hyperlink ref="M1" location="MASTER!A1" display="Back" xr:uid="{00000000-0004-0000-4600-000006000000}"/>
  </hyperlinks>
  <pageMargins left="0" right="0" top="0" bottom="0" header="0" footer="0"/>
  <pageSetup paperSize="9" orientation="portrait" r:id="rId4"/>
  <drawing r:id="rId5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W92"/>
  <sheetViews>
    <sheetView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43405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COUNT(C6:C28)</f>
        <v>16</v>
      </c>
      <c r="O4" s="355">
        <f>V29</f>
        <v>11</v>
      </c>
      <c r="P4" s="355">
        <f>W29</f>
        <v>5</v>
      </c>
      <c r="Q4" s="356">
        <f>N4-O4-P4</f>
        <v>0</v>
      </c>
      <c r="R4" s="343">
        <f>O4/N4</f>
        <v>0.6875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43405</v>
      </c>
      <c r="D6" s="192" t="s">
        <v>16</v>
      </c>
      <c r="E6" s="192" t="s">
        <v>24</v>
      </c>
      <c r="F6" s="193">
        <v>31800</v>
      </c>
      <c r="G6" s="193">
        <v>31865</v>
      </c>
      <c r="H6" s="192">
        <v>65</v>
      </c>
      <c r="I6" s="193">
        <v>100</v>
      </c>
      <c r="J6" s="267">
        <f>H6*I6</f>
        <v>6500</v>
      </c>
      <c r="K6" s="185"/>
      <c r="M6" s="364" t="s">
        <v>258</v>
      </c>
      <c r="N6" s="347">
        <f>COUNT(C37:C59)</f>
        <v>16</v>
      </c>
      <c r="O6" s="348">
        <f>V60</f>
        <v>15</v>
      </c>
      <c r="P6" s="348">
        <f>W60</f>
        <v>1</v>
      </c>
      <c r="Q6" s="349">
        <f>N6-O6-P6</f>
        <v>0</v>
      </c>
      <c r="R6" s="345">
        <f t="shared" ref="R6" si="0">O6/N6</f>
        <v>0.9375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43406</v>
      </c>
      <c r="D7" s="196" t="s">
        <v>16</v>
      </c>
      <c r="E7" s="196" t="s">
        <v>24</v>
      </c>
      <c r="F7" s="197">
        <v>31700</v>
      </c>
      <c r="G7" s="197">
        <v>31600</v>
      </c>
      <c r="H7" s="196">
        <v>-100</v>
      </c>
      <c r="I7" s="197">
        <v>100</v>
      </c>
      <c r="J7" s="268">
        <f t="shared" ref="J7:J28" si="1">H7*I7</f>
        <v>-10000</v>
      </c>
      <c r="K7" s="185"/>
      <c r="M7" s="365"/>
      <c r="N7" s="347"/>
      <c r="O7" s="348"/>
      <c r="P7" s="348"/>
      <c r="Q7" s="350"/>
      <c r="R7" s="345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v>3</v>
      </c>
      <c r="C8" s="195">
        <v>43409</v>
      </c>
      <c r="D8" s="196" t="s">
        <v>16</v>
      </c>
      <c r="E8" s="196" t="s">
        <v>24</v>
      </c>
      <c r="F8" s="197">
        <v>31780</v>
      </c>
      <c r="G8" s="197">
        <v>31855</v>
      </c>
      <c r="H8" s="196">
        <v>75</v>
      </c>
      <c r="I8" s="197">
        <v>100</v>
      </c>
      <c r="J8" s="268">
        <f t="shared" si="1"/>
        <v>7500</v>
      </c>
      <c r="K8" s="185"/>
      <c r="M8" s="362" t="s">
        <v>877</v>
      </c>
      <c r="N8" s="347">
        <f>COUNT(C68:C90)</f>
        <v>16</v>
      </c>
      <c r="O8" s="348">
        <f>V91</f>
        <v>11</v>
      </c>
      <c r="P8" s="348">
        <f>W91</f>
        <v>5</v>
      </c>
      <c r="Q8" s="349">
        <f>N8-O8-P8</f>
        <v>0</v>
      </c>
      <c r="R8" s="345">
        <f t="shared" ref="R8" si="4">O8/N8</f>
        <v>0.6875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43417</v>
      </c>
      <c r="D9" s="196" t="s">
        <v>23</v>
      </c>
      <c r="E9" s="196" t="s">
        <v>24</v>
      </c>
      <c r="F9" s="197">
        <v>30890</v>
      </c>
      <c r="G9" s="197">
        <v>30790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43418</v>
      </c>
      <c r="D10" s="196" t="s">
        <v>16</v>
      </c>
      <c r="E10" s="196" t="s">
        <v>24</v>
      </c>
      <c r="F10" s="197">
        <v>30650</v>
      </c>
      <c r="G10" s="197">
        <v>30850</v>
      </c>
      <c r="H10" s="196">
        <v>200</v>
      </c>
      <c r="I10" s="197">
        <v>100</v>
      </c>
      <c r="J10" s="268">
        <f t="shared" si="1"/>
        <v>20000</v>
      </c>
      <c r="K10" s="185"/>
      <c r="M10" s="319" t="s">
        <v>300</v>
      </c>
      <c r="N10" s="321">
        <f>SUM(N4:N9)</f>
        <v>48</v>
      </c>
      <c r="O10" s="321">
        <f>SUM(O4:O9)</f>
        <v>37</v>
      </c>
      <c r="P10" s="321">
        <f>SUM(P4:P9)</f>
        <v>11</v>
      </c>
      <c r="Q10" s="341">
        <f>SUM(Q4:Q9)</f>
        <v>0</v>
      </c>
      <c r="R10" s="343">
        <f t="shared" ref="R10" si="5">O10/N10</f>
        <v>0.77083333333333337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43419</v>
      </c>
      <c r="D11" s="196" t="s">
        <v>16</v>
      </c>
      <c r="E11" s="196" t="s">
        <v>24</v>
      </c>
      <c r="F11" s="197">
        <v>30890</v>
      </c>
      <c r="G11" s="197">
        <v>30790</v>
      </c>
      <c r="H11" s="196">
        <v>-100</v>
      </c>
      <c r="I11" s="197">
        <v>100</v>
      </c>
      <c r="J11" s="268">
        <f t="shared" si="1"/>
        <v>-10000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43420</v>
      </c>
      <c r="D12" s="196" t="s">
        <v>16</v>
      </c>
      <c r="E12" s="196" t="s">
        <v>24</v>
      </c>
      <c r="F12" s="197">
        <v>30830</v>
      </c>
      <c r="G12" s="197">
        <v>31030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0.77083333333333337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43423</v>
      </c>
      <c r="D13" s="196" t="s">
        <v>16</v>
      </c>
      <c r="E13" s="196" t="s">
        <v>24</v>
      </c>
      <c r="F13" s="197">
        <v>30970</v>
      </c>
      <c r="G13" s="197">
        <v>30870</v>
      </c>
      <c r="H13" s="196">
        <v>-100</v>
      </c>
      <c r="I13" s="197">
        <v>100</v>
      </c>
      <c r="J13" s="268">
        <f t="shared" si="1"/>
        <v>-10000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43424</v>
      </c>
      <c r="D14" s="196" t="s">
        <v>16</v>
      </c>
      <c r="E14" s="196" t="s">
        <v>24</v>
      </c>
      <c r="F14" s="197">
        <v>30860</v>
      </c>
      <c r="G14" s="197">
        <v>30960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43425</v>
      </c>
      <c r="D15" s="196" t="s">
        <v>16</v>
      </c>
      <c r="E15" s="196" t="s">
        <v>24</v>
      </c>
      <c r="F15" s="197">
        <v>30750</v>
      </c>
      <c r="G15" s="197">
        <v>30850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43426</v>
      </c>
      <c r="D16" s="196" t="s">
        <v>16</v>
      </c>
      <c r="E16" s="196" t="s">
        <v>24</v>
      </c>
      <c r="F16" s="197">
        <v>30820</v>
      </c>
      <c r="G16" s="197">
        <v>30720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43430</v>
      </c>
      <c r="D17" s="196" t="s">
        <v>16</v>
      </c>
      <c r="E17" s="196" t="s">
        <v>24</v>
      </c>
      <c r="F17" s="197">
        <v>30500</v>
      </c>
      <c r="G17" s="197">
        <v>30640</v>
      </c>
      <c r="H17" s="196">
        <v>140</v>
      </c>
      <c r="I17" s="197">
        <v>100</v>
      </c>
      <c r="J17" s="268">
        <f t="shared" si="1"/>
        <v>14000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43431</v>
      </c>
      <c r="D18" s="196" t="s">
        <v>16</v>
      </c>
      <c r="E18" s="196" t="s">
        <v>24</v>
      </c>
      <c r="F18" s="197">
        <v>30560</v>
      </c>
      <c r="G18" s="197">
        <v>30625</v>
      </c>
      <c r="H18" s="196">
        <v>65</v>
      </c>
      <c r="I18" s="197">
        <v>100</v>
      </c>
      <c r="J18" s="268">
        <f t="shared" si="1"/>
        <v>6500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43432</v>
      </c>
      <c r="D19" s="196" t="s">
        <v>16</v>
      </c>
      <c r="E19" s="196" t="s">
        <v>24</v>
      </c>
      <c r="F19" s="197">
        <v>30300</v>
      </c>
      <c r="G19" s="197">
        <v>30500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43433</v>
      </c>
      <c r="D20" s="196" t="s">
        <v>16</v>
      </c>
      <c r="E20" s="196" t="s">
        <v>24</v>
      </c>
      <c r="F20" s="197">
        <v>30300</v>
      </c>
      <c r="G20" s="197">
        <v>30200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43434</v>
      </c>
      <c r="D21" s="196" t="s">
        <v>16</v>
      </c>
      <c r="E21" s="196" t="s">
        <v>24</v>
      </c>
      <c r="F21" s="197">
        <v>30160</v>
      </c>
      <c r="G21" s="197">
        <v>30350</v>
      </c>
      <c r="H21" s="196">
        <v>190</v>
      </c>
      <c r="I21" s="197">
        <v>100</v>
      </c>
      <c r="J21" s="268">
        <f t="shared" si="1"/>
        <v>19000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/>
      <c r="D22" s="196"/>
      <c r="E22" s="196"/>
      <c r="F22" s="197"/>
      <c r="G22" s="197"/>
      <c r="H22" s="196"/>
      <c r="I22" s="197"/>
      <c r="J22" s="268">
        <f t="shared" si="1"/>
        <v>0</v>
      </c>
      <c r="K22" s="185"/>
      <c r="V22" s="183">
        <f t="shared" si="2"/>
        <v>0</v>
      </c>
      <c r="W22" s="183">
        <f t="shared" si="3"/>
        <v>0</v>
      </c>
    </row>
    <row r="23" spans="1:23" x14ac:dyDescent="0.3">
      <c r="A23" s="184"/>
      <c r="B23" s="194">
        <v>18</v>
      </c>
      <c r="C23" s="195"/>
      <c r="D23" s="196"/>
      <c r="E23" s="196"/>
      <c r="F23" s="197"/>
      <c r="G23" s="197"/>
      <c r="H23" s="196"/>
      <c r="I23" s="197"/>
      <c r="J23" s="268">
        <f t="shared" si="1"/>
        <v>0</v>
      </c>
      <c r="K23" s="185"/>
      <c r="V23" s="183">
        <f t="shared" si="2"/>
        <v>0</v>
      </c>
      <c r="W23" s="183">
        <f t="shared" si="3"/>
        <v>0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04" t="s">
        <v>879</v>
      </c>
      <c r="C29" s="305"/>
      <c r="D29" s="305"/>
      <c r="E29" s="305"/>
      <c r="F29" s="305"/>
      <c r="G29" s="305"/>
      <c r="H29" s="306"/>
      <c r="I29" s="203" t="s">
        <v>880</v>
      </c>
      <c r="J29" s="204">
        <f>SUM(J6:J28)</f>
        <v>93500</v>
      </c>
      <c r="K29" s="185"/>
      <c r="V29" s="183">
        <f>SUM(V6:V28)</f>
        <v>11</v>
      </c>
      <c r="W29" s="183">
        <f>SUM(W6:W28)</f>
        <v>5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07" t="s">
        <v>128</v>
      </c>
      <c r="C33" s="308"/>
      <c r="D33" s="308"/>
      <c r="E33" s="308"/>
      <c r="F33" s="308"/>
      <c r="G33" s="308"/>
      <c r="H33" s="308"/>
      <c r="I33" s="308"/>
      <c r="J33" s="309"/>
      <c r="K33" s="185"/>
    </row>
    <row r="34" spans="1:23" ht="16.2" thickBot="1" x14ac:dyDescent="0.35">
      <c r="A34" s="184"/>
      <c r="B34" s="310">
        <v>43405</v>
      </c>
      <c r="C34" s="311"/>
      <c r="D34" s="311"/>
      <c r="E34" s="311"/>
      <c r="F34" s="311"/>
      <c r="G34" s="311"/>
      <c r="H34" s="311"/>
      <c r="I34" s="311"/>
      <c r="J34" s="312"/>
      <c r="K34" s="185"/>
    </row>
    <row r="35" spans="1:23" ht="16.2" thickBot="1" x14ac:dyDescent="0.35">
      <c r="A35" s="184"/>
      <c r="B35" s="313" t="s">
        <v>881</v>
      </c>
      <c r="C35" s="314"/>
      <c r="D35" s="314"/>
      <c r="E35" s="314"/>
      <c r="F35" s="314"/>
      <c r="G35" s="314"/>
      <c r="H35" s="314"/>
      <c r="I35" s="314"/>
      <c r="J35" s="315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43405</v>
      </c>
      <c r="D37" s="192" t="s">
        <v>16</v>
      </c>
      <c r="E37" s="192" t="s">
        <v>25</v>
      </c>
      <c r="F37" s="193">
        <v>4815</v>
      </c>
      <c r="G37" s="193">
        <v>4755</v>
      </c>
      <c r="H37" s="192">
        <v>60</v>
      </c>
      <c r="I37" s="193">
        <v>100</v>
      </c>
      <c r="J37" s="267">
        <f t="shared" ref="J37:J59" si="6">I37*H37</f>
        <v>6000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43406</v>
      </c>
      <c r="D38" s="196" t="s">
        <v>23</v>
      </c>
      <c r="E38" s="196" t="s">
        <v>25</v>
      </c>
      <c r="F38" s="197">
        <v>4655</v>
      </c>
      <c r="G38" s="197">
        <v>4615</v>
      </c>
      <c r="H38" s="196">
        <v>40</v>
      </c>
      <c r="I38" s="197">
        <v>100</v>
      </c>
      <c r="J38" s="268">
        <f t="shared" si="6"/>
        <v>4000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43409</v>
      </c>
      <c r="D39" s="196" t="s">
        <v>23</v>
      </c>
      <c r="E39" s="196" t="s">
        <v>25</v>
      </c>
      <c r="F39" s="197">
        <v>4600</v>
      </c>
      <c r="G39" s="197">
        <v>4580</v>
      </c>
      <c r="H39" s="196">
        <v>20</v>
      </c>
      <c r="I39" s="197">
        <v>100</v>
      </c>
      <c r="J39" s="268">
        <f t="shared" si="6"/>
        <v>2000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43417</v>
      </c>
      <c r="D40" s="196" t="s">
        <v>23</v>
      </c>
      <c r="E40" s="196" t="s">
        <v>25</v>
      </c>
      <c r="F40" s="197">
        <v>4305</v>
      </c>
      <c r="G40" s="197">
        <v>4245</v>
      </c>
      <c r="H40" s="196">
        <v>60</v>
      </c>
      <c r="I40" s="197">
        <v>100</v>
      </c>
      <c r="J40" s="268">
        <f t="shared" si="6"/>
        <v>6000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43418</v>
      </c>
      <c r="D41" s="196" t="s">
        <v>23</v>
      </c>
      <c r="E41" s="196" t="s">
        <v>25</v>
      </c>
      <c r="F41" s="197">
        <v>3990</v>
      </c>
      <c r="G41" s="197">
        <v>4020</v>
      </c>
      <c r="H41" s="196">
        <v>-30</v>
      </c>
      <c r="I41" s="197">
        <v>100</v>
      </c>
      <c r="J41" s="268">
        <f t="shared" si="6"/>
        <v>-3000</v>
      </c>
      <c r="K41" s="185"/>
      <c r="V41" s="183">
        <f t="shared" si="7"/>
        <v>0</v>
      </c>
      <c r="W41" s="183">
        <f t="shared" si="8"/>
        <v>1</v>
      </c>
    </row>
    <row r="42" spans="1:23" x14ac:dyDescent="0.3">
      <c r="A42" s="184"/>
      <c r="B42" s="194">
        <v>6</v>
      </c>
      <c r="C42" s="195">
        <v>43419</v>
      </c>
      <c r="D42" s="196" t="s">
        <v>23</v>
      </c>
      <c r="E42" s="196" t="s">
        <v>25</v>
      </c>
      <c r="F42" s="197">
        <v>4055</v>
      </c>
      <c r="G42" s="197">
        <v>4015</v>
      </c>
      <c r="H42" s="196">
        <v>40</v>
      </c>
      <c r="I42" s="197">
        <v>100</v>
      </c>
      <c r="J42" s="268">
        <f t="shared" si="6"/>
        <v>4000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43420</v>
      </c>
      <c r="D43" s="196" t="s">
        <v>23</v>
      </c>
      <c r="E43" s="196" t="s">
        <v>25</v>
      </c>
      <c r="F43" s="197">
        <v>4145</v>
      </c>
      <c r="G43" s="197">
        <v>4125</v>
      </c>
      <c r="H43" s="196">
        <v>20</v>
      </c>
      <c r="I43" s="197">
        <v>100</v>
      </c>
      <c r="J43" s="268">
        <f t="shared" si="6"/>
        <v>2000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43423</v>
      </c>
      <c r="D44" s="196" t="s">
        <v>23</v>
      </c>
      <c r="E44" s="196" t="s">
        <v>25</v>
      </c>
      <c r="F44" s="197">
        <v>4150</v>
      </c>
      <c r="G44" s="197">
        <v>4090</v>
      </c>
      <c r="H44" s="196">
        <v>60</v>
      </c>
      <c r="I44" s="197">
        <v>100</v>
      </c>
      <c r="J44" s="268">
        <f t="shared" si="6"/>
        <v>6000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43424</v>
      </c>
      <c r="D45" s="196" t="s">
        <v>23</v>
      </c>
      <c r="E45" s="196" t="s">
        <v>25</v>
      </c>
      <c r="F45" s="197">
        <v>4085</v>
      </c>
      <c r="G45" s="197">
        <v>4055</v>
      </c>
      <c r="H45" s="196">
        <v>30</v>
      </c>
      <c r="I45" s="197">
        <v>100</v>
      </c>
      <c r="J45" s="268">
        <f t="shared" si="6"/>
        <v>3000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43425</v>
      </c>
      <c r="D46" s="196" t="s">
        <v>23</v>
      </c>
      <c r="E46" s="196" t="s">
        <v>25</v>
      </c>
      <c r="F46" s="197">
        <v>3900</v>
      </c>
      <c r="G46" s="197">
        <v>3870</v>
      </c>
      <c r="H46" s="196">
        <v>30</v>
      </c>
      <c r="I46" s="197">
        <v>100</v>
      </c>
      <c r="J46" s="268">
        <f t="shared" si="6"/>
        <v>3000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43426</v>
      </c>
      <c r="D47" s="196" t="s">
        <v>23</v>
      </c>
      <c r="E47" s="196" t="s">
        <v>25</v>
      </c>
      <c r="F47" s="197">
        <v>3895</v>
      </c>
      <c r="G47" s="197">
        <v>3835</v>
      </c>
      <c r="H47" s="196">
        <v>60</v>
      </c>
      <c r="I47" s="197">
        <v>100</v>
      </c>
      <c r="J47" s="268">
        <f t="shared" si="6"/>
        <v>6000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43430</v>
      </c>
      <c r="D48" s="196" t="s">
        <v>23</v>
      </c>
      <c r="E48" s="196" t="s">
        <v>25</v>
      </c>
      <c r="F48" s="197">
        <v>3635</v>
      </c>
      <c r="G48" s="197">
        <v>3605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43431</v>
      </c>
      <c r="D49" s="196" t="s">
        <v>23</v>
      </c>
      <c r="E49" s="196" t="s">
        <v>25</v>
      </c>
      <c r="F49" s="197">
        <v>3655</v>
      </c>
      <c r="G49" s="197">
        <v>3610</v>
      </c>
      <c r="H49" s="196">
        <v>54</v>
      </c>
      <c r="I49" s="197">
        <v>100</v>
      </c>
      <c r="J49" s="268">
        <f t="shared" si="6"/>
        <v>5400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43432</v>
      </c>
      <c r="D50" s="196" t="s">
        <v>23</v>
      </c>
      <c r="E50" s="196" t="s">
        <v>25</v>
      </c>
      <c r="F50" s="197">
        <v>3720</v>
      </c>
      <c r="G50" s="197">
        <v>3660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43433</v>
      </c>
      <c r="D51" s="196" t="s">
        <v>23</v>
      </c>
      <c r="E51" s="196" t="s">
        <v>25</v>
      </c>
      <c r="F51" s="197">
        <v>3560</v>
      </c>
      <c r="G51" s="197">
        <v>3500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43434</v>
      </c>
      <c r="D52" s="196" t="s">
        <v>23</v>
      </c>
      <c r="E52" s="196" t="s">
        <v>25</v>
      </c>
      <c r="F52" s="197">
        <v>3600</v>
      </c>
      <c r="G52" s="197">
        <v>3540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/>
      <c r="D53" s="196"/>
      <c r="E53" s="196"/>
      <c r="F53" s="197"/>
      <c r="G53" s="197"/>
      <c r="H53" s="196"/>
      <c r="I53" s="197"/>
      <c r="J53" s="268">
        <f t="shared" si="6"/>
        <v>0</v>
      </c>
      <c r="K53" s="185"/>
      <c r="V53" s="183">
        <f t="shared" si="7"/>
        <v>0</v>
      </c>
      <c r="W53" s="183">
        <f t="shared" si="8"/>
        <v>0</v>
      </c>
    </row>
    <row r="54" spans="1:23" x14ac:dyDescent="0.3">
      <c r="A54" s="255"/>
      <c r="B54" s="194">
        <v>18</v>
      </c>
      <c r="C54" s="195"/>
      <c r="D54" s="196"/>
      <c r="E54" s="196"/>
      <c r="F54" s="197"/>
      <c r="G54" s="197"/>
      <c r="H54" s="196"/>
      <c r="I54" s="197"/>
      <c r="J54" s="268">
        <f t="shared" si="6"/>
        <v>0</v>
      </c>
      <c r="K54" s="185"/>
      <c r="V54" s="183">
        <f t="shared" si="7"/>
        <v>0</v>
      </c>
      <c r="W54" s="183">
        <f t="shared" si="8"/>
        <v>0</v>
      </c>
    </row>
    <row r="55" spans="1:23" x14ac:dyDescent="0.3">
      <c r="A55" s="184"/>
      <c r="B55" s="194">
        <v>19</v>
      </c>
      <c r="C55" s="195"/>
      <c r="D55" s="196"/>
      <c r="E55" s="196"/>
      <c r="F55" s="197"/>
      <c r="G55" s="197"/>
      <c r="H55" s="196"/>
      <c r="I55" s="197"/>
      <c r="J55" s="268">
        <f t="shared" si="6"/>
        <v>0</v>
      </c>
      <c r="K55" s="185"/>
      <c r="V55" s="183">
        <f t="shared" si="7"/>
        <v>0</v>
      </c>
      <c r="W55" s="183">
        <f t="shared" si="8"/>
        <v>0</v>
      </c>
    </row>
    <row r="56" spans="1:23" x14ac:dyDescent="0.3">
      <c r="A56" s="184"/>
      <c r="B56" s="194">
        <v>20</v>
      </c>
      <c r="C56" s="195"/>
      <c r="D56" s="196"/>
      <c r="E56" s="196"/>
      <c r="F56" s="197"/>
      <c r="G56" s="197"/>
      <c r="H56" s="196"/>
      <c r="I56" s="197"/>
      <c r="J56" s="268">
        <f t="shared" si="6"/>
        <v>0</v>
      </c>
      <c r="K56" s="185"/>
      <c r="V56" s="183">
        <f t="shared" si="7"/>
        <v>0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04" t="s">
        <v>879</v>
      </c>
      <c r="C60" s="305"/>
      <c r="D60" s="305"/>
      <c r="E60" s="305"/>
      <c r="F60" s="305"/>
      <c r="G60" s="305"/>
      <c r="H60" s="306"/>
      <c r="I60" s="203" t="s">
        <v>880</v>
      </c>
      <c r="J60" s="204">
        <f>SUM(J37:J59)</f>
        <v>65400</v>
      </c>
      <c r="K60" s="185"/>
      <c r="V60" s="183">
        <f>SUM(V37:V59)</f>
        <v>15</v>
      </c>
      <c r="W60" s="183">
        <f>SUM(W37:W59)</f>
        <v>1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07" t="s">
        <v>873</v>
      </c>
      <c r="C64" s="308"/>
      <c r="D64" s="308"/>
      <c r="E64" s="308"/>
      <c r="F64" s="308"/>
      <c r="G64" s="308"/>
      <c r="H64" s="308"/>
      <c r="I64" s="308"/>
      <c r="J64" s="309"/>
      <c r="K64" s="185"/>
    </row>
    <row r="65" spans="1:23" ht="16.2" thickBot="1" x14ac:dyDescent="0.35">
      <c r="A65" s="184"/>
      <c r="B65" s="310">
        <v>43405</v>
      </c>
      <c r="C65" s="311"/>
      <c r="D65" s="311"/>
      <c r="E65" s="311"/>
      <c r="F65" s="311"/>
      <c r="G65" s="311"/>
      <c r="H65" s="311"/>
      <c r="I65" s="311"/>
      <c r="J65" s="312"/>
      <c r="K65" s="185"/>
    </row>
    <row r="66" spans="1:23" ht="16.2" thickBot="1" x14ac:dyDescent="0.35">
      <c r="A66" s="184"/>
      <c r="B66" s="313" t="s">
        <v>882</v>
      </c>
      <c r="C66" s="314"/>
      <c r="D66" s="314"/>
      <c r="E66" s="314"/>
      <c r="F66" s="314"/>
      <c r="G66" s="314"/>
      <c r="H66" s="314"/>
      <c r="I66" s="314"/>
      <c r="J66" s="315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43405</v>
      </c>
      <c r="D68" s="216" t="s">
        <v>23</v>
      </c>
      <c r="E68" s="256" t="s">
        <v>28</v>
      </c>
      <c r="F68" s="256">
        <v>189</v>
      </c>
      <c r="G68" s="256">
        <v>188</v>
      </c>
      <c r="H68" s="256">
        <v>1</v>
      </c>
      <c r="I68" s="218">
        <v>5000</v>
      </c>
      <c r="J68" s="273">
        <f>I68*H68</f>
        <v>5000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43406</v>
      </c>
      <c r="D69" s="196" t="s">
        <v>23</v>
      </c>
      <c r="E69" s="222" t="s">
        <v>28</v>
      </c>
      <c r="F69" s="222">
        <v>191.5</v>
      </c>
      <c r="G69" s="222">
        <v>189.5</v>
      </c>
      <c r="H69" s="222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43409</v>
      </c>
      <c r="D70" s="196" t="s">
        <v>23</v>
      </c>
      <c r="E70" s="222" t="s">
        <v>28</v>
      </c>
      <c r="F70" s="222">
        <v>188.1</v>
      </c>
      <c r="G70" s="222">
        <v>186.1</v>
      </c>
      <c r="H70" s="222">
        <v>2</v>
      </c>
      <c r="I70" s="197">
        <v>5000</v>
      </c>
      <c r="J70" s="268">
        <f t="shared" si="9"/>
        <v>10000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43417</v>
      </c>
      <c r="D71" s="196" t="s">
        <v>23</v>
      </c>
      <c r="E71" s="222" t="s">
        <v>28</v>
      </c>
      <c r="F71" s="222">
        <v>186</v>
      </c>
      <c r="G71" s="222">
        <v>187</v>
      </c>
      <c r="H71" s="222">
        <v>-1</v>
      </c>
      <c r="I71" s="197">
        <v>5000</v>
      </c>
      <c r="J71" s="268">
        <f t="shared" si="9"/>
        <v>-5000</v>
      </c>
      <c r="K71" s="185"/>
      <c r="V71" s="183">
        <f t="shared" si="10"/>
        <v>0</v>
      </c>
      <c r="W71" s="183">
        <f t="shared" si="11"/>
        <v>1</v>
      </c>
    </row>
    <row r="72" spans="1:23" x14ac:dyDescent="0.3">
      <c r="A72" s="184"/>
      <c r="B72" s="194">
        <v>5</v>
      </c>
      <c r="C72" s="195">
        <v>43418</v>
      </c>
      <c r="D72" s="196" t="s">
        <v>23</v>
      </c>
      <c r="E72" s="222" t="s">
        <v>28</v>
      </c>
      <c r="F72" s="222">
        <v>182.3</v>
      </c>
      <c r="G72" s="222">
        <v>183.3</v>
      </c>
      <c r="H72" s="222">
        <v>-1</v>
      </c>
      <c r="I72" s="197">
        <v>5000</v>
      </c>
      <c r="J72" s="268">
        <f t="shared" si="9"/>
        <v>-5000</v>
      </c>
      <c r="K72" s="185"/>
      <c r="V72" s="183">
        <f t="shared" si="10"/>
        <v>0</v>
      </c>
      <c r="W72" s="183">
        <f t="shared" si="11"/>
        <v>1</v>
      </c>
    </row>
    <row r="73" spans="1:23" x14ac:dyDescent="0.3">
      <c r="A73" s="184"/>
      <c r="B73" s="194">
        <v>6</v>
      </c>
      <c r="C73" s="195">
        <v>43419</v>
      </c>
      <c r="D73" s="196" t="s">
        <v>23</v>
      </c>
      <c r="E73" s="222" t="s">
        <v>28</v>
      </c>
      <c r="F73" s="222">
        <v>189.5</v>
      </c>
      <c r="G73" s="222">
        <v>190.5</v>
      </c>
      <c r="H73" s="222">
        <v>-1</v>
      </c>
      <c r="I73" s="197">
        <v>5000</v>
      </c>
      <c r="J73" s="268">
        <f t="shared" si="9"/>
        <v>-5000</v>
      </c>
      <c r="K73" s="185"/>
      <c r="V73" s="183">
        <f t="shared" si="10"/>
        <v>0</v>
      </c>
      <c r="W73" s="183">
        <f t="shared" si="11"/>
        <v>1</v>
      </c>
    </row>
    <row r="74" spans="1:23" x14ac:dyDescent="0.3">
      <c r="A74" s="184"/>
      <c r="B74" s="194">
        <v>7</v>
      </c>
      <c r="C74" s="195">
        <v>43420</v>
      </c>
      <c r="D74" s="196" t="s">
        <v>23</v>
      </c>
      <c r="E74" s="222" t="s">
        <v>28</v>
      </c>
      <c r="F74" s="222">
        <v>187.6</v>
      </c>
      <c r="G74" s="222">
        <v>188.6</v>
      </c>
      <c r="H74" s="274">
        <v>-1</v>
      </c>
      <c r="I74" s="197">
        <v>5000</v>
      </c>
      <c r="J74" s="268">
        <f t="shared" si="9"/>
        <v>-5000</v>
      </c>
      <c r="K74" s="185"/>
      <c r="V74" s="183">
        <f t="shared" si="10"/>
        <v>0</v>
      </c>
      <c r="W74" s="183">
        <f t="shared" si="11"/>
        <v>1</v>
      </c>
    </row>
    <row r="75" spans="1:23" x14ac:dyDescent="0.3">
      <c r="A75" s="184"/>
      <c r="B75" s="194">
        <v>8</v>
      </c>
      <c r="C75" s="195">
        <v>43423</v>
      </c>
      <c r="D75" s="196" t="s">
        <v>23</v>
      </c>
      <c r="E75" s="222" t="s">
        <v>28</v>
      </c>
      <c r="F75" s="222">
        <v>191</v>
      </c>
      <c r="G75" s="222">
        <v>189</v>
      </c>
      <c r="H75" s="222">
        <v>2</v>
      </c>
      <c r="I75" s="197">
        <v>5000</v>
      </c>
      <c r="J75" s="268">
        <f t="shared" si="9"/>
        <v>10000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43424</v>
      </c>
      <c r="D76" s="196" t="s">
        <v>23</v>
      </c>
      <c r="E76" s="222" t="s">
        <v>28</v>
      </c>
      <c r="F76" s="222">
        <v>190</v>
      </c>
      <c r="G76" s="222">
        <v>188</v>
      </c>
      <c r="H76" s="222">
        <v>2</v>
      </c>
      <c r="I76" s="197">
        <v>5000</v>
      </c>
      <c r="J76" s="268">
        <f t="shared" si="9"/>
        <v>10000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43425</v>
      </c>
      <c r="D77" s="196" t="s">
        <v>23</v>
      </c>
      <c r="E77" s="222" t="s">
        <v>28</v>
      </c>
      <c r="F77" s="222">
        <v>187</v>
      </c>
      <c r="G77" s="222">
        <v>186</v>
      </c>
      <c r="H77" s="222">
        <v>1</v>
      </c>
      <c r="I77" s="197">
        <v>5000</v>
      </c>
      <c r="J77" s="268">
        <f t="shared" si="9"/>
        <v>5000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43426</v>
      </c>
      <c r="D78" s="196" t="s">
        <v>23</v>
      </c>
      <c r="E78" s="222" t="s">
        <v>28</v>
      </c>
      <c r="F78" s="222">
        <v>187.4</v>
      </c>
      <c r="G78" s="222">
        <v>186.9</v>
      </c>
      <c r="H78" s="274">
        <v>0.5</v>
      </c>
      <c r="I78" s="197">
        <v>5000</v>
      </c>
      <c r="J78" s="268">
        <f t="shared" si="9"/>
        <v>2500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43430</v>
      </c>
      <c r="D79" s="196" t="s">
        <v>23</v>
      </c>
      <c r="E79" s="222" t="s">
        <v>28</v>
      </c>
      <c r="F79" s="222">
        <v>181.7</v>
      </c>
      <c r="G79" s="222">
        <v>179.7</v>
      </c>
      <c r="H79" s="274">
        <v>2</v>
      </c>
      <c r="I79" s="197">
        <v>5000</v>
      </c>
      <c r="J79" s="268">
        <f t="shared" si="9"/>
        <v>10000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43431</v>
      </c>
      <c r="D80" s="196" t="s">
        <v>23</v>
      </c>
      <c r="E80" s="222" t="s">
        <v>28</v>
      </c>
      <c r="F80" s="222">
        <v>176.3</v>
      </c>
      <c r="G80" s="222">
        <v>175.8</v>
      </c>
      <c r="H80" s="274">
        <v>0.5</v>
      </c>
      <c r="I80" s="197">
        <v>5000</v>
      </c>
      <c r="J80" s="268">
        <f t="shared" si="9"/>
        <v>2500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43432</v>
      </c>
      <c r="D81" s="196" t="s">
        <v>23</v>
      </c>
      <c r="E81" s="222" t="s">
        <v>28</v>
      </c>
      <c r="F81" s="222">
        <v>176.6</v>
      </c>
      <c r="G81" s="222">
        <v>174.6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43433</v>
      </c>
      <c r="D82" s="196" t="s">
        <v>23</v>
      </c>
      <c r="E82" s="222" t="s">
        <v>28</v>
      </c>
      <c r="F82" s="223">
        <v>177.7</v>
      </c>
      <c r="G82" s="222">
        <v>178.7</v>
      </c>
      <c r="H82" s="274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16</v>
      </c>
      <c r="C83" s="195">
        <v>43434</v>
      </c>
      <c r="D83" s="196" t="s">
        <v>16</v>
      </c>
      <c r="E83" s="222" t="s">
        <v>28</v>
      </c>
      <c r="F83" s="222">
        <v>179.7</v>
      </c>
      <c r="G83" s="222">
        <v>181.7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/>
      <c r="D84" s="196"/>
      <c r="E84" s="222"/>
      <c r="F84" s="222"/>
      <c r="G84" s="222"/>
      <c r="H84" s="274"/>
      <c r="I84" s="197"/>
      <c r="J84" s="268">
        <f t="shared" si="9"/>
        <v>0</v>
      </c>
      <c r="K84" s="185"/>
      <c r="V84" s="183">
        <f t="shared" si="10"/>
        <v>0</v>
      </c>
      <c r="W84" s="183">
        <f t="shared" si="11"/>
        <v>0</v>
      </c>
    </row>
    <row r="85" spans="1:23" x14ac:dyDescent="0.3">
      <c r="A85" s="184"/>
      <c r="B85" s="194">
        <v>18</v>
      </c>
      <c r="C85" s="195"/>
      <c r="D85" s="196"/>
      <c r="E85" s="222"/>
      <c r="F85" s="222"/>
      <c r="G85" s="222"/>
      <c r="H85" s="274"/>
      <c r="I85" s="197"/>
      <c r="J85" s="268">
        <f t="shared" si="9"/>
        <v>0</v>
      </c>
      <c r="K85" s="185"/>
      <c r="V85" s="183">
        <f t="shared" si="10"/>
        <v>0</v>
      </c>
      <c r="W85" s="183">
        <f t="shared" si="11"/>
        <v>0</v>
      </c>
    </row>
    <row r="86" spans="1:23" x14ac:dyDescent="0.3">
      <c r="A86" s="184"/>
      <c r="B86" s="194">
        <v>19</v>
      </c>
      <c r="C86" s="195"/>
      <c r="D86" s="196"/>
      <c r="E86" s="222"/>
      <c r="F86" s="222"/>
      <c r="G86" s="222"/>
      <c r="H86" s="274"/>
      <c r="I86" s="197"/>
      <c r="J86" s="268">
        <f t="shared" si="9"/>
        <v>0</v>
      </c>
      <c r="K86" s="185"/>
      <c r="V86" s="183">
        <f t="shared" si="10"/>
        <v>0</v>
      </c>
      <c r="W86" s="183">
        <f t="shared" si="11"/>
        <v>0</v>
      </c>
    </row>
    <row r="87" spans="1:23" x14ac:dyDescent="0.3">
      <c r="A87" s="184"/>
      <c r="B87" s="194">
        <v>20</v>
      </c>
      <c r="C87" s="195"/>
      <c r="D87" s="196"/>
      <c r="E87" s="222"/>
      <c r="F87" s="222"/>
      <c r="G87" s="222"/>
      <c r="H87" s="274"/>
      <c r="I87" s="197"/>
      <c r="J87" s="268">
        <f t="shared" si="9"/>
        <v>0</v>
      </c>
      <c r="K87" s="185"/>
      <c r="V87" s="183">
        <f t="shared" si="10"/>
        <v>0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222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16" t="s">
        <v>879</v>
      </c>
      <c r="C91" s="317"/>
      <c r="D91" s="317"/>
      <c r="E91" s="317"/>
      <c r="F91" s="317"/>
      <c r="G91" s="317"/>
      <c r="H91" s="318"/>
      <c r="I91" s="212" t="s">
        <v>880</v>
      </c>
      <c r="J91" s="213">
        <f>SUM(J68:J90)</f>
        <v>60000</v>
      </c>
      <c r="K91" s="185"/>
      <c r="V91" s="183">
        <f>SUM(V68:V90)</f>
        <v>11</v>
      </c>
      <c r="W91" s="183">
        <f>SUM(W68:W90)</f>
        <v>5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4700-000000000000}"/>
    <hyperlink ref="B60" r:id="rId2" xr:uid="{00000000-0004-0000-4700-000001000000}"/>
    <hyperlink ref="M4:M5" location="'NOV-2018'!A1" display="BULLION" xr:uid="{00000000-0004-0000-4700-000002000000}"/>
    <hyperlink ref="B91" r:id="rId3" xr:uid="{00000000-0004-0000-4700-000003000000}"/>
    <hyperlink ref="M8:M9" location="'NOV-2018'!A86" display="BASE METAL" xr:uid="{00000000-0004-0000-4700-000004000000}"/>
    <hyperlink ref="M1" location="MASTER!A1" display="Back" xr:uid="{00000000-0004-0000-4700-000005000000}"/>
    <hyperlink ref="M6:M7" location="'NOV-2018'!A54" display="ENERGY" xr:uid="{00000000-0004-0000-4700-000006000000}"/>
  </hyperlinks>
  <pageMargins left="0" right="0" top="0" bottom="0" header="0" footer="0"/>
  <pageSetup paperSize="9" orientation="portrait" r:id="rId4"/>
  <drawing r:id="rId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W99"/>
  <sheetViews>
    <sheetView topLeftCell="A31" workbookViewId="0">
      <selection activeCell="N39" sqref="N38:O39"/>
    </sheetView>
  </sheetViews>
  <sheetFormatPr defaultColWidth="9.109375" defaultRowHeight="14.4" x14ac:dyDescent="0.3"/>
  <cols>
    <col min="1" max="1" width="7" style="183" customWidth="1"/>
    <col min="2" max="2" width="3.5546875" style="183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.6640625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43435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COUNT(C6:C35)</f>
        <v>28</v>
      </c>
      <c r="O4" s="355">
        <v>22</v>
      </c>
      <c r="P4" s="355">
        <v>6</v>
      </c>
      <c r="Q4" s="356">
        <f>N4-O4-P4</f>
        <v>0</v>
      </c>
      <c r="R4" s="343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43437</v>
      </c>
      <c r="D6" s="192" t="s">
        <v>23</v>
      </c>
      <c r="E6" s="192" t="s">
        <v>24</v>
      </c>
      <c r="F6" s="193">
        <v>30730</v>
      </c>
      <c r="G6" s="193">
        <v>30830</v>
      </c>
      <c r="H6" s="192">
        <v>-100</v>
      </c>
      <c r="I6" s="193">
        <v>100</v>
      </c>
      <c r="J6" s="267">
        <f t="shared" ref="J6:J35" si="0">H6*I6</f>
        <v>-10000</v>
      </c>
      <c r="K6" s="185"/>
      <c r="M6" s="364" t="s">
        <v>258</v>
      </c>
      <c r="N6" s="347">
        <f>COUNT(C44:C66)</f>
        <v>20</v>
      </c>
      <c r="O6" s="348">
        <f>V67</f>
        <v>16</v>
      </c>
      <c r="P6" s="348">
        <f>W67</f>
        <v>4</v>
      </c>
      <c r="Q6" s="349">
        <f>N6-O6-P6</f>
        <v>0</v>
      </c>
      <c r="R6" s="345">
        <f t="shared" ref="R6" si="1">O6/N6</f>
        <v>0.8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43438</v>
      </c>
      <c r="D7" s="196" t="s">
        <v>23</v>
      </c>
      <c r="E7" s="196" t="s">
        <v>24</v>
      </c>
      <c r="F7" s="197">
        <v>30950</v>
      </c>
      <c r="G7" s="197">
        <v>31050</v>
      </c>
      <c r="H7" s="196">
        <v>-100</v>
      </c>
      <c r="I7" s="197">
        <v>100</v>
      </c>
      <c r="J7" s="268">
        <f t="shared" si="0"/>
        <v>-10000</v>
      </c>
      <c r="K7" s="185"/>
      <c r="M7" s="365"/>
      <c r="N7" s="347"/>
      <c r="O7" s="348"/>
      <c r="P7" s="348"/>
      <c r="Q7" s="350"/>
      <c r="R7" s="345"/>
      <c r="V7" s="183">
        <f t="shared" ref="V7:V35" si="2">IF($J7&gt;0,1,0)</f>
        <v>0</v>
      </c>
      <c r="W7" s="183">
        <f t="shared" ref="W7:W35" si="3">IF($J7&lt;0,1,0)</f>
        <v>1</v>
      </c>
    </row>
    <row r="8" spans="1:23" x14ac:dyDescent="0.3">
      <c r="A8" s="184"/>
      <c r="B8" s="194">
        <v>3</v>
      </c>
      <c r="C8" s="195">
        <v>43439</v>
      </c>
      <c r="D8" s="196" t="s">
        <v>23</v>
      </c>
      <c r="E8" s="196" t="s">
        <v>24</v>
      </c>
      <c r="F8" s="197">
        <v>30950</v>
      </c>
      <c r="G8" s="197">
        <v>30890</v>
      </c>
      <c r="H8" s="196">
        <v>60</v>
      </c>
      <c r="I8" s="197">
        <v>100</v>
      </c>
      <c r="J8" s="268">
        <f t="shared" si="0"/>
        <v>6000</v>
      </c>
      <c r="K8" s="185"/>
      <c r="M8" s="362" t="s">
        <v>877</v>
      </c>
      <c r="N8" s="347">
        <f>COUNT(C75:C97)</f>
        <v>20</v>
      </c>
      <c r="O8" s="348">
        <v>13</v>
      </c>
      <c r="P8" s="348">
        <v>7</v>
      </c>
      <c r="Q8" s="366">
        <v>0</v>
      </c>
      <c r="R8" s="345">
        <f t="shared" ref="R8" si="4">O8/N8</f>
        <v>0.65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43440</v>
      </c>
      <c r="D9" s="196" t="s">
        <v>23</v>
      </c>
      <c r="E9" s="196" t="s">
        <v>24</v>
      </c>
      <c r="F9" s="197">
        <v>31160</v>
      </c>
      <c r="G9" s="197">
        <v>31080</v>
      </c>
      <c r="H9" s="196">
        <v>80</v>
      </c>
      <c r="I9" s="197">
        <v>100</v>
      </c>
      <c r="J9" s="268">
        <f t="shared" si="0"/>
        <v>8000</v>
      </c>
      <c r="K9" s="185"/>
      <c r="M9" s="362"/>
      <c r="N9" s="347"/>
      <c r="O9" s="348"/>
      <c r="P9" s="348"/>
      <c r="Q9" s="367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43441</v>
      </c>
      <c r="D10" s="196" t="s">
        <v>16</v>
      </c>
      <c r="E10" s="196" t="s">
        <v>24</v>
      </c>
      <c r="F10" s="197">
        <v>31020</v>
      </c>
      <c r="G10" s="197">
        <v>31160</v>
      </c>
      <c r="H10" s="196">
        <v>140</v>
      </c>
      <c r="I10" s="197">
        <v>100</v>
      </c>
      <c r="J10" s="268">
        <f t="shared" si="0"/>
        <v>14000</v>
      </c>
      <c r="K10" s="185"/>
      <c r="M10" s="319" t="s">
        <v>300</v>
      </c>
      <c r="N10" s="321">
        <f>SUM(N4:N9)</f>
        <v>68</v>
      </c>
      <c r="O10" s="321">
        <f>SUM(O4:O9)</f>
        <v>51</v>
      </c>
      <c r="P10" s="321">
        <f>SUM(P4:P9)</f>
        <v>17</v>
      </c>
      <c r="Q10" s="341">
        <f>SUM(Q4:Q9)</f>
        <v>0</v>
      </c>
      <c r="R10" s="343">
        <f t="shared" ref="R10" si="5">O10/N10</f>
        <v>0.75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43444</v>
      </c>
      <c r="D11" s="196" t="s">
        <v>16</v>
      </c>
      <c r="E11" s="196" t="s">
        <v>24</v>
      </c>
      <c r="F11" s="197">
        <v>31580</v>
      </c>
      <c r="G11" s="197">
        <v>31780</v>
      </c>
      <c r="H11" s="196">
        <v>200</v>
      </c>
      <c r="I11" s="197">
        <v>100</v>
      </c>
      <c r="J11" s="268">
        <f t="shared" si="0"/>
        <v>20000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43445</v>
      </c>
      <c r="D12" s="196" t="s">
        <v>16</v>
      </c>
      <c r="E12" s="196" t="s">
        <v>24</v>
      </c>
      <c r="F12" s="197">
        <v>31820</v>
      </c>
      <c r="G12" s="197">
        <v>31970</v>
      </c>
      <c r="H12" s="196">
        <v>150</v>
      </c>
      <c r="I12" s="197">
        <v>100</v>
      </c>
      <c r="J12" s="268">
        <f t="shared" si="0"/>
        <v>15000</v>
      </c>
      <c r="K12" s="185"/>
      <c r="M12" s="323" t="s">
        <v>878</v>
      </c>
      <c r="N12" s="324"/>
      <c r="O12" s="325"/>
      <c r="P12" s="332">
        <f>R10</f>
        <v>0.75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43445</v>
      </c>
      <c r="D13" s="196" t="s">
        <v>16</v>
      </c>
      <c r="E13" s="196" t="s">
        <v>22</v>
      </c>
      <c r="F13" s="197">
        <v>38400</v>
      </c>
      <c r="G13" s="197">
        <v>38600</v>
      </c>
      <c r="H13" s="196">
        <v>200</v>
      </c>
      <c r="I13" s="197">
        <v>30</v>
      </c>
      <c r="J13" s="268">
        <f t="shared" si="0"/>
        <v>6000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43446</v>
      </c>
      <c r="D14" s="196" t="s">
        <v>23</v>
      </c>
      <c r="E14" s="196" t="s">
        <v>24</v>
      </c>
      <c r="F14" s="197">
        <v>31800</v>
      </c>
      <c r="G14" s="197">
        <v>31700</v>
      </c>
      <c r="H14" s="196">
        <v>100</v>
      </c>
      <c r="I14" s="197">
        <v>100</v>
      </c>
      <c r="J14" s="268">
        <f t="shared" si="0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43447</v>
      </c>
      <c r="D15" s="196" t="s">
        <v>16</v>
      </c>
      <c r="E15" s="196" t="s">
        <v>24</v>
      </c>
      <c r="F15" s="197">
        <v>31600</v>
      </c>
      <c r="G15" s="197">
        <v>31660</v>
      </c>
      <c r="H15" s="196">
        <v>60</v>
      </c>
      <c r="I15" s="197">
        <v>100</v>
      </c>
      <c r="J15" s="268">
        <f t="shared" si="0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43448</v>
      </c>
      <c r="D16" s="196" t="s">
        <v>23</v>
      </c>
      <c r="E16" s="196" t="s">
        <v>24</v>
      </c>
      <c r="F16" s="197">
        <v>31560</v>
      </c>
      <c r="G16" s="197">
        <v>31510</v>
      </c>
      <c r="H16" s="196">
        <v>50</v>
      </c>
      <c r="I16" s="197">
        <v>100</v>
      </c>
      <c r="J16" s="268">
        <f t="shared" si="0"/>
        <v>5000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43451</v>
      </c>
      <c r="D17" s="196" t="s">
        <v>23</v>
      </c>
      <c r="E17" s="196" t="s">
        <v>24</v>
      </c>
      <c r="F17" s="197">
        <v>31460</v>
      </c>
      <c r="G17" s="197">
        <v>31560</v>
      </c>
      <c r="H17" s="196">
        <v>-100</v>
      </c>
      <c r="I17" s="197">
        <v>100</v>
      </c>
      <c r="J17" s="268">
        <f t="shared" si="0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43452</v>
      </c>
      <c r="D18" s="196" t="s">
        <v>23</v>
      </c>
      <c r="E18" s="196" t="s">
        <v>24</v>
      </c>
      <c r="F18" s="197">
        <v>31470</v>
      </c>
      <c r="G18" s="197">
        <v>31270</v>
      </c>
      <c r="H18" s="196">
        <v>200</v>
      </c>
      <c r="I18" s="197">
        <v>100</v>
      </c>
      <c r="J18" s="268">
        <f t="shared" si="0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43452</v>
      </c>
      <c r="D19" s="196" t="s">
        <v>23</v>
      </c>
      <c r="E19" s="196" t="s">
        <v>22</v>
      </c>
      <c r="F19" s="197">
        <v>37900</v>
      </c>
      <c r="G19" s="197">
        <v>37510</v>
      </c>
      <c r="H19" s="196">
        <v>390</v>
      </c>
      <c r="I19" s="197">
        <v>30</v>
      </c>
      <c r="J19" s="268">
        <f t="shared" si="0"/>
        <v>11700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43453</v>
      </c>
      <c r="D20" s="196" t="s">
        <v>23</v>
      </c>
      <c r="E20" s="196" t="s">
        <v>24</v>
      </c>
      <c r="F20" s="197">
        <v>31130</v>
      </c>
      <c r="G20" s="197">
        <v>31230</v>
      </c>
      <c r="H20" s="196">
        <v>-100</v>
      </c>
      <c r="I20" s="197">
        <v>100</v>
      </c>
      <c r="J20" s="268">
        <f t="shared" si="0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43453</v>
      </c>
      <c r="D21" s="196" t="s">
        <v>23</v>
      </c>
      <c r="E21" s="196" t="s">
        <v>22</v>
      </c>
      <c r="F21" s="197">
        <v>37450</v>
      </c>
      <c r="G21" s="197">
        <v>37650</v>
      </c>
      <c r="H21" s="196">
        <v>-200</v>
      </c>
      <c r="I21" s="197">
        <v>30</v>
      </c>
      <c r="J21" s="268">
        <f t="shared" si="0"/>
        <v>-6000</v>
      </c>
      <c r="K21" s="185"/>
      <c r="N21" s="183" t="s">
        <v>870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43454</v>
      </c>
      <c r="D22" s="196" t="s">
        <v>16</v>
      </c>
      <c r="E22" s="196" t="s">
        <v>24</v>
      </c>
      <c r="F22" s="197">
        <v>31030</v>
      </c>
      <c r="G22" s="197">
        <v>31230</v>
      </c>
      <c r="H22" s="196">
        <v>200</v>
      </c>
      <c r="I22" s="197">
        <v>100</v>
      </c>
      <c r="J22" s="268">
        <f t="shared" si="0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43455</v>
      </c>
      <c r="D23" s="196" t="s">
        <v>16</v>
      </c>
      <c r="E23" s="196" t="s">
        <v>24</v>
      </c>
      <c r="F23" s="197">
        <v>31220</v>
      </c>
      <c r="G23" s="197">
        <v>31360</v>
      </c>
      <c r="H23" s="196">
        <v>140</v>
      </c>
      <c r="I23" s="197">
        <v>100</v>
      </c>
      <c r="J23" s="268">
        <f t="shared" si="0"/>
        <v>14000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43456</v>
      </c>
      <c r="D24" s="196" t="s">
        <v>23</v>
      </c>
      <c r="E24" s="196" t="s">
        <v>24</v>
      </c>
      <c r="F24" s="197">
        <v>31380</v>
      </c>
      <c r="G24" s="197">
        <v>31280</v>
      </c>
      <c r="H24" s="196">
        <v>100</v>
      </c>
      <c r="I24" s="197">
        <v>100</v>
      </c>
      <c r="J24" s="268">
        <f t="shared" si="0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43456</v>
      </c>
      <c r="D25" s="196" t="s">
        <v>23</v>
      </c>
      <c r="E25" s="196" t="s">
        <v>22</v>
      </c>
      <c r="F25" s="197">
        <v>37400</v>
      </c>
      <c r="G25" s="197">
        <v>37310</v>
      </c>
      <c r="H25" s="196">
        <v>30</v>
      </c>
      <c r="I25" s="197">
        <v>90</v>
      </c>
      <c r="J25" s="268">
        <f t="shared" si="0"/>
        <v>2700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43460</v>
      </c>
      <c r="D26" s="196" t="s">
        <v>16</v>
      </c>
      <c r="E26" s="196" t="s">
        <v>24</v>
      </c>
      <c r="F26" s="197">
        <v>31550</v>
      </c>
      <c r="G26" s="197">
        <v>31740</v>
      </c>
      <c r="H26" s="196">
        <v>190</v>
      </c>
      <c r="I26" s="197">
        <v>100</v>
      </c>
      <c r="J26" s="268">
        <f t="shared" si="0"/>
        <v>19000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43460</v>
      </c>
      <c r="D27" s="196" t="s">
        <v>16</v>
      </c>
      <c r="E27" s="196" t="s">
        <v>22</v>
      </c>
      <c r="F27" s="197">
        <v>37770</v>
      </c>
      <c r="G27" s="197">
        <v>38170</v>
      </c>
      <c r="H27" s="196">
        <v>400</v>
      </c>
      <c r="I27" s="197">
        <v>30</v>
      </c>
      <c r="J27" s="268">
        <f t="shared" si="0"/>
        <v>12000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9">
        <v>23</v>
      </c>
      <c r="C28" s="200">
        <v>43461</v>
      </c>
      <c r="D28" s="201" t="s">
        <v>16</v>
      </c>
      <c r="E28" s="201" t="s">
        <v>24</v>
      </c>
      <c r="F28" s="202">
        <v>31530</v>
      </c>
      <c r="G28" s="202">
        <v>31730</v>
      </c>
      <c r="H28" s="201">
        <v>200</v>
      </c>
      <c r="I28" s="202">
        <v>100</v>
      </c>
      <c r="J28" s="268">
        <f t="shared" si="0"/>
        <v>20000</v>
      </c>
      <c r="K28" s="185"/>
    </row>
    <row r="29" spans="1:23" x14ac:dyDescent="0.3">
      <c r="A29" s="184"/>
      <c r="B29" s="199">
        <v>24</v>
      </c>
      <c r="C29" s="200">
        <v>43461</v>
      </c>
      <c r="D29" s="201" t="s">
        <v>16</v>
      </c>
      <c r="E29" s="201" t="s">
        <v>22</v>
      </c>
      <c r="F29" s="202">
        <v>38200</v>
      </c>
      <c r="G29" s="202">
        <v>35600</v>
      </c>
      <c r="H29" s="201">
        <v>400</v>
      </c>
      <c r="I29" s="202">
        <v>30</v>
      </c>
      <c r="J29" s="268">
        <f t="shared" si="0"/>
        <v>12000</v>
      </c>
      <c r="K29" s="185"/>
    </row>
    <row r="30" spans="1:23" x14ac:dyDescent="0.3">
      <c r="A30" s="184"/>
      <c r="B30" s="199">
        <v>25</v>
      </c>
      <c r="C30" s="200">
        <v>43462</v>
      </c>
      <c r="D30" s="201" t="s">
        <v>16</v>
      </c>
      <c r="E30" s="201" t="s">
        <v>24</v>
      </c>
      <c r="F30" s="202">
        <v>31650</v>
      </c>
      <c r="G30" s="202">
        <v>31710</v>
      </c>
      <c r="H30" s="201">
        <v>60</v>
      </c>
      <c r="I30" s="202">
        <v>100</v>
      </c>
      <c r="J30" s="268">
        <f t="shared" si="0"/>
        <v>6000</v>
      </c>
      <c r="K30" s="185"/>
    </row>
    <row r="31" spans="1:23" x14ac:dyDescent="0.3">
      <c r="A31" s="184"/>
      <c r="B31" s="199">
        <v>26</v>
      </c>
      <c r="C31" s="200">
        <v>43462</v>
      </c>
      <c r="D31" s="201" t="s">
        <v>16</v>
      </c>
      <c r="E31" s="201" t="s">
        <v>22</v>
      </c>
      <c r="F31" s="202">
        <v>38800</v>
      </c>
      <c r="G31" s="202">
        <v>38850</v>
      </c>
      <c r="H31" s="201">
        <v>50</v>
      </c>
      <c r="I31" s="202">
        <v>30</v>
      </c>
      <c r="J31" s="268">
        <f t="shared" si="0"/>
        <v>1500</v>
      </c>
      <c r="K31" s="185"/>
    </row>
    <row r="32" spans="1:23" x14ac:dyDescent="0.3">
      <c r="A32" s="184"/>
      <c r="B32" s="199">
        <v>27</v>
      </c>
      <c r="C32" s="200">
        <v>43465</v>
      </c>
      <c r="D32" s="201" t="s">
        <v>16</v>
      </c>
      <c r="E32" s="201" t="s">
        <v>24</v>
      </c>
      <c r="F32" s="202">
        <v>34550</v>
      </c>
      <c r="G32" s="202">
        <v>31450</v>
      </c>
      <c r="H32" s="201">
        <v>-100</v>
      </c>
      <c r="I32" s="202">
        <v>100</v>
      </c>
      <c r="J32" s="268">
        <f t="shared" si="0"/>
        <v>-10000</v>
      </c>
      <c r="K32" s="185"/>
    </row>
    <row r="33" spans="1:23" x14ac:dyDescent="0.3">
      <c r="A33" s="184"/>
      <c r="B33" s="199">
        <v>28</v>
      </c>
      <c r="C33" s="200">
        <v>43465</v>
      </c>
      <c r="D33" s="201" t="s">
        <v>16</v>
      </c>
      <c r="E33" s="201" t="s">
        <v>22</v>
      </c>
      <c r="F33" s="202">
        <v>38750</v>
      </c>
      <c r="G33" s="202">
        <v>38850</v>
      </c>
      <c r="H33" s="201">
        <v>100</v>
      </c>
      <c r="I33" s="202">
        <v>30</v>
      </c>
      <c r="J33" s="268">
        <f t="shared" si="0"/>
        <v>3000</v>
      </c>
      <c r="K33" s="185"/>
    </row>
    <row r="34" spans="1:23" x14ac:dyDescent="0.3">
      <c r="A34" s="184"/>
      <c r="B34" s="199">
        <v>29</v>
      </c>
      <c r="C34" s="200"/>
      <c r="D34" s="201"/>
      <c r="E34" s="201"/>
      <c r="F34" s="202"/>
      <c r="G34" s="202"/>
      <c r="H34" s="201"/>
      <c r="I34" s="202"/>
      <c r="J34" s="268">
        <f t="shared" si="0"/>
        <v>0</v>
      </c>
      <c r="K34" s="185"/>
    </row>
    <row r="35" spans="1:23" ht="15" thickBot="1" x14ac:dyDescent="0.35">
      <c r="A35" s="184"/>
      <c r="B35" s="199"/>
      <c r="C35" s="200"/>
      <c r="D35" s="201"/>
      <c r="E35" s="201"/>
      <c r="F35" s="202"/>
      <c r="G35" s="202"/>
      <c r="H35" s="201"/>
      <c r="I35" s="202"/>
      <c r="J35" s="269">
        <f t="shared" si="0"/>
        <v>0</v>
      </c>
      <c r="K35" s="185"/>
      <c r="V35" s="183">
        <f t="shared" si="2"/>
        <v>0</v>
      </c>
      <c r="W35" s="183">
        <f t="shared" si="3"/>
        <v>0</v>
      </c>
    </row>
    <row r="36" spans="1:23" ht="24" thickBot="1" x14ac:dyDescent="0.5">
      <c r="A36" s="184"/>
      <c r="B36" s="304" t="s">
        <v>879</v>
      </c>
      <c r="C36" s="305"/>
      <c r="D36" s="305"/>
      <c r="E36" s="305"/>
      <c r="F36" s="305"/>
      <c r="G36" s="305"/>
      <c r="H36" s="306"/>
      <c r="I36" s="203" t="s">
        <v>880</v>
      </c>
      <c r="J36" s="204">
        <f>SUM(J6:J35)</f>
        <v>185900</v>
      </c>
      <c r="K36" s="185"/>
      <c r="V36" s="183">
        <f>SUM(V6:V35)</f>
        <v>17</v>
      </c>
      <c r="W36" s="183">
        <f>SUM(W6:W35)</f>
        <v>5</v>
      </c>
    </row>
    <row r="37" spans="1:23" ht="30" customHeight="1" thickBot="1" x14ac:dyDescent="0.35">
      <c r="A37" s="205"/>
      <c r="B37" s="206"/>
      <c r="C37" s="206"/>
      <c r="D37" s="206"/>
      <c r="E37" s="206"/>
      <c r="F37" s="206"/>
      <c r="G37" s="206"/>
      <c r="H37" s="261"/>
      <c r="I37" s="206"/>
      <c r="J37" s="261"/>
      <c r="K37" s="207"/>
    </row>
    <row r="38" spans="1:23" ht="15" thickBot="1" x14ac:dyDescent="0.35"/>
    <row r="39" spans="1:23" ht="30" customHeight="1" thickBot="1" x14ac:dyDescent="0.35">
      <c r="A39" s="180"/>
      <c r="B39" s="181"/>
      <c r="C39" s="181"/>
      <c r="D39" s="181"/>
      <c r="E39" s="181"/>
      <c r="F39" s="181"/>
      <c r="G39" s="181"/>
      <c r="H39" s="259"/>
      <c r="I39" s="181"/>
      <c r="J39" s="259"/>
      <c r="K39" s="182"/>
    </row>
    <row r="40" spans="1:23" ht="25.2" thickBot="1" x14ac:dyDescent="0.35">
      <c r="A40" s="184" t="s">
        <v>0</v>
      </c>
      <c r="B40" s="307" t="s">
        <v>128</v>
      </c>
      <c r="C40" s="308"/>
      <c r="D40" s="308"/>
      <c r="E40" s="308"/>
      <c r="F40" s="308"/>
      <c r="G40" s="308"/>
      <c r="H40" s="308"/>
      <c r="I40" s="308"/>
      <c r="J40" s="309"/>
      <c r="K40" s="185"/>
    </row>
    <row r="41" spans="1:23" ht="16.2" thickBot="1" x14ac:dyDescent="0.35">
      <c r="A41" s="184"/>
      <c r="B41" s="310">
        <v>43435</v>
      </c>
      <c r="C41" s="311"/>
      <c r="D41" s="311"/>
      <c r="E41" s="311"/>
      <c r="F41" s="311"/>
      <c r="G41" s="311"/>
      <c r="H41" s="311"/>
      <c r="I41" s="311"/>
      <c r="J41" s="312"/>
      <c r="K41" s="185"/>
    </row>
    <row r="42" spans="1:23" ht="16.2" thickBot="1" x14ac:dyDescent="0.35">
      <c r="A42" s="184"/>
      <c r="B42" s="313" t="s">
        <v>881</v>
      </c>
      <c r="C42" s="314"/>
      <c r="D42" s="314"/>
      <c r="E42" s="314"/>
      <c r="F42" s="314"/>
      <c r="G42" s="314"/>
      <c r="H42" s="314"/>
      <c r="I42" s="314"/>
      <c r="J42" s="315"/>
      <c r="K42" s="185"/>
    </row>
    <row r="43" spans="1:23" s="198" customFormat="1" ht="15" thickBot="1" x14ac:dyDescent="0.35">
      <c r="A43" s="208"/>
      <c r="B43" s="186" t="s">
        <v>876</v>
      </c>
      <c r="C43" s="187" t="s">
        <v>1</v>
      </c>
      <c r="D43" s="188" t="s">
        <v>2</v>
      </c>
      <c r="E43" s="188" t="s">
        <v>3</v>
      </c>
      <c r="F43" s="189" t="s">
        <v>4</v>
      </c>
      <c r="G43" s="189" t="s">
        <v>5</v>
      </c>
      <c r="H43" s="260" t="s">
        <v>720</v>
      </c>
      <c r="I43" s="189" t="s">
        <v>6</v>
      </c>
      <c r="J43" s="266" t="s">
        <v>7</v>
      </c>
      <c r="K43" s="209"/>
      <c r="M43" s="183"/>
      <c r="N43" s="183"/>
      <c r="O43" s="183"/>
      <c r="P43" s="183"/>
      <c r="Q43" s="183"/>
      <c r="R43" s="183"/>
      <c r="V43" s="183" t="s">
        <v>254</v>
      </c>
      <c r="W43" s="183" t="s">
        <v>255</v>
      </c>
    </row>
    <row r="44" spans="1:23" x14ac:dyDescent="0.3">
      <c r="A44" s="184"/>
      <c r="B44" s="190">
        <v>1</v>
      </c>
      <c r="C44" s="191">
        <v>43437</v>
      </c>
      <c r="D44" s="192" t="s">
        <v>23</v>
      </c>
      <c r="E44" s="192" t="s">
        <v>25</v>
      </c>
      <c r="F44" s="193">
        <v>3770</v>
      </c>
      <c r="G44" s="193">
        <v>3710</v>
      </c>
      <c r="H44" s="192">
        <v>60</v>
      </c>
      <c r="I44" s="193">
        <v>100</v>
      </c>
      <c r="J44" s="267">
        <f t="shared" ref="J44:J66" si="6">I44*H44</f>
        <v>6000</v>
      </c>
      <c r="K44" s="185"/>
      <c r="V44" s="183">
        <f>IF($J44&gt;0,1,0)</f>
        <v>1</v>
      </c>
      <c r="W44" s="183">
        <f>IF($J44&lt;0,1,0)</f>
        <v>0</v>
      </c>
    </row>
    <row r="45" spans="1:23" x14ac:dyDescent="0.3">
      <c r="A45" s="184"/>
      <c r="B45" s="194">
        <v>2</v>
      </c>
      <c r="C45" s="195">
        <v>43438</v>
      </c>
      <c r="D45" s="196" t="s">
        <v>23</v>
      </c>
      <c r="E45" s="196" t="s">
        <v>25</v>
      </c>
      <c r="F45" s="197">
        <v>3780</v>
      </c>
      <c r="G45" s="197">
        <v>3810</v>
      </c>
      <c r="H45" s="196">
        <v>-30</v>
      </c>
      <c r="I45" s="197">
        <v>100</v>
      </c>
      <c r="J45" s="268">
        <f t="shared" si="6"/>
        <v>-3000</v>
      </c>
      <c r="K45" s="185"/>
      <c r="V45" s="183">
        <f t="shared" ref="V45:V66" si="7">IF($J45&gt;0,1,0)</f>
        <v>0</v>
      </c>
      <c r="W45" s="183">
        <f t="shared" ref="W45:W66" si="8">IF($J45&lt;0,1,0)</f>
        <v>1</v>
      </c>
    </row>
    <row r="46" spans="1:23" x14ac:dyDescent="0.3">
      <c r="A46" s="184"/>
      <c r="B46" s="194">
        <v>3</v>
      </c>
      <c r="C46" s="195">
        <v>43439</v>
      </c>
      <c r="D46" s="196" t="s">
        <v>23</v>
      </c>
      <c r="E46" s="196" t="s">
        <v>25</v>
      </c>
      <c r="F46" s="197">
        <v>3715</v>
      </c>
      <c r="G46" s="197">
        <v>3695</v>
      </c>
      <c r="H46" s="196">
        <v>20</v>
      </c>
      <c r="I46" s="197">
        <v>100</v>
      </c>
      <c r="J46" s="268">
        <f t="shared" si="6"/>
        <v>2000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4</v>
      </c>
      <c r="C47" s="195">
        <v>43440</v>
      </c>
      <c r="D47" s="196" t="s">
        <v>23</v>
      </c>
      <c r="E47" s="196" t="s">
        <v>25</v>
      </c>
      <c r="F47" s="197">
        <v>3770</v>
      </c>
      <c r="G47" s="197">
        <v>3710</v>
      </c>
      <c r="H47" s="196">
        <v>60</v>
      </c>
      <c r="I47" s="197">
        <v>100</v>
      </c>
      <c r="J47" s="268">
        <f t="shared" si="6"/>
        <v>6000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5</v>
      </c>
      <c r="C48" s="195">
        <v>43441</v>
      </c>
      <c r="D48" s="196" t="s">
        <v>23</v>
      </c>
      <c r="E48" s="196" t="s">
        <v>25</v>
      </c>
      <c r="F48" s="197">
        <v>3615</v>
      </c>
      <c r="G48" s="197">
        <v>3645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si="7"/>
        <v>0</v>
      </c>
      <c r="W48" s="183">
        <f t="shared" si="8"/>
        <v>1</v>
      </c>
    </row>
    <row r="49" spans="1:23" x14ac:dyDescent="0.3">
      <c r="A49" s="184"/>
      <c r="B49" s="194">
        <v>6</v>
      </c>
      <c r="C49" s="195">
        <v>43444</v>
      </c>
      <c r="D49" s="196" t="s">
        <v>16</v>
      </c>
      <c r="E49" s="196" t="s">
        <v>25</v>
      </c>
      <c r="F49" s="197">
        <v>3760</v>
      </c>
      <c r="G49" s="197">
        <v>3700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7</v>
      </c>
      <c r="C50" s="195">
        <v>43445</v>
      </c>
      <c r="D50" s="196" t="s">
        <v>23</v>
      </c>
      <c r="E50" s="196" t="s">
        <v>25</v>
      </c>
      <c r="F50" s="197">
        <v>3680</v>
      </c>
      <c r="G50" s="197">
        <v>3660</v>
      </c>
      <c r="H50" s="196">
        <v>20</v>
      </c>
      <c r="I50" s="197">
        <v>100</v>
      </c>
      <c r="J50" s="268">
        <f t="shared" si="6"/>
        <v>2000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8</v>
      </c>
      <c r="C51" s="195">
        <v>43446</v>
      </c>
      <c r="D51" s="196" t="s">
        <v>23</v>
      </c>
      <c r="E51" s="196" t="s">
        <v>25</v>
      </c>
      <c r="F51" s="197">
        <v>3780</v>
      </c>
      <c r="G51" s="197">
        <v>3760</v>
      </c>
      <c r="H51" s="196">
        <v>20</v>
      </c>
      <c r="I51" s="197">
        <v>100</v>
      </c>
      <c r="J51" s="268">
        <f t="shared" si="6"/>
        <v>2000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9</v>
      </c>
      <c r="C52" s="195">
        <v>43447</v>
      </c>
      <c r="D52" s="196" t="s">
        <v>23</v>
      </c>
      <c r="E52" s="196" t="s">
        <v>25</v>
      </c>
      <c r="F52" s="197">
        <v>3685</v>
      </c>
      <c r="G52" s="197">
        <v>3625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10</v>
      </c>
      <c r="C53" s="195">
        <v>43448</v>
      </c>
      <c r="D53" s="196" t="s">
        <v>23</v>
      </c>
      <c r="E53" s="196" t="s">
        <v>25</v>
      </c>
      <c r="F53" s="197">
        <v>3760</v>
      </c>
      <c r="G53" s="197">
        <v>3790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11</v>
      </c>
      <c r="C54" s="195">
        <v>43451</v>
      </c>
      <c r="D54" s="196" t="s">
        <v>23</v>
      </c>
      <c r="E54" s="196" t="s">
        <v>25</v>
      </c>
      <c r="F54" s="197">
        <v>3685</v>
      </c>
      <c r="G54" s="197">
        <v>3665</v>
      </c>
      <c r="H54" s="196">
        <v>20</v>
      </c>
      <c r="I54" s="197">
        <v>100</v>
      </c>
      <c r="J54" s="268">
        <f t="shared" si="6"/>
        <v>2000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12</v>
      </c>
      <c r="C55" s="195">
        <v>43452</v>
      </c>
      <c r="D55" s="196" t="s">
        <v>23</v>
      </c>
      <c r="E55" s="196" t="s">
        <v>25</v>
      </c>
      <c r="F55" s="197">
        <v>3495</v>
      </c>
      <c r="G55" s="197">
        <v>3435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13</v>
      </c>
      <c r="C56" s="195">
        <v>43453</v>
      </c>
      <c r="D56" s="196" t="s">
        <v>23</v>
      </c>
      <c r="E56" s="196" t="s">
        <v>25</v>
      </c>
      <c r="F56" s="197">
        <v>3295</v>
      </c>
      <c r="G56" s="197">
        <v>3325</v>
      </c>
      <c r="H56" s="196">
        <v>-30</v>
      </c>
      <c r="I56" s="197">
        <v>100</v>
      </c>
      <c r="J56" s="268">
        <f t="shared" si="6"/>
        <v>-3000</v>
      </c>
      <c r="K56" s="185"/>
      <c r="V56" s="183">
        <f t="shared" si="7"/>
        <v>0</v>
      </c>
      <c r="W56" s="183">
        <f t="shared" si="8"/>
        <v>1</v>
      </c>
    </row>
    <row r="57" spans="1:23" x14ac:dyDescent="0.3">
      <c r="A57" s="184"/>
      <c r="B57" s="194">
        <v>14</v>
      </c>
      <c r="C57" s="195">
        <v>43454</v>
      </c>
      <c r="D57" s="196" t="s">
        <v>23</v>
      </c>
      <c r="E57" s="196" t="s">
        <v>25</v>
      </c>
      <c r="F57" s="197">
        <v>3330</v>
      </c>
      <c r="G57" s="197">
        <v>3270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15</v>
      </c>
      <c r="C58" s="195">
        <v>43455</v>
      </c>
      <c r="D58" s="196" t="s">
        <v>23</v>
      </c>
      <c r="E58" s="196" t="s">
        <v>25</v>
      </c>
      <c r="F58" s="197">
        <v>3260</v>
      </c>
      <c r="G58" s="197">
        <v>3200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16</v>
      </c>
      <c r="C59" s="195">
        <v>43456</v>
      </c>
      <c r="D59" s="196" t="s">
        <v>23</v>
      </c>
      <c r="E59" s="196" t="s">
        <v>25</v>
      </c>
      <c r="F59" s="197">
        <v>3230</v>
      </c>
      <c r="G59" s="197">
        <v>3170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17</v>
      </c>
      <c r="C60" s="195">
        <v>43460</v>
      </c>
      <c r="D60" s="196" t="s">
        <v>23</v>
      </c>
      <c r="E60" s="196" t="s">
        <v>25</v>
      </c>
      <c r="F60" s="197">
        <v>3015</v>
      </c>
      <c r="G60" s="197">
        <v>2995</v>
      </c>
      <c r="H60" s="196">
        <v>20</v>
      </c>
      <c r="I60" s="197">
        <v>100</v>
      </c>
      <c r="J60" s="268">
        <f t="shared" si="6"/>
        <v>2000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255"/>
      <c r="B61" s="194">
        <v>18</v>
      </c>
      <c r="C61" s="195">
        <v>43461</v>
      </c>
      <c r="D61" s="196" t="s">
        <v>23</v>
      </c>
      <c r="E61" s="196" t="s">
        <v>25</v>
      </c>
      <c r="F61" s="197">
        <v>3230</v>
      </c>
      <c r="G61" s="197">
        <v>3190</v>
      </c>
      <c r="H61" s="196">
        <v>40</v>
      </c>
      <c r="I61" s="197">
        <v>100</v>
      </c>
      <c r="J61" s="268">
        <f t="shared" si="6"/>
        <v>4000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19</v>
      </c>
      <c r="C62" s="195">
        <v>43462</v>
      </c>
      <c r="D62" s="196" t="s">
        <v>23</v>
      </c>
      <c r="E62" s="196" t="s">
        <v>25</v>
      </c>
      <c r="F62" s="197">
        <v>3215</v>
      </c>
      <c r="G62" s="197">
        <v>3155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20</v>
      </c>
      <c r="C63" s="195">
        <v>43465</v>
      </c>
      <c r="D63" s="196" t="s">
        <v>23</v>
      </c>
      <c r="E63" s="196" t="s">
        <v>25</v>
      </c>
      <c r="F63" s="197">
        <v>3220</v>
      </c>
      <c r="G63" s="197">
        <v>3200</v>
      </c>
      <c r="H63" s="196">
        <v>20</v>
      </c>
      <c r="I63" s="197">
        <v>100</v>
      </c>
      <c r="J63" s="268">
        <f t="shared" si="6"/>
        <v>2000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21</v>
      </c>
      <c r="C64" s="195"/>
      <c r="D64" s="196"/>
      <c r="E64" s="196"/>
      <c r="F64" s="197"/>
      <c r="G64" s="197"/>
      <c r="H64" s="196"/>
      <c r="I64" s="197"/>
      <c r="J64" s="268">
        <f t="shared" si="6"/>
        <v>0</v>
      </c>
      <c r="K64" s="185"/>
      <c r="V64" s="183">
        <f t="shared" si="7"/>
        <v>0</v>
      </c>
      <c r="W64" s="183">
        <f t="shared" si="8"/>
        <v>0</v>
      </c>
    </row>
    <row r="65" spans="1:23" x14ac:dyDescent="0.3">
      <c r="A65" s="184"/>
      <c r="B65" s="194">
        <v>22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ht="15" thickBot="1" x14ac:dyDescent="0.35">
      <c r="A66" s="184"/>
      <c r="B66" s="194"/>
      <c r="C66" s="195"/>
      <c r="D66" s="196"/>
      <c r="E66" s="196"/>
      <c r="F66" s="197"/>
      <c r="G66" s="197"/>
      <c r="H66" s="196"/>
      <c r="I66" s="202"/>
      <c r="J66" s="269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ht="24" thickBot="1" x14ac:dyDescent="0.5">
      <c r="A67" s="184"/>
      <c r="B67" s="304" t="s">
        <v>879</v>
      </c>
      <c r="C67" s="305"/>
      <c r="D67" s="305"/>
      <c r="E67" s="305"/>
      <c r="F67" s="305"/>
      <c r="G67" s="305"/>
      <c r="H67" s="306"/>
      <c r="I67" s="203" t="s">
        <v>880</v>
      </c>
      <c r="J67" s="204">
        <f>SUM(J44:J66)</f>
        <v>58000</v>
      </c>
      <c r="K67" s="185"/>
      <c r="V67" s="183">
        <f>SUM(V44:V66)</f>
        <v>16</v>
      </c>
      <c r="W67" s="183">
        <f>SUM(W44:W66)</f>
        <v>4</v>
      </c>
    </row>
    <row r="68" spans="1:23" ht="30" customHeight="1" thickBot="1" x14ac:dyDescent="0.35">
      <c r="A68" s="205"/>
      <c r="B68" s="206"/>
      <c r="C68" s="206"/>
      <c r="D68" s="206"/>
      <c r="E68" s="206"/>
      <c r="F68" s="206"/>
      <c r="G68" s="206"/>
      <c r="H68" s="261"/>
      <c r="I68" s="206"/>
      <c r="J68" s="261"/>
      <c r="K68" s="207"/>
    </row>
    <row r="69" spans="1:23" ht="15" thickBot="1" x14ac:dyDescent="0.35"/>
    <row r="70" spans="1:23" ht="30" customHeight="1" thickBot="1" x14ac:dyDescent="0.35">
      <c r="A70" s="180"/>
      <c r="B70" s="181"/>
      <c r="C70" s="181"/>
      <c r="D70" s="181"/>
      <c r="E70" s="181"/>
      <c r="F70" s="181"/>
      <c r="G70" s="181"/>
      <c r="H70" s="259"/>
      <c r="I70" s="181"/>
      <c r="J70" s="259"/>
      <c r="K70" s="182"/>
    </row>
    <row r="71" spans="1:23" ht="25.2" thickBot="1" x14ac:dyDescent="0.35">
      <c r="A71" s="184" t="s">
        <v>0</v>
      </c>
      <c r="B71" s="307" t="s">
        <v>873</v>
      </c>
      <c r="C71" s="308"/>
      <c r="D71" s="308"/>
      <c r="E71" s="308"/>
      <c r="F71" s="308"/>
      <c r="G71" s="308"/>
      <c r="H71" s="308"/>
      <c r="I71" s="308"/>
      <c r="J71" s="309"/>
      <c r="K71" s="185"/>
    </row>
    <row r="72" spans="1:23" ht="16.2" thickBot="1" x14ac:dyDescent="0.35">
      <c r="A72" s="184"/>
      <c r="B72" s="310">
        <v>43435</v>
      </c>
      <c r="C72" s="311"/>
      <c r="D72" s="311"/>
      <c r="E72" s="311"/>
      <c r="F72" s="311"/>
      <c r="G72" s="311"/>
      <c r="H72" s="311"/>
      <c r="I72" s="311"/>
      <c r="J72" s="312"/>
      <c r="K72" s="185"/>
    </row>
    <row r="73" spans="1:23" ht="16.2" thickBot="1" x14ac:dyDescent="0.35">
      <c r="A73" s="184"/>
      <c r="B73" s="313" t="s">
        <v>882</v>
      </c>
      <c r="C73" s="314"/>
      <c r="D73" s="314"/>
      <c r="E73" s="314"/>
      <c r="F73" s="314"/>
      <c r="G73" s="314"/>
      <c r="H73" s="314"/>
      <c r="I73" s="314"/>
      <c r="J73" s="315"/>
      <c r="K73" s="185"/>
    </row>
    <row r="74" spans="1:23" ht="15" thickBot="1" x14ac:dyDescent="0.35">
      <c r="A74" s="208"/>
      <c r="B74" s="186" t="s">
        <v>876</v>
      </c>
      <c r="C74" s="187" t="s">
        <v>1</v>
      </c>
      <c r="D74" s="188" t="s">
        <v>2</v>
      </c>
      <c r="E74" s="188" t="s">
        <v>3</v>
      </c>
      <c r="F74" s="189" t="s">
        <v>4</v>
      </c>
      <c r="G74" s="189" t="s">
        <v>5</v>
      </c>
      <c r="H74" s="260" t="s">
        <v>720</v>
      </c>
      <c r="I74" s="189" t="s">
        <v>6</v>
      </c>
      <c r="J74" s="266" t="s">
        <v>7</v>
      </c>
      <c r="K74" s="209"/>
      <c r="L74" s="198"/>
      <c r="V74" s="183" t="s">
        <v>254</v>
      </c>
      <c r="W74" s="183" t="s">
        <v>255</v>
      </c>
    </row>
    <row r="75" spans="1:23" x14ac:dyDescent="0.3">
      <c r="A75" s="184"/>
      <c r="B75" s="214">
        <v>1</v>
      </c>
      <c r="C75" s="215">
        <v>43437</v>
      </c>
      <c r="D75" s="216" t="s">
        <v>23</v>
      </c>
      <c r="E75" s="256" t="s">
        <v>28</v>
      </c>
      <c r="F75" s="256">
        <v>186</v>
      </c>
      <c r="G75" s="256">
        <v>184</v>
      </c>
      <c r="H75" s="256">
        <v>2</v>
      </c>
      <c r="I75" s="218">
        <v>5000</v>
      </c>
      <c r="J75" s="273">
        <f>I75*H75</f>
        <v>10000</v>
      </c>
      <c r="K75" s="185"/>
      <c r="V75" s="183">
        <f>IF($J75&gt;0,1,0)</f>
        <v>1</v>
      </c>
      <c r="W75" s="183">
        <f>IF($J75&lt;0,1,0)</f>
        <v>0</v>
      </c>
    </row>
    <row r="76" spans="1:23" x14ac:dyDescent="0.3">
      <c r="A76" s="184"/>
      <c r="B76" s="194">
        <v>2</v>
      </c>
      <c r="C76" s="195">
        <v>43438</v>
      </c>
      <c r="D76" s="196" t="s">
        <v>23</v>
      </c>
      <c r="E76" s="222" t="s">
        <v>28</v>
      </c>
      <c r="F76" s="222">
        <v>186.1</v>
      </c>
      <c r="G76" s="222">
        <v>187.1</v>
      </c>
      <c r="H76" s="222">
        <v>-1</v>
      </c>
      <c r="I76" s="197">
        <v>5000</v>
      </c>
      <c r="J76" s="268">
        <f t="shared" ref="J76:J97" si="9">I76*H76</f>
        <v>-5000</v>
      </c>
      <c r="K76" s="185"/>
      <c r="V76" s="183">
        <f t="shared" ref="V76:V97" si="10">IF($J76&gt;0,1,0)</f>
        <v>0</v>
      </c>
      <c r="W76" s="183">
        <f t="shared" ref="W76:W97" si="11">IF($J76&lt;0,1,0)</f>
        <v>1</v>
      </c>
    </row>
    <row r="77" spans="1:23" x14ac:dyDescent="0.3">
      <c r="A77" s="184"/>
      <c r="B77" s="194">
        <v>3</v>
      </c>
      <c r="C77" s="195">
        <v>43439</v>
      </c>
      <c r="D77" s="196" t="s">
        <v>23</v>
      </c>
      <c r="E77" s="222" t="s">
        <v>28</v>
      </c>
      <c r="F77" s="222">
        <v>186</v>
      </c>
      <c r="G77" s="222">
        <v>186.5</v>
      </c>
      <c r="H77" s="222">
        <v>0.5</v>
      </c>
      <c r="I77" s="197">
        <v>5000</v>
      </c>
      <c r="J77" s="268">
        <f t="shared" si="9"/>
        <v>2500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4</v>
      </c>
      <c r="C78" s="195">
        <v>43440</v>
      </c>
      <c r="D78" s="196" t="s">
        <v>23</v>
      </c>
      <c r="E78" s="222" t="s">
        <v>28</v>
      </c>
      <c r="F78" s="222">
        <v>187.5</v>
      </c>
      <c r="G78" s="222">
        <v>185.5</v>
      </c>
      <c r="H78" s="222">
        <v>2</v>
      </c>
      <c r="I78" s="197">
        <v>5000</v>
      </c>
      <c r="J78" s="268">
        <f t="shared" si="9"/>
        <v>10000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5</v>
      </c>
      <c r="C79" s="195">
        <v>43441</v>
      </c>
      <c r="D79" s="196" t="s">
        <v>23</v>
      </c>
      <c r="E79" s="222" t="s">
        <v>28</v>
      </c>
      <c r="F79" s="222">
        <v>188.9</v>
      </c>
      <c r="G79" s="222">
        <v>188.4</v>
      </c>
      <c r="H79" s="222">
        <v>0.5</v>
      </c>
      <c r="I79" s="197">
        <v>5000</v>
      </c>
      <c r="J79" s="268">
        <f t="shared" si="9"/>
        <v>2500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6</v>
      </c>
      <c r="C80" s="195">
        <v>43444</v>
      </c>
      <c r="D80" s="196" t="s">
        <v>16</v>
      </c>
      <c r="E80" s="222" t="s">
        <v>28</v>
      </c>
      <c r="F80" s="222">
        <v>187</v>
      </c>
      <c r="G80" s="222">
        <v>189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7</v>
      </c>
      <c r="C81" s="195">
        <v>43445</v>
      </c>
      <c r="D81" s="196" t="s">
        <v>16</v>
      </c>
      <c r="E81" s="222" t="s">
        <v>28</v>
      </c>
      <c r="F81" s="222">
        <v>189</v>
      </c>
      <c r="G81" s="222">
        <v>191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8</v>
      </c>
      <c r="C82" s="195">
        <v>43446</v>
      </c>
      <c r="D82" s="196" t="s">
        <v>16</v>
      </c>
      <c r="E82" s="222" t="s">
        <v>28</v>
      </c>
      <c r="F82" s="222">
        <v>189.6</v>
      </c>
      <c r="G82" s="222">
        <v>190.1</v>
      </c>
      <c r="H82" s="222">
        <v>0.5</v>
      </c>
      <c r="I82" s="197">
        <v>5000</v>
      </c>
      <c r="J82" s="268">
        <f t="shared" si="9"/>
        <v>2500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9</v>
      </c>
      <c r="C83" s="195">
        <v>43447</v>
      </c>
      <c r="D83" s="196" t="s">
        <v>16</v>
      </c>
      <c r="E83" s="222" t="s">
        <v>28</v>
      </c>
      <c r="F83" s="222">
        <v>188</v>
      </c>
      <c r="G83" s="222">
        <v>188.95</v>
      </c>
      <c r="H83" s="222">
        <v>0.95</v>
      </c>
      <c r="I83" s="197">
        <v>5000</v>
      </c>
      <c r="J83" s="268">
        <f t="shared" si="9"/>
        <v>4750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10</v>
      </c>
      <c r="C84" s="195">
        <v>43448</v>
      </c>
      <c r="D84" s="196" t="s">
        <v>16</v>
      </c>
      <c r="E84" s="222" t="s">
        <v>28</v>
      </c>
      <c r="F84" s="222">
        <v>185.4</v>
      </c>
      <c r="G84" s="222">
        <v>184.4</v>
      </c>
      <c r="H84" s="222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11</v>
      </c>
      <c r="C85" s="195">
        <v>43451</v>
      </c>
      <c r="D85" s="196" t="s">
        <v>16</v>
      </c>
      <c r="E85" s="222" t="s">
        <v>28</v>
      </c>
      <c r="F85" s="222">
        <v>184</v>
      </c>
      <c r="G85" s="222">
        <v>183</v>
      </c>
      <c r="H85" s="274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12</v>
      </c>
      <c r="C86" s="195">
        <v>43452</v>
      </c>
      <c r="D86" s="196" t="s">
        <v>16</v>
      </c>
      <c r="E86" s="222" t="s">
        <v>28</v>
      </c>
      <c r="F86" s="222">
        <v>184</v>
      </c>
      <c r="G86" s="222">
        <v>183</v>
      </c>
      <c r="H86" s="274">
        <v>-1</v>
      </c>
      <c r="I86" s="197">
        <v>5000</v>
      </c>
      <c r="J86" s="268">
        <f t="shared" si="9"/>
        <v>-5000</v>
      </c>
      <c r="K86" s="185"/>
    </row>
    <row r="87" spans="1:23" x14ac:dyDescent="0.3">
      <c r="A87" s="184"/>
      <c r="B87" s="194">
        <v>13</v>
      </c>
      <c r="C87" s="195">
        <v>43453</v>
      </c>
      <c r="D87" s="196" t="s">
        <v>23</v>
      </c>
      <c r="E87" s="222" t="s">
        <v>28</v>
      </c>
      <c r="F87" s="222">
        <v>181.1</v>
      </c>
      <c r="G87" s="222">
        <v>180.1</v>
      </c>
      <c r="H87" s="274">
        <v>1</v>
      </c>
      <c r="I87" s="197">
        <v>5000</v>
      </c>
      <c r="J87" s="268">
        <f t="shared" si="9"/>
        <v>5000</v>
      </c>
      <c r="K87" s="185"/>
    </row>
    <row r="88" spans="1:23" x14ac:dyDescent="0.3">
      <c r="A88" s="184"/>
      <c r="B88" s="194">
        <v>14</v>
      </c>
      <c r="C88" s="195">
        <v>43454</v>
      </c>
      <c r="D88" s="196" t="s">
        <v>16</v>
      </c>
      <c r="E88" s="222" t="s">
        <v>28</v>
      </c>
      <c r="F88" s="222">
        <v>180.4</v>
      </c>
      <c r="G88" s="222">
        <v>181.4</v>
      </c>
      <c r="H88" s="274">
        <v>1</v>
      </c>
      <c r="I88" s="197">
        <v>5000</v>
      </c>
      <c r="J88" s="268">
        <f t="shared" si="9"/>
        <v>5000</v>
      </c>
      <c r="K88" s="185"/>
    </row>
    <row r="89" spans="1:23" x14ac:dyDescent="0.3">
      <c r="A89" s="184"/>
      <c r="B89" s="194">
        <v>15</v>
      </c>
      <c r="C89" s="195">
        <v>43455</v>
      </c>
      <c r="D89" s="196" t="s">
        <v>16</v>
      </c>
      <c r="E89" s="222" t="s">
        <v>28</v>
      </c>
      <c r="F89" s="223">
        <v>181</v>
      </c>
      <c r="G89" s="222">
        <v>180</v>
      </c>
      <c r="H89" s="274">
        <v>-1</v>
      </c>
      <c r="I89" s="197">
        <v>5000</v>
      </c>
      <c r="J89" s="268">
        <f t="shared" si="9"/>
        <v>-5000</v>
      </c>
      <c r="K89" s="185"/>
    </row>
    <row r="90" spans="1:23" x14ac:dyDescent="0.3">
      <c r="A90" s="184"/>
      <c r="B90" s="194">
        <v>16</v>
      </c>
      <c r="C90" s="195">
        <v>43456</v>
      </c>
      <c r="D90" s="196" t="s">
        <v>23</v>
      </c>
      <c r="E90" s="222" t="s">
        <v>28</v>
      </c>
      <c r="F90" s="222">
        <v>177.7</v>
      </c>
      <c r="G90" s="222">
        <v>176.1</v>
      </c>
      <c r="H90" s="274">
        <v>1.6</v>
      </c>
      <c r="I90" s="197">
        <v>5000</v>
      </c>
      <c r="J90" s="268">
        <f t="shared" si="9"/>
        <v>8000</v>
      </c>
      <c r="K90" s="185"/>
    </row>
    <row r="91" spans="1:23" x14ac:dyDescent="0.3">
      <c r="A91" s="184"/>
      <c r="B91" s="194">
        <v>17</v>
      </c>
      <c r="C91" s="195">
        <v>43460</v>
      </c>
      <c r="D91" s="196" t="s">
        <v>16</v>
      </c>
      <c r="E91" s="222" t="s">
        <v>28</v>
      </c>
      <c r="F91" s="222">
        <v>176.5</v>
      </c>
      <c r="G91" s="222">
        <v>178.5</v>
      </c>
      <c r="H91" s="274">
        <v>2</v>
      </c>
      <c r="I91" s="197">
        <v>5000</v>
      </c>
      <c r="J91" s="268">
        <f t="shared" si="9"/>
        <v>10000</v>
      </c>
      <c r="K91" s="185"/>
    </row>
    <row r="92" spans="1:23" x14ac:dyDescent="0.3">
      <c r="A92" s="184"/>
      <c r="B92" s="194">
        <v>18</v>
      </c>
      <c r="C92" s="195">
        <v>43461</v>
      </c>
      <c r="D92" s="196" t="s">
        <v>16</v>
      </c>
      <c r="E92" s="222" t="s">
        <v>28</v>
      </c>
      <c r="F92" s="222">
        <v>179.5</v>
      </c>
      <c r="G92" s="222">
        <v>178.5</v>
      </c>
      <c r="H92" s="274">
        <v>-1</v>
      </c>
      <c r="I92" s="197">
        <v>5000</v>
      </c>
      <c r="J92" s="268">
        <f t="shared" si="9"/>
        <v>-5000</v>
      </c>
      <c r="K92" s="185"/>
    </row>
    <row r="93" spans="1:23" x14ac:dyDescent="0.3">
      <c r="A93" s="184"/>
      <c r="B93" s="194">
        <v>19</v>
      </c>
      <c r="C93" s="195">
        <v>43462</v>
      </c>
      <c r="D93" s="196" t="s">
        <v>16</v>
      </c>
      <c r="E93" s="222" t="s">
        <v>28</v>
      </c>
      <c r="F93" s="222">
        <v>179.6</v>
      </c>
      <c r="G93" s="222">
        <v>178.6</v>
      </c>
      <c r="H93" s="274">
        <v>-1</v>
      </c>
      <c r="I93" s="197">
        <v>5000</v>
      </c>
      <c r="J93" s="268">
        <f t="shared" si="9"/>
        <v>-5000</v>
      </c>
      <c r="K93" s="185"/>
      <c r="V93" s="183">
        <f t="shared" si="10"/>
        <v>0</v>
      </c>
      <c r="W93" s="183">
        <f t="shared" si="11"/>
        <v>1</v>
      </c>
    </row>
    <row r="94" spans="1:23" x14ac:dyDescent="0.3">
      <c r="A94" s="184"/>
      <c r="B94" s="194">
        <v>20</v>
      </c>
      <c r="C94" s="195">
        <v>43465</v>
      </c>
      <c r="D94" s="196" t="s">
        <v>23</v>
      </c>
      <c r="E94" s="222" t="s">
        <v>28</v>
      </c>
      <c r="F94" s="222">
        <v>174.7</v>
      </c>
      <c r="G94" s="222">
        <v>173.7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21</v>
      </c>
      <c r="C95" s="195"/>
      <c r="D95" s="196"/>
      <c r="E95" s="222"/>
      <c r="F95" s="222"/>
      <c r="G95" s="222"/>
      <c r="H95" s="274"/>
      <c r="I95" s="197"/>
      <c r="J95" s="268">
        <f t="shared" si="9"/>
        <v>0</v>
      </c>
      <c r="K95" s="185"/>
      <c r="V95" s="183">
        <f t="shared" si="10"/>
        <v>0</v>
      </c>
      <c r="W95" s="183">
        <f t="shared" si="11"/>
        <v>0</v>
      </c>
    </row>
    <row r="96" spans="1:23" x14ac:dyDescent="0.3">
      <c r="A96" s="184"/>
      <c r="B96" s="194">
        <v>22</v>
      </c>
      <c r="C96" s="195"/>
      <c r="D96" s="196"/>
      <c r="E96" s="222"/>
      <c r="F96" s="222"/>
      <c r="G96" s="222"/>
      <c r="H96" s="222"/>
      <c r="I96" s="197"/>
      <c r="J96" s="268">
        <f t="shared" si="9"/>
        <v>0</v>
      </c>
      <c r="K96" s="185"/>
      <c r="V96" s="183">
        <f t="shared" si="10"/>
        <v>0</v>
      </c>
      <c r="W96" s="183">
        <f t="shared" si="11"/>
        <v>0</v>
      </c>
    </row>
    <row r="97" spans="1:23" ht="15" thickBot="1" x14ac:dyDescent="0.35">
      <c r="A97" s="184"/>
      <c r="B97" s="219"/>
      <c r="C97" s="220"/>
      <c r="D97" s="221"/>
      <c r="E97" s="221"/>
      <c r="F97" s="211"/>
      <c r="G97" s="211"/>
      <c r="H97" s="221"/>
      <c r="I97" s="211"/>
      <c r="J97" s="272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ht="24" thickBot="1" x14ac:dyDescent="0.5">
      <c r="A98" s="184"/>
      <c r="B98" s="316" t="s">
        <v>879</v>
      </c>
      <c r="C98" s="317"/>
      <c r="D98" s="317"/>
      <c r="E98" s="317"/>
      <c r="F98" s="317"/>
      <c r="G98" s="317"/>
      <c r="H98" s="318"/>
      <c r="I98" s="212" t="s">
        <v>880</v>
      </c>
      <c r="J98" s="213">
        <f>SUM(J75:J97)</f>
        <v>50250</v>
      </c>
      <c r="K98" s="185"/>
      <c r="V98" s="183">
        <f>SUM(V75:V97)</f>
        <v>9</v>
      </c>
      <c r="W98" s="183">
        <f>SUM(W75:W97)</f>
        <v>4</v>
      </c>
    </row>
    <row r="99" spans="1:23" ht="30" customHeight="1" thickBot="1" x14ac:dyDescent="0.35">
      <c r="A99" s="205"/>
      <c r="B99" s="206"/>
      <c r="C99" s="206"/>
      <c r="D99" s="206"/>
      <c r="E99" s="206"/>
      <c r="F99" s="206"/>
      <c r="G99" s="206"/>
      <c r="H99" s="261"/>
      <c r="I99" s="206"/>
      <c r="J99" s="261"/>
      <c r="K99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2:J42"/>
    <mergeCell ref="M10:M11"/>
    <mergeCell ref="N10:N11"/>
    <mergeCell ref="O10:O11"/>
    <mergeCell ref="P10:P11"/>
    <mergeCell ref="M12:O14"/>
    <mergeCell ref="P12:R14"/>
    <mergeCell ref="B36:H36"/>
    <mergeCell ref="B40:J40"/>
    <mergeCell ref="B41:J41"/>
    <mergeCell ref="Q10:Q11"/>
    <mergeCell ref="R10:R11"/>
    <mergeCell ref="B67:H67"/>
    <mergeCell ref="B71:J71"/>
    <mergeCell ref="B72:J72"/>
    <mergeCell ref="B73:J73"/>
    <mergeCell ref="B98:H98"/>
  </mergeCells>
  <hyperlinks>
    <hyperlink ref="B36" r:id="rId1" xr:uid="{00000000-0004-0000-4800-000000000000}"/>
    <hyperlink ref="B67" r:id="rId2" xr:uid="{00000000-0004-0000-4800-000001000000}"/>
    <hyperlink ref="M4:M5" location="'DEC-2018'!A1" display="BULLION" xr:uid="{00000000-0004-0000-4800-000002000000}"/>
    <hyperlink ref="B98" r:id="rId3" xr:uid="{00000000-0004-0000-4800-000003000000}"/>
    <hyperlink ref="M8:M9" location="'DEC-2018'!A86" display="BASE METAL" xr:uid="{00000000-0004-0000-4800-000004000000}"/>
    <hyperlink ref="M1" location="MASTER!A1" display="Back" xr:uid="{00000000-0004-0000-4800-000005000000}"/>
    <hyperlink ref="M6:M7" location="'DEC-2018'!A54" display="ENERGY" xr:uid="{00000000-0004-0000-4800-000006000000}"/>
  </hyperlinks>
  <pageMargins left="0" right="0" top="0" bottom="0" header="0" footer="0"/>
  <pageSetup paperSize="9" orientation="portrait" r:id="rId4"/>
  <drawing r:id="rId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W102"/>
  <sheetViews>
    <sheetView workbookViewId="0">
      <selection activeCell="M8" sqref="M8:M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43466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30</v>
      </c>
      <c r="O4" s="355">
        <f>V39</f>
        <v>24</v>
      </c>
      <c r="P4" s="355">
        <f>W39</f>
        <v>6</v>
      </c>
      <c r="Q4" s="356">
        <f>N4-O4-P4</f>
        <v>0</v>
      </c>
      <c r="R4" s="343">
        <f>O4/N4</f>
        <v>0.8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43466</v>
      </c>
      <c r="D6" s="192" t="s">
        <v>23</v>
      </c>
      <c r="E6" s="192" t="s">
        <v>24</v>
      </c>
      <c r="F6" s="193">
        <v>31440</v>
      </c>
      <c r="G6" s="193">
        <v>31410</v>
      </c>
      <c r="H6" s="192">
        <v>30</v>
      </c>
      <c r="I6" s="193">
        <v>100</v>
      </c>
      <c r="J6" s="267">
        <f>H6*I6</f>
        <v>3000</v>
      </c>
      <c r="K6" s="185"/>
      <c r="M6" s="364" t="s">
        <v>258</v>
      </c>
      <c r="N6" s="347">
        <f>COUNT(C47:C69)</f>
        <v>21</v>
      </c>
      <c r="O6" s="348">
        <f>V70</f>
        <v>17</v>
      </c>
      <c r="P6" s="348">
        <f>W70</f>
        <v>4</v>
      </c>
      <c r="Q6" s="349">
        <f>N6-O6-P6</f>
        <v>0</v>
      </c>
      <c r="R6" s="345">
        <f t="shared" ref="R6" si="0">O6/N6</f>
        <v>0.80952380952380953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43467</v>
      </c>
      <c r="D7" s="196" t="s">
        <v>23</v>
      </c>
      <c r="E7" s="196" t="s">
        <v>24</v>
      </c>
      <c r="F7" s="197">
        <v>31610</v>
      </c>
      <c r="G7" s="197">
        <v>31600</v>
      </c>
      <c r="H7" s="196">
        <v>10</v>
      </c>
      <c r="I7" s="197">
        <v>100</v>
      </c>
      <c r="J7" s="268">
        <f t="shared" ref="J7:J33" si="1">H7*I7</f>
        <v>1000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43467</v>
      </c>
      <c r="D8" s="196" t="s">
        <v>23</v>
      </c>
      <c r="E8" s="196" t="s">
        <v>22</v>
      </c>
      <c r="F8" s="197">
        <v>39000</v>
      </c>
      <c r="G8" s="197">
        <v>38880</v>
      </c>
      <c r="H8" s="196">
        <v>120</v>
      </c>
      <c r="I8" s="197">
        <v>30</v>
      </c>
      <c r="J8" s="268">
        <f t="shared" si="1"/>
        <v>3600</v>
      </c>
      <c r="K8" s="185"/>
      <c r="M8" s="362" t="s">
        <v>877</v>
      </c>
      <c r="N8" s="347">
        <f>COUNT(C78:C100)</f>
        <v>21</v>
      </c>
      <c r="O8" s="348">
        <f>V101</f>
        <v>17</v>
      </c>
      <c r="P8" s="348">
        <f>W101</f>
        <v>4</v>
      </c>
      <c r="Q8" s="349">
        <f>N8-O8-P8</f>
        <v>0</v>
      </c>
      <c r="R8" s="345">
        <f t="shared" ref="R8" si="4">O8/N8</f>
        <v>0.80952380952380953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43468</v>
      </c>
      <c r="D9" s="196" t="s">
        <v>23</v>
      </c>
      <c r="E9" s="196" t="s">
        <v>24</v>
      </c>
      <c r="F9" s="197">
        <v>31900</v>
      </c>
      <c r="G9" s="197">
        <v>31760</v>
      </c>
      <c r="H9" s="196">
        <v>140</v>
      </c>
      <c r="I9" s="197">
        <v>100</v>
      </c>
      <c r="J9" s="268">
        <f t="shared" si="1"/>
        <v>14000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43468</v>
      </c>
      <c r="D10" s="196" t="s">
        <v>23</v>
      </c>
      <c r="E10" s="196" t="s">
        <v>22</v>
      </c>
      <c r="F10" s="197">
        <v>39250</v>
      </c>
      <c r="G10" s="197">
        <v>39180</v>
      </c>
      <c r="H10" s="196">
        <v>70</v>
      </c>
      <c r="I10" s="197">
        <v>30</v>
      </c>
      <c r="J10" s="268">
        <f t="shared" si="1"/>
        <v>2100</v>
      </c>
      <c r="K10" s="185"/>
      <c r="M10" s="319" t="s">
        <v>300</v>
      </c>
      <c r="N10" s="321">
        <f>SUM(N4:N9)</f>
        <v>72</v>
      </c>
      <c r="O10" s="321">
        <f>SUM(O4:O9)</f>
        <v>58</v>
      </c>
      <c r="P10" s="321">
        <f>SUM(P4:P9)</f>
        <v>14</v>
      </c>
      <c r="Q10" s="341">
        <f>SUM(Q4:Q9)</f>
        <v>0</v>
      </c>
      <c r="R10" s="343">
        <f t="shared" ref="R10" si="5">O10/N10</f>
        <v>0.80555555555555558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43469</v>
      </c>
      <c r="D11" s="196" t="s">
        <v>23</v>
      </c>
      <c r="E11" s="196" t="s">
        <v>24</v>
      </c>
      <c r="F11" s="197">
        <v>31780</v>
      </c>
      <c r="G11" s="197">
        <v>31580</v>
      </c>
      <c r="H11" s="196">
        <v>200</v>
      </c>
      <c r="I11" s="197">
        <v>100</v>
      </c>
      <c r="J11" s="268">
        <f t="shared" si="1"/>
        <v>20000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43469</v>
      </c>
      <c r="D12" s="196" t="s">
        <v>23</v>
      </c>
      <c r="E12" s="196" t="s">
        <v>22</v>
      </c>
      <c r="F12" s="197">
        <v>39500</v>
      </c>
      <c r="G12" s="197">
        <v>39300</v>
      </c>
      <c r="H12" s="196">
        <v>200</v>
      </c>
      <c r="I12" s="197">
        <v>30</v>
      </c>
      <c r="J12" s="268">
        <f t="shared" si="1"/>
        <v>6000</v>
      </c>
      <c r="K12" s="185"/>
      <c r="M12" s="323" t="s">
        <v>878</v>
      </c>
      <c r="N12" s="324"/>
      <c r="O12" s="325"/>
      <c r="P12" s="332">
        <f>R10</f>
        <v>0.80555555555555558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43472</v>
      </c>
      <c r="D13" s="196" t="s">
        <v>16</v>
      </c>
      <c r="E13" s="196" t="s">
        <v>24</v>
      </c>
      <c r="F13" s="197">
        <v>31540</v>
      </c>
      <c r="G13" s="197">
        <v>31740</v>
      </c>
      <c r="H13" s="196">
        <v>200</v>
      </c>
      <c r="I13" s="197">
        <v>100</v>
      </c>
      <c r="J13" s="268">
        <f t="shared" si="1"/>
        <v>20000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43473</v>
      </c>
      <c r="D14" s="196" t="s">
        <v>16</v>
      </c>
      <c r="E14" s="196" t="s">
        <v>24</v>
      </c>
      <c r="F14" s="197">
        <v>31610</v>
      </c>
      <c r="G14" s="197">
        <v>31710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43473</v>
      </c>
      <c r="D15" s="196" t="s">
        <v>23</v>
      </c>
      <c r="E15" s="196" t="s">
        <v>22</v>
      </c>
      <c r="F15" s="197">
        <v>39250</v>
      </c>
      <c r="G15" s="197">
        <v>39350</v>
      </c>
      <c r="H15" s="196">
        <v>100</v>
      </c>
      <c r="I15" s="197">
        <v>30</v>
      </c>
      <c r="J15" s="268">
        <f t="shared" si="1"/>
        <v>3000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43474</v>
      </c>
      <c r="D16" s="196" t="s">
        <v>23</v>
      </c>
      <c r="E16" s="196" t="s">
        <v>24</v>
      </c>
      <c r="F16" s="197">
        <v>31770</v>
      </c>
      <c r="G16" s="197">
        <v>31870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43475</v>
      </c>
      <c r="D17" s="196" t="s">
        <v>16</v>
      </c>
      <c r="E17" s="196" t="s">
        <v>24</v>
      </c>
      <c r="F17" s="197">
        <v>32110</v>
      </c>
      <c r="G17" s="197">
        <v>31990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43476</v>
      </c>
      <c r="D18" s="196" t="s">
        <v>16</v>
      </c>
      <c r="E18" s="196" t="s">
        <v>24</v>
      </c>
      <c r="F18" s="197">
        <v>32020</v>
      </c>
      <c r="G18" s="197">
        <v>31920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43481</v>
      </c>
      <c r="D19" s="196" t="s">
        <v>16</v>
      </c>
      <c r="E19" s="196" t="s">
        <v>24</v>
      </c>
      <c r="F19" s="197">
        <v>32230</v>
      </c>
      <c r="G19" s="197">
        <v>32290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43482</v>
      </c>
      <c r="D20" s="196" t="s">
        <v>16</v>
      </c>
      <c r="E20" s="196" t="s">
        <v>24</v>
      </c>
      <c r="F20" s="197">
        <v>32310</v>
      </c>
      <c r="G20" s="197">
        <v>31370</v>
      </c>
      <c r="H20" s="196"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43482</v>
      </c>
      <c r="D21" s="196" t="s">
        <v>23</v>
      </c>
      <c r="E21" s="196" t="s">
        <v>22</v>
      </c>
      <c r="F21" s="197">
        <v>39550</v>
      </c>
      <c r="G21" s="197">
        <v>39350</v>
      </c>
      <c r="H21" s="196">
        <v>200</v>
      </c>
      <c r="I21" s="197">
        <v>30</v>
      </c>
      <c r="J21" s="268">
        <f t="shared" si="1"/>
        <v>6000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43483</v>
      </c>
      <c r="D22" s="196" t="s">
        <v>16</v>
      </c>
      <c r="E22" s="196" t="s">
        <v>24</v>
      </c>
      <c r="F22" s="197">
        <v>32250</v>
      </c>
      <c r="G22" s="197">
        <v>32310</v>
      </c>
      <c r="H22" s="196">
        <v>60</v>
      </c>
      <c r="I22" s="197">
        <v>100</v>
      </c>
      <c r="J22" s="268">
        <f t="shared" ref="J22:J32" si="6">H22*I22</f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43483</v>
      </c>
      <c r="D23" s="196" t="s">
        <v>16</v>
      </c>
      <c r="E23" s="196" t="s">
        <v>22</v>
      </c>
      <c r="F23" s="197">
        <v>39500</v>
      </c>
      <c r="G23" s="197">
        <v>39480</v>
      </c>
      <c r="H23" s="196">
        <v>-20</v>
      </c>
      <c r="I23" s="197">
        <v>30</v>
      </c>
      <c r="J23" s="268">
        <f t="shared" si="6"/>
        <v>-600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43486</v>
      </c>
      <c r="D24" s="196" t="s">
        <v>16</v>
      </c>
      <c r="E24" s="196" t="s">
        <v>24</v>
      </c>
      <c r="F24" s="197">
        <v>32130</v>
      </c>
      <c r="G24" s="197">
        <v>32030</v>
      </c>
      <c r="H24" s="196">
        <v>-100</v>
      </c>
      <c r="I24" s="197">
        <v>100</v>
      </c>
      <c r="J24" s="268">
        <f t="shared" si="6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43487</v>
      </c>
      <c r="D25" s="196" t="s">
        <v>16</v>
      </c>
      <c r="E25" s="196" t="s">
        <v>24</v>
      </c>
      <c r="F25" s="197">
        <v>32080</v>
      </c>
      <c r="G25" s="197">
        <v>32180</v>
      </c>
      <c r="H25" s="196">
        <v>100</v>
      </c>
      <c r="I25" s="197">
        <v>100</v>
      </c>
      <c r="J25" s="268">
        <f t="shared" si="6"/>
        <v>10000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43488</v>
      </c>
      <c r="D26" s="196" t="s">
        <v>16</v>
      </c>
      <c r="E26" s="196" t="s">
        <v>24</v>
      </c>
      <c r="F26" s="197">
        <v>32120</v>
      </c>
      <c r="G26" s="197">
        <v>32180</v>
      </c>
      <c r="H26" s="196">
        <v>60</v>
      </c>
      <c r="I26" s="197">
        <v>100</v>
      </c>
      <c r="J26" s="268">
        <f t="shared" si="6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43488</v>
      </c>
      <c r="D27" s="196" t="s">
        <v>16</v>
      </c>
      <c r="E27" s="196" t="s">
        <v>22</v>
      </c>
      <c r="F27" s="197">
        <v>39250</v>
      </c>
      <c r="G27" s="197">
        <v>39350</v>
      </c>
      <c r="H27" s="196">
        <v>100</v>
      </c>
      <c r="I27" s="197">
        <v>30</v>
      </c>
      <c r="J27" s="268">
        <f t="shared" si="6"/>
        <v>3000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43489</v>
      </c>
      <c r="D28" s="196" t="s">
        <v>16</v>
      </c>
      <c r="E28" s="196" t="s">
        <v>24</v>
      </c>
      <c r="F28" s="197">
        <v>32120</v>
      </c>
      <c r="G28" s="197">
        <v>32020</v>
      </c>
      <c r="H28" s="196">
        <v>100</v>
      </c>
      <c r="I28" s="197">
        <v>100</v>
      </c>
      <c r="J28" s="268">
        <f t="shared" si="6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43489</v>
      </c>
      <c r="D29" s="196" t="s">
        <v>23</v>
      </c>
      <c r="E29" s="196" t="s">
        <v>22</v>
      </c>
      <c r="F29" s="197">
        <v>38980</v>
      </c>
      <c r="G29" s="197">
        <v>38880</v>
      </c>
      <c r="H29" s="196">
        <v>100</v>
      </c>
      <c r="I29" s="197">
        <v>30</v>
      </c>
      <c r="J29" s="268">
        <f t="shared" si="6"/>
        <v>3000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43490</v>
      </c>
      <c r="D30" s="196" t="s">
        <v>16</v>
      </c>
      <c r="E30" s="196" t="s">
        <v>24</v>
      </c>
      <c r="F30" s="197">
        <v>32060</v>
      </c>
      <c r="G30" s="197">
        <v>32260</v>
      </c>
      <c r="H30" s="196">
        <v>200</v>
      </c>
      <c r="I30" s="197">
        <v>100</v>
      </c>
      <c r="J30" s="268">
        <f t="shared" si="6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43490</v>
      </c>
      <c r="D31" s="196" t="s">
        <v>16</v>
      </c>
      <c r="E31" s="196" t="s">
        <v>22</v>
      </c>
      <c r="F31" s="197">
        <v>39000</v>
      </c>
      <c r="G31" s="197">
        <v>39400</v>
      </c>
      <c r="H31" s="196">
        <v>400</v>
      </c>
      <c r="I31" s="197">
        <v>30</v>
      </c>
      <c r="J31" s="268">
        <f t="shared" si="6"/>
        <v>12000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43493</v>
      </c>
      <c r="D32" s="196" t="s">
        <v>23</v>
      </c>
      <c r="E32" s="196" t="s">
        <v>24</v>
      </c>
      <c r="F32" s="197">
        <v>32520</v>
      </c>
      <c r="G32" s="197">
        <v>32460</v>
      </c>
      <c r="H32" s="196">
        <v>60</v>
      </c>
      <c r="I32" s="197">
        <v>100</v>
      </c>
      <c r="J32" s="268">
        <f t="shared" si="6"/>
        <v>6000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43494</v>
      </c>
      <c r="D33" s="196" t="s">
        <v>23</v>
      </c>
      <c r="E33" s="196" t="s">
        <v>24</v>
      </c>
      <c r="F33" s="197">
        <v>32580</v>
      </c>
      <c r="G33" s="197">
        <v>32680</v>
      </c>
      <c r="H33" s="196">
        <v>-100</v>
      </c>
      <c r="I33" s="197">
        <v>100</v>
      </c>
      <c r="J33" s="268">
        <f t="shared" si="1"/>
        <v>-10000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43495</v>
      </c>
      <c r="D34" s="196" t="s">
        <v>23</v>
      </c>
      <c r="E34" s="196" t="s">
        <v>24</v>
      </c>
      <c r="F34" s="197">
        <v>32900</v>
      </c>
      <c r="G34" s="197">
        <v>32840</v>
      </c>
      <c r="H34" s="196">
        <v>60</v>
      </c>
      <c r="I34" s="197">
        <v>100</v>
      </c>
      <c r="J34" s="268">
        <f t="shared" ref="J34:J38" si="7">H34*I34</f>
        <v>6000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43496</v>
      </c>
      <c r="D35" s="196" t="s">
        <v>16</v>
      </c>
      <c r="E35" s="196" t="s">
        <v>24</v>
      </c>
      <c r="F35" s="197">
        <v>33120</v>
      </c>
      <c r="G35" s="197">
        <v>33220</v>
      </c>
      <c r="H35" s="196">
        <v>100</v>
      </c>
      <c r="I35" s="197">
        <v>100</v>
      </c>
      <c r="J35" s="268">
        <f t="shared" si="7"/>
        <v>10000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7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7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7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142100</v>
      </c>
      <c r="K39" s="185"/>
      <c r="V39" s="183">
        <f>SUM(V6:V38)</f>
        <v>24</v>
      </c>
      <c r="W39" s="183">
        <f>SUM(W6:W38)</f>
        <v>6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43466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43466</v>
      </c>
      <c r="D47" s="192" t="s">
        <v>23</v>
      </c>
      <c r="E47" s="192" t="s">
        <v>25</v>
      </c>
      <c r="F47" s="193">
        <v>3195</v>
      </c>
      <c r="G47" s="193">
        <v>3155</v>
      </c>
      <c r="H47" s="192">
        <v>40</v>
      </c>
      <c r="I47" s="193">
        <v>100</v>
      </c>
      <c r="J47" s="267">
        <f t="shared" ref="J47:J69" si="8">I47*H47</f>
        <v>4000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43467</v>
      </c>
      <c r="D48" s="196" t="s">
        <v>23</v>
      </c>
      <c r="E48" s="196" t="s">
        <v>25</v>
      </c>
      <c r="F48" s="197">
        <v>3150</v>
      </c>
      <c r="G48" s="197">
        <v>3125</v>
      </c>
      <c r="H48" s="196">
        <v>25</v>
      </c>
      <c r="I48" s="197">
        <v>100</v>
      </c>
      <c r="J48" s="268">
        <f t="shared" si="8"/>
        <v>2500</v>
      </c>
      <c r="K48" s="185"/>
      <c r="V48" s="183">
        <f t="shared" ref="V48:V69" si="9">IF($J48&gt;0,1,0)</f>
        <v>1</v>
      </c>
      <c r="W48" s="183">
        <f t="shared" ref="W48:W69" si="10">IF($J48&lt;0,1,0)</f>
        <v>0</v>
      </c>
    </row>
    <row r="49" spans="1:23" x14ac:dyDescent="0.3">
      <c r="A49" s="184"/>
      <c r="B49" s="194">
        <v>3</v>
      </c>
      <c r="C49" s="195">
        <v>43468</v>
      </c>
      <c r="D49" s="196" t="s">
        <v>23</v>
      </c>
      <c r="E49" s="196" t="s">
        <v>25</v>
      </c>
      <c r="F49" s="197">
        <v>3225</v>
      </c>
      <c r="G49" s="197">
        <v>3205</v>
      </c>
      <c r="H49" s="196">
        <v>20</v>
      </c>
      <c r="I49" s="197">
        <v>100</v>
      </c>
      <c r="J49" s="268">
        <f t="shared" si="8"/>
        <v>2000</v>
      </c>
      <c r="K49" s="185"/>
      <c r="V49" s="183">
        <f t="shared" si="9"/>
        <v>1</v>
      </c>
      <c r="W49" s="183">
        <f t="shared" si="10"/>
        <v>0</v>
      </c>
    </row>
    <row r="50" spans="1:23" x14ac:dyDescent="0.3">
      <c r="A50" s="184"/>
      <c r="B50" s="194">
        <v>4</v>
      </c>
      <c r="C50" s="195">
        <v>43469</v>
      </c>
      <c r="D50" s="196" t="s">
        <v>23</v>
      </c>
      <c r="E50" s="196" t="s">
        <v>25</v>
      </c>
      <c r="F50" s="197">
        <v>3355</v>
      </c>
      <c r="G50" s="197">
        <v>3335</v>
      </c>
      <c r="H50" s="196">
        <v>20</v>
      </c>
      <c r="I50" s="197">
        <v>100</v>
      </c>
      <c r="J50" s="268">
        <f t="shared" si="8"/>
        <v>2000</v>
      </c>
      <c r="K50" s="185"/>
      <c r="V50" s="183">
        <f t="shared" si="9"/>
        <v>1</v>
      </c>
      <c r="W50" s="183">
        <f t="shared" si="10"/>
        <v>0</v>
      </c>
    </row>
    <row r="51" spans="1:23" x14ac:dyDescent="0.3">
      <c r="A51" s="184"/>
      <c r="B51" s="194">
        <v>5</v>
      </c>
      <c r="C51" s="195">
        <v>43472</v>
      </c>
      <c r="D51" s="196" t="s">
        <v>23</v>
      </c>
      <c r="E51" s="196" t="s">
        <v>25</v>
      </c>
      <c r="F51" s="197">
        <v>3395</v>
      </c>
      <c r="G51" s="197">
        <v>3425</v>
      </c>
      <c r="H51" s="196">
        <v>-30</v>
      </c>
      <c r="I51" s="197">
        <v>100</v>
      </c>
      <c r="J51" s="268">
        <f t="shared" si="8"/>
        <v>-3000</v>
      </c>
      <c r="K51" s="185"/>
      <c r="V51" s="183">
        <f t="shared" si="9"/>
        <v>0</v>
      </c>
      <c r="W51" s="183">
        <f t="shared" si="10"/>
        <v>1</v>
      </c>
    </row>
    <row r="52" spans="1:23" x14ac:dyDescent="0.3">
      <c r="A52" s="184"/>
      <c r="B52" s="194">
        <v>6</v>
      </c>
      <c r="C52" s="195">
        <v>43473</v>
      </c>
      <c r="D52" s="196" t="s">
        <v>23</v>
      </c>
      <c r="E52" s="196" t="s">
        <v>25</v>
      </c>
      <c r="F52" s="197">
        <v>3145</v>
      </c>
      <c r="G52" s="197">
        <v>3445</v>
      </c>
      <c r="H52" s="196">
        <v>-30</v>
      </c>
      <c r="I52" s="197">
        <v>100</v>
      </c>
      <c r="J52" s="268">
        <f t="shared" si="8"/>
        <v>-3000</v>
      </c>
      <c r="K52" s="185"/>
      <c r="V52" s="183">
        <f t="shared" si="9"/>
        <v>0</v>
      </c>
      <c r="W52" s="183">
        <f t="shared" si="10"/>
        <v>1</v>
      </c>
    </row>
    <row r="53" spans="1:23" x14ac:dyDescent="0.3">
      <c r="A53" s="184"/>
      <c r="B53" s="194">
        <v>7</v>
      </c>
      <c r="C53" s="195">
        <v>43474</v>
      </c>
      <c r="D53" s="196" t="s">
        <v>23</v>
      </c>
      <c r="E53" s="196" t="s">
        <v>25</v>
      </c>
      <c r="F53" s="197">
        <v>3560</v>
      </c>
      <c r="G53" s="197">
        <v>3590</v>
      </c>
      <c r="H53" s="196">
        <v>-30</v>
      </c>
      <c r="I53" s="197">
        <v>100</v>
      </c>
      <c r="J53" s="268">
        <f t="shared" si="8"/>
        <v>-3000</v>
      </c>
      <c r="K53" s="185"/>
      <c r="V53" s="183">
        <f t="shared" si="9"/>
        <v>0</v>
      </c>
      <c r="W53" s="183">
        <f t="shared" si="10"/>
        <v>1</v>
      </c>
    </row>
    <row r="54" spans="1:23" x14ac:dyDescent="0.3">
      <c r="A54" s="184"/>
      <c r="B54" s="194">
        <v>8</v>
      </c>
      <c r="C54" s="195">
        <v>43475</v>
      </c>
      <c r="D54" s="196" t="s">
        <v>23</v>
      </c>
      <c r="E54" s="196" t="s">
        <v>25</v>
      </c>
      <c r="F54" s="197">
        <v>3650</v>
      </c>
      <c r="G54" s="197">
        <v>3680</v>
      </c>
      <c r="H54" s="196">
        <v>-30</v>
      </c>
      <c r="I54" s="197">
        <v>100</v>
      </c>
      <c r="J54" s="268">
        <f t="shared" si="8"/>
        <v>-3000</v>
      </c>
      <c r="K54" s="185"/>
      <c r="V54" s="183">
        <f t="shared" si="9"/>
        <v>0</v>
      </c>
      <c r="W54" s="183">
        <f t="shared" si="10"/>
        <v>1</v>
      </c>
    </row>
    <row r="55" spans="1:23" x14ac:dyDescent="0.3">
      <c r="A55" s="184"/>
      <c r="B55" s="194">
        <v>9</v>
      </c>
      <c r="C55" s="195">
        <v>43476</v>
      </c>
      <c r="D55" s="196" t="s">
        <v>23</v>
      </c>
      <c r="E55" s="196" t="s">
        <v>25</v>
      </c>
      <c r="F55" s="197">
        <v>3740</v>
      </c>
      <c r="G55" s="197">
        <v>3680</v>
      </c>
      <c r="H55" s="196">
        <v>60</v>
      </c>
      <c r="I55" s="197">
        <v>100</v>
      </c>
      <c r="J55" s="268">
        <f t="shared" si="8"/>
        <v>6000</v>
      </c>
      <c r="K55" s="185"/>
      <c r="V55" s="183">
        <f t="shared" si="9"/>
        <v>1</v>
      </c>
      <c r="W55" s="183">
        <f t="shared" si="10"/>
        <v>0</v>
      </c>
    </row>
    <row r="56" spans="1:23" x14ac:dyDescent="0.3">
      <c r="A56" s="184"/>
      <c r="B56" s="194">
        <v>10</v>
      </c>
      <c r="C56" s="195">
        <v>43481</v>
      </c>
      <c r="D56" s="196" t="s">
        <v>23</v>
      </c>
      <c r="E56" s="196" t="s">
        <v>25</v>
      </c>
      <c r="F56" s="197">
        <v>3720</v>
      </c>
      <c r="G56" s="197">
        <v>3677</v>
      </c>
      <c r="H56" s="196">
        <v>43</v>
      </c>
      <c r="I56" s="197">
        <v>100</v>
      </c>
      <c r="J56" s="268">
        <f t="shared" si="8"/>
        <v>4300</v>
      </c>
      <c r="K56" s="185"/>
      <c r="V56" s="183">
        <f t="shared" si="9"/>
        <v>1</v>
      </c>
      <c r="W56" s="183">
        <f t="shared" si="10"/>
        <v>0</v>
      </c>
    </row>
    <row r="57" spans="1:23" x14ac:dyDescent="0.3">
      <c r="A57" s="184"/>
      <c r="B57" s="194">
        <v>11</v>
      </c>
      <c r="C57" s="195">
        <v>43482</v>
      </c>
      <c r="D57" s="196" t="s">
        <v>23</v>
      </c>
      <c r="E57" s="196" t="s">
        <v>25</v>
      </c>
      <c r="F57" s="197">
        <v>3715</v>
      </c>
      <c r="G57" s="197">
        <v>3655</v>
      </c>
      <c r="H57" s="196">
        <v>60</v>
      </c>
      <c r="I57" s="197">
        <v>100</v>
      </c>
      <c r="J57" s="268">
        <f t="shared" si="8"/>
        <v>6000</v>
      </c>
      <c r="K57" s="185"/>
      <c r="V57" s="183">
        <f t="shared" si="9"/>
        <v>1</v>
      </c>
      <c r="W57" s="183">
        <f t="shared" si="10"/>
        <v>0</v>
      </c>
    </row>
    <row r="58" spans="1:23" x14ac:dyDescent="0.3">
      <c r="A58" s="184"/>
      <c r="B58" s="194">
        <v>12</v>
      </c>
      <c r="C58" s="195">
        <v>43483</v>
      </c>
      <c r="D58" s="196" t="s">
        <v>16</v>
      </c>
      <c r="E58" s="196" t="s">
        <v>25</v>
      </c>
      <c r="F58" s="197">
        <v>3745</v>
      </c>
      <c r="G58" s="197">
        <v>3765</v>
      </c>
      <c r="H58" s="196">
        <v>20</v>
      </c>
      <c r="I58" s="197">
        <v>100</v>
      </c>
      <c r="J58" s="268">
        <f t="shared" si="8"/>
        <v>2000</v>
      </c>
      <c r="K58" s="185"/>
      <c r="V58" s="183">
        <f t="shared" si="9"/>
        <v>1</v>
      </c>
      <c r="W58" s="183">
        <f t="shared" si="10"/>
        <v>0</v>
      </c>
    </row>
    <row r="59" spans="1:23" x14ac:dyDescent="0.3">
      <c r="A59" s="184"/>
      <c r="B59" s="194">
        <v>13</v>
      </c>
      <c r="C59" s="195">
        <v>43486</v>
      </c>
      <c r="D59" s="196" t="s">
        <v>23</v>
      </c>
      <c r="E59" s="196" t="s">
        <v>25</v>
      </c>
      <c r="F59" s="197">
        <v>3880</v>
      </c>
      <c r="G59" s="197">
        <v>3850</v>
      </c>
      <c r="H59" s="196">
        <v>30</v>
      </c>
      <c r="I59" s="197">
        <v>100</v>
      </c>
      <c r="J59" s="268">
        <f t="shared" si="8"/>
        <v>3000</v>
      </c>
      <c r="K59" s="185"/>
      <c r="V59" s="183">
        <f t="shared" si="9"/>
        <v>1</v>
      </c>
      <c r="W59" s="183">
        <f t="shared" si="10"/>
        <v>0</v>
      </c>
    </row>
    <row r="60" spans="1:23" x14ac:dyDescent="0.3">
      <c r="A60" s="184"/>
      <c r="B60" s="194">
        <v>14</v>
      </c>
      <c r="C60" s="195">
        <v>43487</v>
      </c>
      <c r="D60" s="196" t="s">
        <v>23</v>
      </c>
      <c r="E60" s="196" t="s">
        <v>25</v>
      </c>
      <c r="F60" s="197">
        <v>3855</v>
      </c>
      <c r="G60" s="197">
        <v>3795</v>
      </c>
      <c r="H60" s="196">
        <v>60</v>
      </c>
      <c r="I60" s="197">
        <v>100</v>
      </c>
      <c r="J60" s="268">
        <f t="shared" si="8"/>
        <v>6000</v>
      </c>
      <c r="K60" s="185"/>
      <c r="V60" s="183">
        <f t="shared" si="9"/>
        <v>1</v>
      </c>
      <c r="W60" s="183">
        <f t="shared" si="10"/>
        <v>0</v>
      </c>
    </row>
    <row r="61" spans="1:23" x14ac:dyDescent="0.3">
      <c r="A61" s="184"/>
      <c r="B61" s="194">
        <v>15</v>
      </c>
      <c r="C61" s="195">
        <v>43488</v>
      </c>
      <c r="D61" s="196" t="s">
        <v>23</v>
      </c>
      <c r="E61" s="196" t="s">
        <v>25</v>
      </c>
      <c r="F61" s="197">
        <v>3810</v>
      </c>
      <c r="G61" s="197">
        <v>3790</v>
      </c>
      <c r="H61" s="196">
        <v>20</v>
      </c>
      <c r="I61" s="197">
        <v>100</v>
      </c>
      <c r="J61" s="268">
        <f t="shared" si="8"/>
        <v>2000</v>
      </c>
      <c r="K61" s="185"/>
      <c r="V61" s="183">
        <f t="shared" si="9"/>
        <v>1</v>
      </c>
      <c r="W61" s="183">
        <f t="shared" si="10"/>
        <v>0</v>
      </c>
    </row>
    <row r="62" spans="1:23" x14ac:dyDescent="0.3">
      <c r="A62" s="184"/>
      <c r="B62" s="194">
        <v>16</v>
      </c>
      <c r="C62" s="195">
        <v>43489</v>
      </c>
      <c r="D62" s="196" t="s">
        <v>23</v>
      </c>
      <c r="E62" s="196" t="s">
        <v>25</v>
      </c>
      <c r="F62" s="197">
        <v>3750</v>
      </c>
      <c r="G62" s="197">
        <v>3730</v>
      </c>
      <c r="H62" s="196">
        <v>20</v>
      </c>
      <c r="I62" s="197">
        <v>100</v>
      </c>
      <c r="J62" s="268">
        <f t="shared" si="8"/>
        <v>2000</v>
      </c>
      <c r="K62" s="185"/>
      <c r="V62" s="183">
        <f t="shared" si="9"/>
        <v>1</v>
      </c>
      <c r="W62" s="183">
        <f t="shared" si="10"/>
        <v>0</v>
      </c>
    </row>
    <row r="63" spans="1:23" x14ac:dyDescent="0.3">
      <c r="A63" s="184"/>
      <c r="B63" s="194">
        <v>17</v>
      </c>
      <c r="C63" s="195">
        <v>43490</v>
      </c>
      <c r="D63" s="196" t="s">
        <v>23</v>
      </c>
      <c r="E63" s="196" t="s">
        <v>25</v>
      </c>
      <c r="F63" s="197">
        <v>3840</v>
      </c>
      <c r="G63" s="197">
        <v>3780</v>
      </c>
      <c r="H63" s="196">
        <v>60</v>
      </c>
      <c r="I63" s="197">
        <v>100</v>
      </c>
      <c r="J63" s="268">
        <f t="shared" si="8"/>
        <v>6000</v>
      </c>
      <c r="K63" s="185"/>
      <c r="V63" s="183">
        <f t="shared" si="9"/>
        <v>1</v>
      </c>
      <c r="W63" s="183">
        <f t="shared" si="10"/>
        <v>0</v>
      </c>
    </row>
    <row r="64" spans="1:23" x14ac:dyDescent="0.3">
      <c r="A64" s="255"/>
      <c r="B64" s="194">
        <v>18</v>
      </c>
      <c r="C64" s="195">
        <v>43493</v>
      </c>
      <c r="D64" s="196" t="s">
        <v>23</v>
      </c>
      <c r="E64" s="196" t="s">
        <v>25</v>
      </c>
      <c r="F64" s="197">
        <v>3780</v>
      </c>
      <c r="G64" s="197">
        <v>3720</v>
      </c>
      <c r="H64" s="196">
        <v>60</v>
      </c>
      <c r="I64" s="197">
        <v>100</v>
      </c>
      <c r="J64" s="268">
        <f t="shared" si="8"/>
        <v>6000</v>
      </c>
      <c r="K64" s="185"/>
      <c r="V64" s="183">
        <f t="shared" si="9"/>
        <v>1</v>
      </c>
      <c r="W64" s="183">
        <f t="shared" si="10"/>
        <v>0</v>
      </c>
    </row>
    <row r="65" spans="1:23" x14ac:dyDescent="0.3">
      <c r="A65" s="184"/>
      <c r="B65" s="194">
        <v>19</v>
      </c>
      <c r="C65" s="195">
        <v>43494</v>
      </c>
      <c r="D65" s="196" t="s">
        <v>23</v>
      </c>
      <c r="E65" s="196" t="s">
        <v>25</v>
      </c>
      <c r="F65" s="197">
        <v>3740</v>
      </c>
      <c r="G65" s="197">
        <v>3700</v>
      </c>
      <c r="H65" s="196">
        <v>40</v>
      </c>
      <c r="I65" s="197">
        <v>100</v>
      </c>
      <c r="J65" s="268">
        <f t="shared" si="8"/>
        <v>4000</v>
      </c>
      <c r="K65" s="185"/>
      <c r="V65" s="183">
        <f t="shared" si="9"/>
        <v>1</v>
      </c>
      <c r="W65" s="183">
        <f t="shared" si="10"/>
        <v>0</v>
      </c>
    </row>
    <row r="66" spans="1:23" x14ac:dyDescent="0.3">
      <c r="A66" s="184"/>
      <c r="B66" s="194">
        <v>20</v>
      </c>
      <c r="C66" s="195">
        <v>43495</v>
      </c>
      <c r="D66" s="196" t="s">
        <v>23</v>
      </c>
      <c r="E66" s="196" t="s">
        <v>25</v>
      </c>
      <c r="F66" s="197">
        <v>3825</v>
      </c>
      <c r="G66" s="197">
        <v>3795</v>
      </c>
      <c r="H66" s="196">
        <v>30</v>
      </c>
      <c r="I66" s="197">
        <v>100</v>
      </c>
      <c r="J66" s="268">
        <f t="shared" si="8"/>
        <v>3000</v>
      </c>
      <c r="K66" s="185"/>
      <c r="V66" s="183">
        <f t="shared" si="9"/>
        <v>1</v>
      </c>
      <c r="W66" s="183">
        <f t="shared" si="10"/>
        <v>0</v>
      </c>
    </row>
    <row r="67" spans="1:23" x14ac:dyDescent="0.3">
      <c r="A67" s="184"/>
      <c r="B67" s="194">
        <v>21</v>
      </c>
      <c r="C67" s="195">
        <v>43496</v>
      </c>
      <c r="D67" s="196" t="s">
        <v>23</v>
      </c>
      <c r="E67" s="196" t="s">
        <v>25</v>
      </c>
      <c r="F67" s="197">
        <v>3890</v>
      </c>
      <c r="G67" s="197">
        <v>3850</v>
      </c>
      <c r="H67" s="196">
        <v>40</v>
      </c>
      <c r="I67" s="197">
        <v>100</v>
      </c>
      <c r="J67" s="268">
        <f t="shared" si="8"/>
        <v>4000</v>
      </c>
      <c r="K67" s="185"/>
      <c r="V67" s="183">
        <f t="shared" si="9"/>
        <v>1</v>
      </c>
      <c r="W67" s="183">
        <f t="shared" si="10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8"/>
        <v>0</v>
      </c>
      <c r="K68" s="185"/>
      <c r="V68" s="183">
        <f t="shared" si="9"/>
        <v>0</v>
      </c>
      <c r="W68" s="183">
        <f t="shared" si="10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8"/>
        <v>0</v>
      </c>
      <c r="K69" s="185"/>
      <c r="V69" s="183">
        <f t="shared" si="9"/>
        <v>0</v>
      </c>
      <c r="W69" s="183">
        <f t="shared" si="10"/>
        <v>0</v>
      </c>
    </row>
    <row r="70" spans="1:23" ht="24" thickBot="1" x14ac:dyDescent="0.5">
      <c r="A70" s="184"/>
      <c r="B70" s="304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52800</v>
      </c>
      <c r="K70" s="185"/>
      <c r="V70" s="183">
        <f>SUM(V47:V69)</f>
        <v>17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43466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43466</v>
      </c>
      <c r="D78" s="216" t="s">
        <v>16</v>
      </c>
      <c r="E78" s="256" t="s">
        <v>28</v>
      </c>
      <c r="F78" s="256">
        <v>172</v>
      </c>
      <c r="G78" s="256">
        <v>172.3</v>
      </c>
      <c r="H78" s="256">
        <v>0.3</v>
      </c>
      <c r="I78" s="218">
        <v>5000</v>
      </c>
      <c r="J78" s="273">
        <f>I78*H78</f>
        <v>1500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43467</v>
      </c>
      <c r="D79" s="196" t="s">
        <v>23</v>
      </c>
      <c r="E79" s="222" t="s">
        <v>28</v>
      </c>
      <c r="F79" s="222">
        <v>169.6</v>
      </c>
      <c r="G79" s="222">
        <v>169.1</v>
      </c>
      <c r="H79" s="222">
        <v>0.5</v>
      </c>
      <c r="I79" s="197">
        <v>5000</v>
      </c>
      <c r="J79" s="268">
        <f t="shared" ref="J79:J100" si="11">I79*H79</f>
        <v>2500</v>
      </c>
      <c r="K79" s="185"/>
      <c r="V79" s="183">
        <f t="shared" ref="V79:V100" si="12">IF($J79&gt;0,1,0)</f>
        <v>1</v>
      </c>
      <c r="W79" s="183">
        <f t="shared" ref="W79:W100" si="13">IF($J79&lt;0,1,0)</f>
        <v>0</v>
      </c>
    </row>
    <row r="80" spans="1:23" x14ac:dyDescent="0.3">
      <c r="A80" s="184"/>
      <c r="B80" s="194">
        <v>3</v>
      </c>
      <c r="C80" s="195">
        <v>43468</v>
      </c>
      <c r="D80" s="196" t="s">
        <v>23</v>
      </c>
      <c r="E80" s="222" t="s">
        <v>28</v>
      </c>
      <c r="F80" s="222">
        <v>170.5</v>
      </c>
      <c r="G80" s="222">
        <v>168.5</v>
      </c>
      <c r="H80" s="222">
        <v>2</v>
      </c>
      <c r="I80" s="197">
        <v>5000</v>
      </c>
      <c r="J80" s="268">
        <f t="shared" si="11"/>
        <v>10000</v>
      </c>
      <c r="K80" s="185"/>
      <c r="V80" s="183">
        <f t="shared" si="12"/>
        <v>1</v>
      </c>
      <c r="W80" s="183">
        <f t="shared" si="13"/>
        <v>0</v>
      </c>
    </row>
    <row r="81" spans="1:23" x14ac:dyDescent="0.3">
      <c r="A81" s="184"/>
      <c r="B81" s="194">
        <v>4</v>
      </c>
      <c r="C81" s="195">
        <v>43469</v>
      </c>
      <c r="D81" s="196" t="s">
        <v>23</v>
      </c>
      <c r="E81" s="222" t="s">
        <v>28</v>
      </c>
      <c r="F81" s="222">
        <v>172.4</v>
      </c>
      <c r="G81" s="222">
        <v>171.4</v>
      </c>
      <c r="H81" s="222">
        <v>1</v>
      </c>
      <c r="I81" s="197">
        <v>5000</v>
      </c>
      <c r="J81" s="268">
        <f t="shared" si="11"/>
        <v>5000</v>
      </c>
      <c r="K81" s="185"/>
      <c r="V81" s="183">
        <f t="shared" si="12"/>
        <v>1</v>
      </c>
      <c r="W81" s="183">
        <f t="shared" si="13"/>
        <v>0</v>
      </c>
    </row>
    <row r="82" spans="1:23" x14ac:dyDescent="0.3">
      <c r="A82" s="184"/>
      <c r="B82" s="194">
        <v>5</v>
      </c>
      <c r="C82" s="195">
        <v>43472</v>
      </c>
      <c r="D82" s="196" t="s">
        <v>16</v>
      </c>
      <c r="E82" s="222" t="s">
        <v>28</v>
      </c>
      <c r="F82" s="222">
        <v>173</v>
      </c>
      <c r="G82" s="222">
        <v>174</v>
      </c>
      <c r="H82" s="222">
        <v>1</v>
      </c>
      <c r="I82" s="197">
        <v>5000</v>
      </c>
      <c r="J82" s="268">
        <f t="shared" si="11"/>
        <v>5000</v>
      </c>
      <c r="K82" s="185"/>
      <c r="V82" s="183">
        <f t="shared" si="12"/>
        <v>1</v>
      </c>
      <c r="W82" s="183">
        <f t="shared" si="13"/>
        <v>0</v>
      </c>
    </row>
    <row r="83" spans="1:23" x14ac:dyDescent="0.3">
      <c r="A83" s="184"/>
      <c r="B83" s="194">
        <v>6</v>
      </c>
      <c r="C83" s="195">
        <v>43473</v>
      </c>
      <c r="D83" s="196" t="s">
        <v>23</v>
      </c>
      <c r="E83" s="222" t="s">
        <v>28</v>
      </c>
      <c r="F83" s="222">
        <v>177.1</v>
      </c>
      <c r="G83" s="222">
        <v>175.1</v>
      </c>
      <c r="H83" s="222">
        <v>2</v>
      </c>
      <c r="I83" s="197">
        <v>5000</v>
      </c>
      <c r="J83" s="268">
        <f t="shared" si="11"/>
        <v>10000</v>
      </c>
      <c r="K83" s="185"/>
      <c r="V83" s="183">
        <f t="shared" si="12"/>
        <v>1</v>
      </c>
      <c r="W83" s="183">
        <f t="shared" si="13"/>
        <v>0</v>
      </c>
    </row>
    <row r="84" spans="1:23" x14ac:dyDescent="0.3">
      <c r="A84" s="184"/>
      <c r="B84" s="194">
        <v>7</v>
      </c>
      <c r="C84" s="195">
        <v>43474</v>
      </c>
      <c r="D84" s="196" t="s">
        <v>23</v>
      </c>
      <c r="E84" s="222" t="s">
        <v>28</v>
      </c>
      <c r="F84" s="222">
        <v>177.5</v>
      </c>
      <c r="G84" s="222">
        <v>178.5</v>
      </c>
      <c r="H84" s="274">
        <v>-1</v>
      </c>
      <c r="I84" s="197">
        <v>5000</v>
      </c>
      <c r="J84" s="268">
        <f t="shared" si="11"/>
        <v>-5000</v>
      </c>
      <c r="K84" s="185"/>
      <c r="V84" s="183">
        <f t="shared" si="12"/>
        <v>0</v>
      </c>
      <c r="W84" s="183">
        <f t="shared" si="13"/>
        <v>1</v>
      </c>
    </row>
    <row r="85" spans="1:23" x14ac:dyDescent="0.3">
      <c r="A85" s="184"/>
      <c r="B85" s="194">
        <v>8</v>
      </c>
      <c r="C85" s="195">
        <v>43475</v>
      </c>
      <c r="D85" s="196" t="s">
        <v>23</v>
      </c>
      <c r="E85" s="222" t="s">
        <v>28</v>
      </c>
      <c r="F85" s="222">
        <v>174.6</v>
      </c>
      <c r="G85" s="222">
        <v>172.6</v>
      </c>
      <c r="H85" s="222">
        <v>2</v>
      </c>
      <c r="I85" s="197">
        <v>5000</v>
      </c>
      <c r="J85" s="268">
        <f t="shared" si="11"/>
        <v>10000</v>
      </c>
      <c r="K85" s="185"/>
      <c r="V85" s="183">
        <f t="shared" si="12"/>
        <v>1</v>
      </c>
      <c r="W85" s="183">
        <f t="shared" si="13"/>
        <v>0</v>
      </c>
    </row>
    <row r="86" spans="1:23" x14ac:dyDescent="0.3">
      <c r="A86" s="184"/>
      <c r="B86" s="194">
        <v>9</v>
      </c>
      <c r="C86" s="195">
        <v>43476</v>
      </c>
      <c r="D86" s="196" t="s">
        <v>16</v>
      </c>
      <c r="E86" s="222" t="s">
        <v>28</v>
      </c>
      <c r="F86" s="222">
        <v>176</v>
      </c>
      <c r="G86" s="222">
        <v>175</v>
      </c>
      <c r="H86" s="222">
        <v>-1</v>
      </c>
      <c r="I86" s="197">
        <v>5000</v>
      </c>
      <c r="J86" s="268">
        <f t="shared" si="11"/>
        <v>-5000</v>
      </c>
      <c r="K86" s="185"/>
      <c r="V86" s="183">
        <f t="shared" si="12"/>
        <v>0</v>
      </c>
      <c r="W86" s="183">
        <f t="shared" si="13"/>
        <v>1</v>
      </c>
    </row>
    <row r="87" spans="1:23" x14ac:dyDescent="0.3">
      <c r="A87" s="184"/>
      <c r="B87" s="194">
        <v>10</v>
      </c>
      <c r="C87" s="195">
        <v>43481</v>
      </c>
      <c r="D87" s="196" t="s">
        <v>23</v>
      </c>
      <c r="E87" s="222" t="s">
        <v>28</v>
      </c>
      <c r="F87" s="222">
        <v>177.8</v>
      </c>
      <c r="G87" s="222">
        <v>177.5</v>
      </c>
      <c r="H87" s="222">
        <v>0.3</v>
      </c>
      <c r="I87" s="197">
        <v>5000</v>
      </c>
      <c r="J87" s="268">
        <f t="shared" si="11"/>
        <v>1500</v>
      </c>
      <c r="K87" s="185"/>
      <c r="V87" s="183">
        <f t="shared" si="12"/>
        <v>1</v>
      </c>
      <c r="W87" s="183">
        <f t="shared" si="13"/>
        <v>0</v>
      </c>
    </row>
    <row r="88" spans="1:23" x14ac:dyDescent="0.3">
      <c r="A88" s="184"/>
      <c r="B88" s="194">
        <v>11</v>
      </c>
      <c r="C88" s="195">
        <v>43482</v>
      </c>
      <c r="D88" s="196" t="s">
        <v>23</v>
      </c>
      <c r="E88" s="222" t="s">
        <v>28</v>
      </c>
      <c r="F88" s="222">
        <v>178.3</v>
      </c>
      <c r="G88" s="222">
        <v>177.8</v>
      </c>
      <c r="H88" s="274">
        <v>0.5</v>
      </c>
      <c r="I88" s="197">
        <v>5000</v>
      </c>
      <c r="J88" s="268">
        <f t="shared" si="11"/>
        <v>2500</v>
      </c>
      <c r="K88" s="185"/>
      <c r="V88" s="183">
        <f t="shared" si="12"/>
        <v>1</v>
      </c>
      <c r="W88" s="183">
        <f t="shared" si="13"/>
        <v>0</v>
      </c>
    </row>
    <row r="89" spans="1:23" x14ac:dyDescent="0.3">
      <c r="A89" s="184"/>
      <c r="B89" s="194">
        <v>12</v>
      </c>
      <c r="C89" s="195">
        <v>43483</v>
      </c>
      <c r="D89" s="196" t="s">
        <v>16</v>
      </c>
      <c r="E89" s="222" t="s">
        <v>28</v>
      </c>
      <c r="F89" s="222">
        <v>183</v>
      </c>
      <c r="G89" s="222">
        <v>185</v>
      </c>
      <c r="H89" s="274">
        <v>2</v>
      </c>
      <c r="I89" s="197">
        <v>5000</v>
      </c>
      <c r="J89" s="268">
        <f t="shared" si="11"/>
        <v>10000</v>
      </c>
      <c r="K89" s="185"/>
      <c r="V89" s="183">
        <f t="shared" si="12"/>
        <v>1</v>
      </c>
      <c r="W89" s="183">
        <f t="shared" si="13"/>
        <v>0</v>
      </c>
    </row>
    <row r="90" spans="1:23" x14ac:dyDescent="0.3">
      <c r="A90" s="184"/>
      <c r="B90" s="194">
        <v>13</v>
      </c>
      <c r="C90" s="195">
        <v>43486</v>
      </c>
      <c r="D90" s="196" t="s">
        <v>23</v>
      </c>
      <c r="E90" s="222" t="s">
        <v>28</v>
      </c>
      <c r="F90" s="222">
        <v>185.5</v>
      </c>
      <c r="G90" s="222">
        <v>183.9</v>
      </c>
      <c r="H90" s="274">
        <v>1.6</v>
      </c>
      <c r="I90" s="197">
        <v>5000</v>
      </c>
      <c r="J90" s="268">
        <f t="shared" si="11"/>
        <v>8000</v>
      </c>
      <c r="K90" s="185"/>
      <c r="V90" s="183">
        <f t="shared" si="12"/>
        <v>1</v>
      </c>
      <c r="W90" s="183">
        <f t="shared" si="13"/>
        <v>0</v>
      </c>
    </row>
    <row r="91" spans="1:23" x14ac:dyDescent="0.3">
      <c r="A91" s="184"/>
      <c r="B91" s="194">
        <v>14</v>
      </c>
      <c r="C91" s="195">
        <v>43487</v>
      </c>
      <c r="D91" s="196" t="s">
        <v>16</v>
      </c>
      <c r="E91" s="222" t="s">
        <v>28</v>
      </c>
      <c r="F91" s="222">
        <v>184</v>
      </c>
      <c r="G91" s="222">
        <v>186</v>
      </c>
      <c r="H91" s="274">
        <v>2</v>
      </c>
      <c r="I91" s="197">
        <v>5000</v>
      </c>
      <c r="J91" s="268">
        <f t="shared" si="11"/>
        <v>10000</v>
      </c>
      <c r="K91" s="185"/>
      <c r="V91" s="183">
        <f t="shared" si="12"/>
        <v>1</v>
      </c>
      <c r="W91" s="183">
        <f t="shared" si="13"/>
        <v>0</v>
      </c>
    </row>
    <row r="92" spans="1:23" x14ac:dyDescent="0.3">
      <c r="A92" s="184"/>
      <c r="B92" s="194">
        <v>15</v>
      </c>
      <c r="C92" s="195">
        <v>43488</v>
      </c>
      <c r="D92" s="196" t="s">
        <v>16</v>
      </c>
      <c r="E92" s="222" t="s">
        <v>28</v>
      </c>
      <c r="F92" s="223">
        <v>186.8</v>
      </c>
      <c r="G92" s="222">
        <v>188.2</v>
      </c>
      <c r="H92" s="274">
        <v>1.4</v>
      </c>
      <c r="I92" s="197">
        <v>5000</v>
      </c>
      <c r="J92" s="268">
        <f t="shared" si="11"/>
        <v>7000</v>
      </c>
      <c r="K92" s="185"/>
      <c r="V92" s="183">
        <f t="shared" si="12"/>
        <v>1</v>
      </c>
      <c r="W92" s="183">
        <f t="shared" si="13"/>
        <v>0</v>
      </c>
    </row>
    <row r="93" spans="1:23" x14ac:dyDescent="0.3">
      <c r="A93" s="184"/>
      <c r="B93" s="194">
        <v>16</v>
      </c>
      <c r="C93" s="195">
        <v>43489</v>
      </c>
      <c r="D93" s="196" t="s">
        <v>16</v>
      </c>
      <c r="E93" s="222" t="s">
        <v>28</v>
      </c>
      <c r="F93" s="222">
        <v>187</v>
      </c>
      <c r="G93" s="222">
        <v>188.6</v>
      </c>
      <c r="H93" s="274">
        <v>1.6</v>
      </c>
      <c r="I93" s="197">
        <v>5000</v>
      </c>
      <c r="J93" s="268">
        <f t="shared" si="11"/>
        <v>8000</v>
      </c>
      <c r="K93" s="185"/>
      <c r="V93" s="183">
        <f t="shared" si="12"/>
        <v>1</v>
      </c>
      <c r="W93" s="183">
        <f t="shared" si="13"/>
        <v>0</v>
      </c>
    </row>
    <row r="94" spans="1:23" x14ac:dyDescent="0.3">
      <c r="A94" s="184"/>
      <c r="B94" s="194">
        <v>17</v>
      </c>
      <c r="C94" s="195">
        <v>43490</v>
      </c>
      <c r="D94" s="196" t="s">
        <v>23</v>
      </c>
      <c r="E94" s="222" t="s">
        <v>28</v>
      </c>
      <c r="F94" s="222">
        <v>187.8</v>
      </c>
      <c r="G94" s="222">
        <v>188.8</v>
      </c>
      <c r="H94" s="274">
        <v>-1</v>
      </c>
      <c r="I94" s="197">
        <v>5000</v>
      </c>
      <c r="J94" s="268">
        <f t="shared" si="11"/>
        <v>-5000</v>
      </c>
      <c r="K94" s="185"/>
      <c r="V94" s="183">
        <f t="shared" si="12"/>
        <v>0</v>
      </c>
      <c r="W94" s="183">
        <f t="shared" si="13"/>
        <v>1</v>
      </c>
    </row>
    <row r="95" spans="1:23" x14ac:dyDescent="0.3">
      <c r="A95" s="184"/>
      <c r="B95" s="194">
        <v>18</v>
      </c>
      <c r="C95" s="195">
        <v>43493</v>
      </c>
      <c r="D95" s="196" t="s">
        <v>23</v>
      </c>
      <c r="E95" s="222" t="s">
        <v>28</v>
      </c>
      <c r="F95" s="222">
        <v>191.3</v>
      </c>
      <c r="G95" s="222">
        <v>192.3</v>
      </c>
      <c r="H95" s="274">
        <v>-1</v>
      </c>
      <c r="I95" s="197">
        <v>5000</v>
      </c>
      <c r="J95" s="268">
        <f t="shared" si="11"/>
        <v>-5000</v>
      </c>
      <c r="K95" s="185"/>
      <c r="V95" s="183">
        <f t="shared" si="12"/>
        <v>0</v>
      </c>
      <c r="W95" s="183">
        <f t="shared" si="13"/>
        <v>1</v>
      </c>
    </row>
    <row r="96" spans="1:23" x14ac:dyDescent="0.3">
      <c r="A96" s="184"/>
      <c r="B96" s="194">
        <v>19</v>
      </c>
      <c r="C96" s="195">
        <v>43494</v>
      </c>
      <c r="D96" s="196" t="s">
        <v>16</v>
      </c>
      <c r="E96" s="222" t="s">
        <v>28</v>
      </c>
      <c r="F96" s="222">
        <v>190.6</v>
      </c>
      <c r="G96" s="222">
        <v>192.2</v>
      </c>
      <c r="H96" s="274">
        <v>1.6</v>
      </c>
      <c r="I96" s="197">
        <v>5000</v>
      </c>
      <c r="J96" s="268">
        <f t="shared" si="11"/>
        <v>8000</v>
      </c>
      <c r="K96" s="185"/>
      <c r="V96" s="183">
        <f t="shared" si="12"/>
        <v>1</v>
      </c>
      <c r="W96" s="183">
        <f t="shared" si="13"/>
        <v>0</v>
      </c>
    </row>
    <row r="97" spans="1:23" x14ac:dyDescent="0.3">
      <c r="A97" s="184"/>
      <c r="B97" s="194">
        <v>20</v>
      </c>
      <c r="C97" s="195">
        <v>43495</v>
      </c>
      <c r="D97" s="196" t="s">
        <v>16</v>
      </c>
      <c r="E97" s="222" t="s">
        <v>28</v>
      </c>
      <c r="F97" s="222">
        <v>190.4</v>
      </c>
      <c r="G97" s="222">
        <v>191.4</v>
      </c>
      <c r="H97" s="274">
        <v>1</v>
      </c>
      <c r="I97" s="197">
        <v>5000</v>
      </c>
      <c r="J97" s="268">
        <f t="shared" si="11"/>
        <v>5000</v>
      </c>
      <c r="K97" s="185"/>
      <c r="V97" s="183">
        <f t="shared" si="12"/>
        <v>1</v>
      </c>
      <c r="W97" s="183">
        <f t="shared" si="13"/>
        <v>0</v>
      </c>
    </row>
    <row r="98" spans="1:23" x14ac:dyDescent="0.3">
      <c r="A98" s="184"/>
      <c r="B98" s="194">
        <v>21</v>
      </c>
      <c r="C98" s="195">
        <v>43496</v>
      </c>
      <c r="D98" s="196" t="s">
        <v>23</v>
      </c>
      <c r="E98" s="222" t="s">
        <v>28</v>
      </c>
      <c r="F98" s="222">
        <v>194.8</v>
      </c>
      <c r="G98" s="222">
        <v>193.85</v>
      </c>
      <c r="H98" s="274">
        <v>0.95</v>
      </c>
      <c r="I98" s="197">
        <v>5000</v>
      </c>
      <c r="J98" s="268">
        <f t="shared" si="11"/>
        <v>4750</v>
      </c>
      <c r="K98" s="185"/>
      <c r="V98" s="183">
        <f t="shared" si="12"/>
        <v>1</v>
      </c>
      <c r="W98" s="183">
        <f t="shared" si="13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11"/>
        <v>0</v>
      </c>
      <c r="K99" s="185"/>
      <c r="V99" s="183">
        <f t="shared" si="12"/>
        <v>0</v>
      </c>
      <c r="W99" s="183">
        <f t="shared" si="13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11"/>
        <v>0</v>
      </c>
      <c r="K100" s="185"/>
      <c r="V100" s="183">
        <f t="shared" si="12"/>
        <v>0</v>
      </c>
      <c r="W100" s="183">
        <f t="shared" si="13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88750</v>
      </c>
      <c r="K101" s="185"/>
      <c r="V101" s="183">
        <f>SUM(V78:V100)</f>
        <v>17</v>
      </c>
      <c r="W101" s="183">
        <f>SUM(W78:W100)</f>
        <v>4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4900-000000000000}"/>
    <hyperlink ref="B70" r:id="rId2" xr:uid="{00000000-0004-0000-4900-000001000000}"/>
    <hyperlink ref="M4:M5" location="'NOV-2018'!A1" display="BULLION" xr:uid="{00000000-0004-0000-4900-000002000000}"/>
    <hyperlink ref="B101" r:id="rId3" xr:uid="{00000000-0004-0000-4900-000003000000}"/>
    <hyperlink ref="M8:M9" location="'NOV-2018'!A86" display="BASE METAL" xr:uid="{00000000-0004-0000-4900-000004000000}"/>
    <hyperlink ref="M1" location="MASTER!A1" display="Back" xr:uid="{00000000-0004-0000-4900-000005000000}"/>
    <hyperlink ref="M6:M7" location="'NOV-2018'!A54" display="ENERGY" xr:uid="{00000000-0004-0000-4900-000006000000}"/>
  </hyperlinks>
  <pageMargins left="0" right="0" top="0" bottom="0" header="0" footer="0"/>
  <pageSetup paperSize="9" orientation="portrait" r:id="rId4"/>
  <drawing r:id="rId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W102"/>
  <sheetViews>
    <sheetView topLeftCell="A13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43497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29</v>
      </c>
      <c r="O4" s="355">
        <f>V39</f>
        <v>21</v>
      </c>
      <c r="P4" s="355">
        <f>W39</f>
        <v>8</v>
      </c>
      <c r="Q4" s="356">
        <f>N4-O4-P4</f>
        <v>0</v>
      </c>
      <c r="R4" s="343">
        <f>O4/N4</f>
        <v>0.72413793103448276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43497</v>
      </c>
      <c r="D6" s="192" t="s">
        <v>23</v>
      </c>
      <c r="E6" s="192" t="s">
        <v>24</v>
      </c>
      <c r="F6" s="193">
        <v>32980</v>
      </c>
      <c r="G6" s="193">
        <v>33080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COUNT(C47:C69)</f>
        <v>19</v>
      </c>
      <c r="O6" s="348">
        <f>V70</f>
        <v>14</v>
      </c>
      <c r="P6" s="348">
        <f>W70</f>
        <v>4</v>
      </c>
      <c r="Q6" s="349">
        <f>N6-O6-P6</f>
        <v>1</v>
      </c>
      <c r="R6" s="345">
        <f t="shared" ref="R6" si="0">O6/N6</f>
        <v>0.73684210526315785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43500</v>
      </c>
      <c r="D7" s="196" t="s">
        <v>16</v>
      </c>
      <c r="E7" s="196" t="s">
        <v>24</v>
      </c>
      <c r="F7" s="197">
        <v>33400</v>
      </c>
      <c r="G7" s="197">
        <v>33460</v>
      </c>
      <c r="H7" s="196">
        <v>60</v>
      </c>
      <c r="I7" s="197">
        <v>100</v>
      </c>
      <c r="J7" s="268">
        <f t="shared" ref="J7:J38" si="1">H7*I7</f>
        <v>6000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43501</v>
      </c>
      <c r="D8" s="196" t="s">
        <v>23</v>
      </c>
      <c r="E8" s="196" t="s">
        <v>24</v>
      </c>
      <c r="F8" s="197">
        <v>33450</v>
      </c>
      <c r="G8" s="197">
        <v>33350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COUNT(C78:C100)</f>
        <v>19</v>
      </c>
      <c r="O8" s="348">
        <f>V101</f>
        <v>15</v>
      </c>
      <c r="P8" s="348">
        <f>W101</f>
        <v>4</v>
      </c>
      <c r="Q8" s="349">
        <f>N8-O8-P8</f>
        <v>0</v>
      </c>
      <c r="R8" s="345">
        <f t="shared" ref="R8" si="4">O8/N8</f>
        <v>0.78947368421052633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43501</v>
      </c>
      <c r="D9" s="196" t="s">
        <v>23</v>
      </c>
      <c r="E9" s="196" t="s">
        <v>22</v>
      </c>
      <c r="F9" s="197">
        <v>40600</v>
      </c>
      <c r="G9" s="197">
        <v>40400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43502</v>
      </c>
      <c r="D10" s="196" t="s">
        <v>23</v>
      </c>
      <c r="E10" s="196" t="s">
        <v>24</v>
      </c>
      <c r="F10" s="197">
        <v>33370</v>
      </c>
      <c r="G10" s="197">
        <v>33310</v>
      </c>
      <c r="H10" s="196">
        <v>60</v>
      </c>
      <c r="I10" s="197">
        <v>100</v>
      </c>
      <c r="J10" s="268">
        <f t="shared" si="1"/>
        <v>6000</v>
      </c>
      <c r="K10" s="185"/>
      <c r="M10" s="319" t="s">
        <v>300</v>
      </c>
      <c r="N10" s="321">
        <f>SUM(N4:N9)</f>
        <v>67</v>
      </c>
      <c r="O10" s="321">
        <f>SUM(O4:O9)</f>
        <v>50</v>
      </c>
      <c r="P10" s="321">
        <f>SUM(P4:P9)</f>
        <v>16</v>
      </c>
      <c r="Q10" s="341">
        <f>SUM(Q4:Q9)</f>
        <v>1</v>
      </c>
      <c r="R10" s="343">
        <f t="shared" ref="R10" si="5">O10/N10</f>
        <v>0.74626865671641796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43502</v>
      </c>
      <c r="D11" s="196" t="s">
        <v>23</v>
      </c>
      <c r="E11" s="196" t="s">
        <v>22</v>
      </c>
      <c r="F11" s="197">
        <v>40300</v>
      </c>
      <c r="G11" s="197">
        <v>40140</v>
      </c>
      <c r="H11" s="196">
        <v>160</v>
      </c>
      <c r="I11" s="197">
        <v>30</v>
      </c>
      <c r="J11" s="268">
        <f t="shared" si="1"/>
        <v>4800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43503</v>
      </c>
      <c r="D12" s="196" t="s">
        <v>23</v>
      </c>
      <c r="E12" s="196" t="s">
        <v>24</v>
      </c>
      <c r="F12" s="197">
        <v>33100</v>
      </c>
      <c r="G12" s="197">
        <v>33040</v>
      </c>
      <c r="H12" s="196">
        <v>60</v>
      </c>
      <c r="I12" s="197">
        <v>100</v>
      </c>
      <c r="J12" s="268">
        <f t="shared" si="1"/>
        <v>6000</v>
      </c>
      <c r="K12" s="185"/>
      <c r="M12" s="323" t="s">
        <v>878</v>
      </c>
      <c r="N12" s="324"/>
      <c r="O12" s="325"/>
      <c r="P12" s="332">
        <f>R10</f>
        <v>0.74626865671641796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43503</v>
      </c>
      <c r="D13" s="196" t="s">
        <v>23</v>
      </c>
      <c r="E13" s="196" t="s">
        <v>22</v>
      </c>
      <c r="F13" s="197">
        <v>39950</v>
      </c>
      <c r="G13" s="197">
        <v>39850</v>
      </c>
      <c r="H13" s="196">
        <v>100</v>
      </c>
      <c r="I13" s="197">
        <v>30</v>
      </c>
      <c r="J13" s="268">
        <f t="shared" si="1"/>
        <v>3000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43504</v>
      </c>
      <c r="D14" s="196" t="s">
        <v>23</v>
      </c>
      <c r="E14" s="196" t="s">
        <v>24</v>
      </c>
      <c r="F14" s="197">
        <v>33140</v>
      </c>
      <c r="G14" s="197">
        <v>33040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43507</v>
      </c>
      <c r="D15" s="196" t="s">
        <v>16</v>
      </c>
      <c r="E15" s="196" t="s">
        <v>24</v>
      </c>
      <c r="F15" s="197">
        <v>33120</v>
      </c>
      <c r="G15" s="197">
        <v>33020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43507</v>
      </c>
      <c r="D16" s="196" t="s">
        <v>16</v>
      </c>
      <c r="E16" s="196" t="s">
        <v>22</v>
      </c>
      <c r="F16" s="197">
        <v>40000</v>
      </c>
      <c r="G16" s="197">
        <v>39800</v>
      </c>
      <c r="H16" s="196">
        <v>-200</v>
      </c>
      <c r="I16" s="197">
        <v>30</v>
      </c>
      <c r="J16" s="268">
        <f t="shared" si="1"/>
        <v>-6000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43508</v>
      </c>
      <c r="D17" s="196" t="s">
        <v>23</v>
      </c>
      <c r="E17" s="196" t="s">
        <v>24</v>
      </c>
      <c r="F17" s="197">
        <v>32980</v>
      </c>
      <c r="G17" s="197">
        <v>32840</v>
      </c>
      <c r="H17" s="196">
        <v>140</v>
      </c>
      <c r="I17" s="197">
        <v>100</v>
      </c>
      <c r="J17" s="268">
        <f t="shared" si="1"/>
        <v>14000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43509</v>
      </c>
      <c r="D18" s="196" t="s">
        <v>16</v>
      </c>
      <c r="E18" s="196" t="s">
        <v>24</v>
      </c>
      <c r="F18" s="197">
        <v>32870</v>
      </c>
      <c r="G18" s="197">
        <v>33070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43509</v>
      </c>
      <c r="D19" s="196" t="s">
        <v>16</v>
      </c>
      <c r="E19" s="196" t="s">
        <v>22</v>
      </c>
      <c r="F19" s="197">
        <v>39600</v>
      </c>
      <c r="G19" s="197">
        <v>39880</v>
      </c>
      <c r="H19" s="196">
        <v>280</v>
      </c>
      <c r="I19" s="197">
        <v>30</v>
      </c>
      <c r="J19" s="268">
        <f t="shared" si="1"/>
        <v>8400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43510</v>
      </c>
      <c r="D20" s="196" t="s">
        <v>23</v>
      </c>
      <c r="E20" s="196" t="s">
        <v>24</v>
      </c>
      <c r="F20" s="197">
        <v>32920</v>
      </c>
      <c r="G20" s="197">
        <v>33020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43510</v>
      </c>
      <c r="D21" s="196" t="s">
        <v>23</v>
      </c>
      <c r="E21" s="196" t="s">
        <v>22</v>
      </c>
      <c r="F21" s="197">
        <v>39450</v>
      </c>
      <c r="G21" s="197">
        <v>39250</v>
      </c>
      <c r="H21" s="196">
        <v>200</v>
      </c>
      <c r="I21" s="197">
        <v>30</v>
      </c>
      <c r="J21" s="268">
        <f t="shared" si="1"/>
        <v>6000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43511</v>
      </c>
      <c r="D22" s="196" t="s">
        <v>16</v>
      </c>
      <c r="E22" s="196" t="s">
        <v>24</v>
      </c>
      <c r="F22" s="197">
        <v>33210</v>
      </c>
      <c r="G22" s="197">
        <v>33410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43511</v>
      </c>
      <c r="D23" s="196" t="s">
        <v>16</v>
      </c>
      <c r="E23" s="196" t="s">
        <v>22</v>
      </c>
      <c r="F23" s="197">
        <v>39600</v>
      </c>
      <c r="G23" s="197">
        <v>39880</v>
      </c>
      <c r="H23" s="196">
        <v>280</v>
      </c>
      <c r="I23" s="197">
        <v>30</v>
      </c>
      <c r="J23" s="268">
        <f t="shared" si="1"/>
        <v>8400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43514</v>
      </c>
      <c r="D24" s="196" t="s">
        <v>16</v>
      </c>
      <c r="E24" s="196" t="s">
        <v>24</v>
      </c>
      <c r="F24" s="197">
        <v>33510</v>
      </c>
      <c r="G24" s="197">
        <v>33610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43514</v>
      </c>
      <c r="D25" s="196" t="s">
        <v>16</v>
      </c>
      <c r="E25" s="196" t="s">
        <v>22</v>
      </c>
      <c r="F25" s="197">
        <v>40200</v>
      </c>
      <c r="G25" s="197">
        <v>40290</v>
      </c>
      <c r="H25" s="196">
        <v>90</v>
      </c>
      <c r="I25" s="197">
        <v>30</v>
      </c>
      <c r="J25" s="268">
        <f t="shared" si="1"/>
        <v>2700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43515</v>
      </c>
      <c r="D26" s="196" t="s">
        <v>23</v>
      </c>
      <c r="E26" s="196" t="s">
        <v>24</v>
      </c>
      <c r="F26" s="197">
        <v>33720</v>
      </c>
      <c r="G26" s="197">
        <v>33820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43516</v>
      </c>
      <c r="D27" s="196" t="s">
        <v>23</v>
      </c>
      <c r="E27" s="196" t="s">
        <v>24</v>
      </c>
      <c r="F27" s="197">
        <v>33900</v>
      </c>
      <c r="G27" s="197">
        <v>33840</v>
      </c>
      <c r="H27" s="196">
        <v>60</v>
      </c>
      <c r="I27" s="197">
        <v>100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43517</v>
      </c>
      <c r="D28" s="196" t="s">
        <v>16</v>
      </c>
      <c r="E28" s="196" t="s">
        <v>24</v>
      </c>
      <c r="F28" s="197">
        <v>33760</v>
      </c>
      <c r="G28" s="197">
        <v>33660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43517</v>
      </c>
      <c r="D29" s="196" t="s">
        <v>16</v>
      </c>
      <c r="E29" s="196" t="s">
        <v>22</v>
      </c>
      <c r="F29" s="197">
        <v>40500</v>
      </c>
      <c r="G29" s="197">
        <v>40300</v>
      </c>
      <c r="H29" s="196">
        <v>-200</v>
      </c>
      <c r="I29" s="197">
        <v>30</v>
      </c>
      <c r="J29" s="268">
        <f t="shared" si="1"/>
        <v>-6000</v>
      </c>
      <c r="K29" s="185"/>
      <c r="V29" s="183">
        <f t="shared" si="2"/>
        <v>0</v>
      </c>
      <c r="W29" s="183">
        <f t="shared" si="3"/>
        <v>1</v>
      </c>
    </row>
    <row r="30" spans="1:23" x14ac:dyDescent="0.3">
      <c r="A30" s="184"/>
      <c r="B30" s="194">
        <v>25</v>
      </c>
      <c r="C30" s="195">
        <v>43518</v>
      </c>
      <c r="D30" s="196" t="s">
        <v>16</v>
      </c>
      <c r="E30" s="196" t="s">
        <v>24</v>
      </c>
      <c r="F30" s="197">
        <v>33420</v>
      </c>
      <c r="G30" s="197">
        <v>33505</v>
      </c>
      <c r="H30" s="196">
        <v>85</v>
      </c>
      <c r="I30" s="197">
        <v>100</v>
      </c>
      <c r="J30" s="268">
        <f t="shared" si="1"/>
        <v>8500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43521</v>
      </c>
      <c r="D31" s="196" t="s">
        <v>16</v>
      </c>
      <c r="E31" s="196" t="s">
        <v>24</v>
      </c>
      <c r="F31" s="197">
        <v>33440</v>
      </c>
      <c r="G31" s="197">
        <v>33340</v>
      </c>
      <c r="H31" s="196">
        <v>-100</v>
      </c>
      <c r="I31" s="197">
        <v>100</v>
      </c>
      <c r="J31" s="268">
        <f t="shared" si="1"/>
        <v>-10000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43522</v>
      </c>
      <c r="D32" s="196" t="s">
        <v>23</v>
      </c>
      <c r="E32" s="196" t="s">
        <v>24</v>
      </c>
      <c r="F32" s="197">
        <v>33430</v>
      </c>
      <c r="G32" s="197">
        <v>33335</v>
      </c>
      <c r="H32" s="196">
        <v>95</v>
      </c>
      <c r="I32" s="197">
        <v>100</v>
      </c>
      <c r="J32" s="268">
        <f t="shared" si="1"/>
        <v>9500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43523</v>
      </c>
      <c r="D33" s="196" t="s">
        <v>23</v>
      </c>
      <c r="E33" s="196" t="s">
        <v>24</v>
      </c>
      <c r="F33" s="197">
        <v>33550</v>
      </c>
      <c r="G33" s="197">
        <v>33350</v>
      </c>
      <c r="H33" s="196">
        <v>200</v>
      </c>
      <c r="I33" s="197">
        <v>100</v>
      </c>
      <c r="J33" s="268">
        <f t="shared" si="1"/>
        <v>20000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43524</v>
      </c>
      <c r="D34" s="196" t="s">
        <v>16</v>
      </c>
      <c r="E34" s="196" t="s">
        <v>24</v>
      </c>
      <c r="F34" s="197">
        <v>33250</v>
      </c>
      <c r="G34" s="197">
        <v>33350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123300</v>
      </c>
      <c r="K39" s="185"/>
      <c r="V39" s="183">
        <f>SUM(V6:V38)</f>
        <v>21</v>
      </c>
      <c r="W39" s="183">
        <f>SUM(W6:W38)</f>
        <v>8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43497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43497</v>
      </c>
      <c r="D47" s="192" t="s">
        <v>23</v>
      </c>
      <c r="E47" s="192" t="s">
        <v>25</v>
      </c>
      <c r="F47" s="193">
        <v>3840</v>
      </c>
      <c r="G47" s="193">
        <v>3820</v>
      </c>
      <c r="H47" s="192">
        <v>20</v>
      </c>
      <c r="I47" s="193">
        <v>100</v>
      </c>
      <c r="J47" s="267">
        <f t="shared" ref="J47:J69" si="6">I47*H47</f>
        <v>2000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43500</v>
      </c>
      <c r="D48" s="196" t="s">
        <v>23</v>
      </c>
      <c r="E48" s="196" t="s">
        <v>25</v>
      </c>
      <c r="F48" s="197">
        <v>3975</v>
      </c>
      <c r="G48" s="197">
        <v>4005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43501</v>
      </c>
      <c r="D49" s="196" t="s">
        <v>23</v>
      </c>
      <c r="E49" s="196" t="s">
        <v>25</v>
      </c>
      <c r="F49" s="197">
        <v>3940</v>
      </c>
      <c r="G49" s="197">
        <v>3915</v>
      </c>
      <c r="H49" s="196">
        <v>25</v>
      </c>
      <c r="I49" s="197">
        <v>100</v>
      </c>
      <c r="J49" s="268">
        <f t="shared" si="6"/>
        <v>2500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43502</v>
      </c>
      <c r="D50" s="196" t="s">
        <v>23</v>
      </c>
      <c r="E50" s="196" t="s">
        <v>25</v>
      </c>
      <c r="F50" s="197">
        <v>3855</v>
      </c>
      <c r="G50" s="197">
        <v>3795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43503</v>
      </c>
      <c r="D51" s="196" t="s">
        <v>23</v>
      </c>
      <c r="E51" s="196" t="s">
        <v>25</v>
      </c>
      <c r="F51" s="197">
        <v>3865</v>
      </c>
      <c r="G51" s="197">
        <v>3805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43504</v>
      </c>
      <c r="D52" s="196" t="s">
        <v>23</v>
      </c>
      <c r="E52" s="196" t="s">
        <v>25</v>
      </c>
      <c r="F52" s="197">
        <v>3735</v>
      </c>
      <c r="G52" s="197">
        <v>3715</v>
      </c>
      <c r="H52" s="196">
        <v>15</v>
      </c>
      <c r="I52" s="197">
        <v>100</v>
      </c>
      <c r="J52" s="268">
        <f t="shared" si="6"/>
        <v>1500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43507</v>
      </c>
      <c r="D53" s="196" t="s">
        <v>23</v>
      </c>
      <c r="E53" s="196" t="s">
        <v>25</v>
      </c>
      <c r="F53" s="197">
        <v>3720</v>
      </c>
      <c r="G53" s="197">
        <v>3665</v>
      </c>
      <c r="H53" s="196">
        <v>55</v>
      </c>
      <c r="I53" s="197">
        <v>100</v>
      </c>
      <c r="J53" s="268">
        <f t="shared" si="6"/>
        <v>5500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43508</v>
      </c>
      <c r="D54" s="196" t="s">
        <v>23</v>
      </c>
      <c r="E54" s="196" t="s">
        <v>25</v>
      </c>
      <c r="F54" s="197">
        <v>3750</v>
      </c>
      <c r="G54" s="197">
        <v>3730</v>
      </c>
      <c r="H54" s="196">
        <v>20</v>
      </c>
      <c r="I54" s="197">
        <v>100</v>
      </c>
      <c r="J54" s="268">
        <f t="shared" si="6"/>
        <v>2000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43510</v>
      </c>
      <c r="D55" s="196" t="s">
        <v>23</v>
      </c>
      <c r="E55" s="196" t="s">
        <v>25</v>
      </c>
      <c r="F55" s="197">
        <v>3860</v>
      </c>
      <c r="G55" s="197">
        <v>3890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10</v>
      </c>
      <c r="C56" s="195">
        <v>43511</v>
      </c>
      <c r="D56" s="196" t="s">
        <v>16</v>
      </c>
      <c r="E56" s="196" t="s">
        <v>25</v>
      </c>
      <c r="F56" s="197">
        <v>3895</v>
      </c>
      <c r="G56" s="197">
        <v>3955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43514</v>
      </c>
      <c r="D57" s="196" t="s">
        <v>23</v>
      </c>
      <c r="E57" s="196" t="s">
        <v>25</v>
      </c>
      <c r="F57" s="197">
        <v>4000</v>
      </c>
      <c r="G57" s="197">
        <v>4000</v>
      </c>
      <c r="H57" s="196">
        <v>0</v>
      </c>
      <c r="I57" s="197">
        <v>100</v>
      </c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43515</v>
      </c>
      <c r="D58" s="196" t="s">
        <v>23</v>
      </c>
      <c r="E58" s="196" t="s">
        <v>25</v>
      </c>
      <c r="F58" s="197">
        <v>4050</v>
      </c>
      <c r="G58" s="197">
        <v>3990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43516</v>
      </c>
      <c r="D59" s="196" t="s">
        <v>23</v>
      </c>
      <c r="E59" s="196" t="s">
        <v>25</v>
      </c>
      <c r="F59" s="197">
        <v>4025</v>
      </c>
      <c r="G59" s="197">
        <v>3985</v>
      </c>
      <c r="H59" s="196">
        <v>40</v>
      </c>
      <c r="I59" s="197">
        <v>100</v>
      </c>
      <c r="J59" s="268">
        <f t="shared" si="6"/>
        <v>4000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43517</v>
      </c>
      <c r="D60" s="196" t="s">
        <v>23</v>
      </c>
      <c r="E60" s="196" t="s">
        <v>25</v>
      </c>
      <c r="F60" s="197">
        <v>4095</v>
      </c>
      <c r="G60" s="197">
        <v>4055</v>
      </c>
      <c r="H60" s="196">
        <v>40</v>
      </c>
      <c r="I60" s="197">
        <v>100</v>
      </c>
      <c r="J60" s="268">
        <f t="shared" si="6"/>
        <v>4000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43518</v>
      </c>
      <c r="D61" s="196" t="s">
        <v>23</v>
      </c>
      <c r="E61" s="196" t="s">
        <v>25</v>
      </c>
      <c r="F61" s="197">
        <v>4080</v>
      </c>
      <c r="G61" s="197">
        <v>4110</v>
      </c>
      <c r="H61" s="196">
        <v>-30</v>
      </c>
      <c r="I61" s="197">
        <v>100</v>
      </c>
      <c r="J61" s="268">
        <f t="shared" si="6"/>
        <v>-3000</v>
      </c>
      <c r="K61" s="185"/>
      <c r="V61" s="183">
        <f t="shared" si="7"/>
        <v>0</v>
      </c>
      <c r="W61" s="183">
        <f t="shared" si="8"/>
        <v>1</v>
      </c>
    </row>
    <row r="62" spans="1:23" x14ac:dyDescent="0.3">
      <c r="A62" s="184"/>
      <c r="B62" s="194">
        <v>16</v>
      </c>
      <c r="C62" s="195">
        <v>43521</v>
      </c>
      <c r="D62" s="196" t="s">
        <v>23</v>
      </c>
      <c r="E62" s="196" t="s">
        <v>25</v>
      </c>
      <c r="F62" s="197">
        <v>4090</v>
      </c>
      <c r="G62" s="197">
        <v>4030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43522</v>
      </c>
      <c r="D63" s="196" t="s">
        <v>23</v>
      </c>
      <c r="E63" s="196" t="s">
        <v>25</v>
      </c>
      <c r="F63" s="197">
        <v>3950</v>
      </c>
      <c r="G63" s="197">
        <v>3930</v>
      </c>
      <c r="H63" s="196">
        <v>20</v>
      </c>
      <c r="I63" s="197">
        <v>100</v>
      </c>
      <c r="J63" s="268">
        <f t="shared" si="6"/>
        <v>2000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43523</v>
      </c>
      <c r="D64" s="196" t="s">
        <v>23</v>
      </c>
      <c r="E64" s="196" t="s">
        <v>25</v>
      </c>
      <c r="F64" s="197">
        <v>4005</v>
      </c>
      <c r="G64" s="197">
        <v>4035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19</v>
      </c>
      <c r="C65" s="195">
        <v>43524</v>
      </c>
      <c r="D65" s="196" t="s">
        <v>23</v>
      </c>
      <c r="E65" s="196" t="s">
        <v>25</v>
      </c>
      <c r="F65" s="197">
        <v>4035</v>
      </c>
      <c r="G65" s="197">
        <v>4015</v>
      </c>
      <c r="H65" s="196">
        <v>20</v>
      </c>
      <c r="I65" s="197">
        <v>100</v>
      </c>
      <c r="J65" s="268">
        <f t="shared" si="6"/>
        <v>2000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04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43500</v>
      </c>
      <c r="K70" s="185"/>
      <c r="V70" s="183">
        <f>SUM(V47:V69)</f>
        <v>14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43497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43497</v>
      </c>
      <c r="D78" s="216" t="s">
        <v>23</v>
      </c>
      <c r="E78" s="256" t="s">
        <v>28</v>
      </c>
      <c r="F78" s="256">
        <v>195.7</v>
      </c>
      <c r="G78" s="256">
        <v>196.7</v>
      </c>
      <c r="H78" s="256">
        <v>-1</v>
      </c>
      <c r="I78" s="218">
        <v>5000</v>
      </c>
      <c r="J78" s="273">
        <f>I78*H78</f>
        <v>-5000</v>
      </c>
      <c r="K78" s="185"/>
      <c r="M78" s="183" t="s">
        <v>870</v>
      </c>
      <c r="V78" s="183">
        <f>IF($J78&gt;0,1,0)</f>
        <v>0</v>
      </c>
      <c r="W78" s="183">
        <f>IF($J78&lt;0,1,0)</f>
        <v>1</v>
      </c>
    </row>
    <row r="79" spans="1:23" x14ac:dyDescent="0.3">
      <c r="A79" s="184"/>
      <c r="B79" s="194">
        <v>2</v>
      </c>
      <c r="C79" s="195">
        <v>43500</v>
      </c>
      <c r="D79" s="196" t="s">
        <v>16</v>
      </c>
      <c r="E79" s="222" t="s">
        <v>28</v>
      </c>
      <c r="F79" s="222">
        <v>202</v>
      </c>
      <c r="G79" s="222">
        <v>201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43501</v>
      </c>
      <c r="D80" s="196" t="s">
        <v>23</v>
      </c>
      <c r="E80" s="222" t="s">
        <v>28</v>
      </c>
      <c r="F80" s="222">
        <v>203</v>
      </c>
      <c r="G80" s="222">
        <v>201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43502</v>
      </c>
      <c r="D81" s="196" t="s">
        <v>23</v>
      </c>
      <c r="E81" s="222" t="s">
        <v>28</v>
      </c>
      <c r="F81" s="222">
        <v>196.2</v>
      </c>
      <c r="G81" s="222">
        <v>195.2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43503</v>
      </c>
      <c r="D82" s="196" t="s">
        <v>23</v>
      </c>
      <c r="E82" s="222" t="s">
        <v>28</v>
      </c>
      <c r="F82" s="222">
        <v>194.8</v>
      </c>
      <c r="G82" s="222">
        <v>194.2</v>
      </c>
      <c r="H82" s="222">
        <v>0.6</v>
      </c>
      <c r="I82" s="197">
        <v>5000</v>
      </c>
      <c r="J82" s="268">
        <f t="shared" si="9"/>
        <v>3000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43504</v>
      </c>
      <c r="D83" s="196" t="s">
        <v>23</v>
      </c>
      <c r="E83" s="222" t="s">
        <v>28</v>
      </c>
      <c r="F83" s="222">
        <v>193.4</v>
      </c>
      <c r="G83" s="222">
        <v>191.7</v>
      </c>
      <c r="H83" s="222">
        <v>1.7</v>
      </c>
      <c r="I83" s="197">
        <v>5000</v>
      </c>
      <c r="J83" s="268">
        <f t="shared" si="9"/>
        <v>8500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43507</v>
      </c>
      <c r="D84" s="196" t="s">
        <v>23</v>
      </c>
      <c r="E84" s="222" t="s">
        <v>28</v>
      </c>
      <c r="F84" s="222">
        <v>189.2</v>
      </c>
      <c r="G84" s="222">
        <v>188.3</v>
      </c>
      <c r="H84" s="274">
        <v>0.9</v>
      </c>
      <c r="I84" s="197">
        <v>5000</v>
      </c>
      <c r="J84" s="268">
        <f t="shared" si="9"/>
        <v>4500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43508</v>
      </c>
      <c r="D85" s="196" t="s">
        <v>23</v>
      </c>
      <c r="E85" s="222" t="s">
        <v>28</v>
      </c>
      <c r="F85" s="222">
        <v>187.7</v>
      </c>
      <c r="G85" s="222">
        <v>186.2</v>
      </c>
      <c r="H85" s="222">
        <v>1.5</v>
      </c>
      <c r="I85" s="197">
        <v>5000</v>
      </c>
      <c r="J85" s="268">
        <f t="shared" si="9"/>
        <v>7500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43510</v>
      </c>
      <c r="D86" s="196" t="s">
        <v>23</v>
      </c>
      <c r="E86" s="222" t="s">
        <v>28</v>
      </c>
      <c r="F86" s="222">
        <v>186</v>
      </c>
      <c r="G86" s="222">
        <v>187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43511</v>
      </c>
      <c r="D87" s="196" t="s">
        <v>16</v>
      </c>
      <c r="E87" s="222" t="s">
        <v>28</v>
      </c>
      <c r="F87" s="222">
        <v>189.2</v>
      </c>
      <c r="G87" s="222">
        <v>190.2</v>
      </c>
      <c r="H87" s="222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43514</v>
      </c>
      <c r="D88" s="196" t="s">
        <v>23</v>
      </c>
      <c r="E88" s="222" t="s">
        <v>28</v>
      </c>
      <c r="F88" s="222">
        <v>190</v>
      </c>
      <c r="G88" s="222">
        <v>188</v>
      </c>
      <c r="H88" s="274">
        <v>2</v>
      </c>
      <c r="I88" s="197">
        <v>5000</v>
      </c>
      <c r="J88" s="268">
        <f t="shared" si="9"/>
        <v>10000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43515</v>
      </c>
      <c r="D89" s="196" t="s">
        <v>23</v>
      </c>
      <c r="E89" s="222" t="s">
        <v>28</v>
      </c>
      <c r="F89" s="222">
        <v>190.85</v>
      </c>
      <c r="G89" s="222">
        <v>189.85</v>
      </c>
      <c r="H89" s="274">
        <v>1</v>
      </c>
      <c r="I89" s="197">
        <v>5000</v>
      </c>
      <c r="J89" s="268">
        <f t="shared" si="9"/>
        <v>5000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43516</v>
      </c>
      <c r="D90" s="196" t="s">
        <v>23</v>
      </c>
      <c r="E90" s="222" t="s">
        <v>28</v>
      </c>
      <c r="F90" s="222">
        <v>192.1</v>
      </c>
      <c r="G90" s="222">
        <v>193.1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43517</v>
      </c>
      <c r="D91" s="196" t="s">
        <v>23</v>
      </c>
      <c r="E91" s="222" t="s">
        <v>28</v>
      </c>
      <c r="F91" s="222">
        <v>192.6</v>
      </c>
      <c r="G91" s="222">
        <v>191</v>
      </c>
      <c r="H91" s="274">
        <v>1.6</v>
      </c>
      <c r="I91" s="197">
        <v>5000</v>
      </c>
      <c r="J91" s="268">
        <f t="shared" si="9"/>
        <v>8000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43518</v>
      </c>
      <c r="D92" s="196" t="s">
        <v>23</v>
      </c>
      <c r="E92" s="222" t="s">
        <v>28</v>
      </c>
      <c r="F92" s="223">
        <v>193</v>
      </c>
      <c r="G92" s="222">
        <v>192.5</v>
      </c>
      <c r="H92" s="274">
        <v>0.5</v>
      </c>
      <c r="I92" s="197">
        <v>5000</v>
      </c>
      <c r="J92" s="268">
        <f t="shared" si="9"/>
        <v>2500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43521</v>
      </c>
      <c r="D93" s="196" t="s">
        <v>23</v>
      </c>
      <c r="E93" s="222" t="s">
        <v>28</v>
      </c>
      <c r="F93" s="222">
        <v>195.5</v>
      </c>
      <c r="G93" s="222">
        <v>193.5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43522</v>
      </c>
      <c r="D94" s="196" t="s">
        <v>23</v>
      </c>
      <c r="E94" s="222" t="s">
        <v>28</v>
      </c>
      <c r="F94" s="222">
        <v>195.7</v>
      </c>
      <c r="G94" s="222">
        <v>194.7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43523</v>
      </c>
      <c r="D95" s="196" t="s">
        <v>16</v>
      </c>
      <c r="E95" s="222" t="s">
        <v>28</v>
      </c>
      <c r="F95" s="222">
        <v>196.7</v>
      </c>
      <c r="G95" s="222">
        <v>198.2</v>
      </c>
      <c r="H95" s="274">
        <v>1.5</v>
      </c>
      <c r="I95" s="197">
        <v>5000</v>
      </c>
      <c r="J95" s="268">
        <f t="shared" si="9"/>
        <v>7500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43524</v>
      </c>
      <c r="D96" s="196" t="s">
        <v>16</v>
      </c>
      <c r="E96" s="222" t="s">
        <v>28</v>
      </c>
      <c r="F96" s="222">
        <v>197</v>
      </c>
      <c r="G96" s="222">
        <v>199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81500</v>
      </c>
      <c r="K101" s="185"/>
      <c r="V101" s="183">
        <f>SUM(V78:V100)</f>
        <v>15</v>
      </c>
      <c r="W101" s="183">
        <f>SUM(W78:W100)</f>
        <v>4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4A00-000000000000}"/>
    <hyperlink ref="B70" r:id="rId2" xr:uid="{00000000-0004-0000-4A00-000001000000}"/>
    <hyperlink ref="M4:M5" location="'FEB-2019'!A1" display="BULLION" xr:uid="{00000000-0004-0000-4A00-000002000000}"/>
    <hyperlink ref="B101" r:id="rId3" xr:uid="{00000000-0004-0000-4A00-000003000000}"/>
    <hyperlink ref="M8:M9" location="'FEB-2019'!A86" display="BASE METAL" xr:uid="{00000000-0004-0000-4A00-000004000000}"/>
    <hyperlink ref="M1" location="MASTER!A1" display="Back" xr:uid="{00000000-0004-0000-4A00-000005000000}"/>
    <hyperlink ref="M6:M7" location="'FEB-2019'!A54" display="ENERGY" xr:uid="{00000000-0004-0000-4A00-000006000000}"/>
  </hyperlinks>
  <pageMargins left="0" right="0" top="0" bottom="0" header="0" footer="0"/>
  <pageSetup paperSize="9" orientation="portrait" r:id="rId4"/>
  <drawing r:id="rId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W102"/>
  <sheetViews>
    <sheetView topLeftCell="A79" workbookViewId="0">
      <selection activeCell="C78" sqref="C78:J9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43525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22</v>
      </c>
      <c r="O4" s="355">
        <f>V39</f>
        <v>18</v>
      </c>
      <c r="P4" s="355">
        <f>W39</f>
        <v>4</v>
      </c>
      <c r="Q4" s="356">
        <f>N4-O4-P4</f>
        <v>0</v>
      </c>
      <c r="R4" s="343">
        <f>O4/N4</f>
        <v>0.81818181818181823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43525</v>
      </c>
      <c r="D6" s="192" t="s">
        <v>16</v>
      </c>
      <c r="E6" s="192" t="s">
        <v>24</v>
      </c>
      <c r="F6" s="193">
        <v>32970</v>
      </c>
      <c r="G6" s="193">
        <v>32870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COUNT(C47:C69)</f>
        <v>19</v>
      </c>
      <c r="O6" s="348">
        <f>V70</f>
        <v>13</v>
      </c>
      <c r="P6" s="348">
        <f>W70</f>
        <v>6</v>
      </c>
      <c r="Q6" s="349">
        <f>N6-O6-P6</f>
        <v>0</v>
      </c>
      <c r="R6" s="345">
        <f t="shared" ref="R6" si="0">O6/N6</f>
        <v>0.68421052631578949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43525</v>
      </c>
      <c r="D7" s="196" t="s">
        <v>16</v>
      </c>
      <c r="E7" s="196" t="s">
        <v>22</v>
      </c>
      <c r="F7" s="197">
        <v>39000</v>
      </c>
      <c r="G7" s="197">
        <v>39100</v>
      </c>
      <c r="H7" s="196">
        <v>100</v>
      </c>
      <c r="I7" s="197">
        <v>30</v>
      </c>
      <c r="J7" s="268">
        <f t="shared" ref="J7:J38" si="1">H7*I7</f>
        <v>3000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43529</v>
      </c>
      <c r="D8" s="196" t="s">
        <v>23</v>
      </c>
      <c r="E8" s="196" t="s">
        <v>24</v>
      </c>
      <c r="F8" s="197">
        <v>32260</v>
      </c>
      <c r="G8" s="197">
        <v>32110</v>
      </c>
      <c r="H8" s="196">
        <v>150</v>
      </c>
      <c r="I8" s="197">
        <v>100</v>
      </c>
      <c r="J8" s="268">
        <f t="shared" si="1"/>
        <v>15000</v>
      </c>
      <c r="K8" s="185"/>
      <c r="M8" s="362" t="s">
        <v>877</v>
      </c>
      <c r="N8" s="347">
        <f>COUNT(C78:C100)</f>
        <v>19</v>
      </c>
      <c r="O8" s="348">
        <f>V101</f>
        <v>12</v>
      </c>
      <c r="P8" s="348">
        <f>W101</f>
        <v>7</v>
      </c>
      <c r="Q8" s="349">
        <f>N8-O8-P8</f>
        <v>0</v>
      </c>
      <c r="R8" s="345">
        <f t="shared" ref="R8" si="4">O8/N8</f>
        <v>0.63157894736842102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43529</v>
      </c>
      <c r="D9" s="196" t="s">
        <v>23</v>
      </c>
      <c r="E9" s="196" t="s">
        <v>22</v>
      </c>
      <c r="F9" s="197">
        <v>38450</v>
      </c>
      <c r="G9" s="197">
        <v>38400</v>
      </c>
      <c r="H9" s="196">
        <v>50</v>
      </c>
      <c r="I9" s="197">
        <v>30</v>
      </c>
      <c r="J9" s="268">
        <f t="shared" si="1"/>
        <v>1500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43530</v>
      </c>
      <c r="D10" s="196" t="s">
        <v>16</v>
      </c>
      <c r="E10" s="196" t="s">
        <v>24</v>
      </c>
      <c r="F10" s="197">
        <v>32160</v>
      </c>
      <c r="G10" s="197">
        <v>32260</v>
      </c>
      <c r="H10" s="196">
        <v>100</v>
      </c>
      <c r="I10" s="197">
        <v>100</v>
      </c>
      <c r="J10" s="268">
        <f t="shared" si="1"/>
        <v>10000</v>
      </c>
      <c r="K10" s="185"/>
      <c r="M10" s="319" t="s">
        <v>300</v>
      </c>
      <c r="N10" s="321">
        <f>SUM(N4:N9)</f>
        <v>60</v>
      </c>
      <c r="O10" s="321">
        <f>SUM(O4:O9)</f>
        <v>43</v>
      </c>
      <c r="P10" s="321">
        <f>SUM(P4:P9)</f>
        <v>17</v>
      </c>
      <c r="Q10" s="341">
        <f>SUM(Q4:Q9)</f>
        <v>0</v>
      </c>
      <c r="R10" s="343">
        <f t="shared" ref="R10" si="5">O10/N10</f>
        <v>0.71666666666666667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43531</v>
      </c>
      <c r="D11" s="196" t="s">
        <v>23</v>
      </c>
      <c r="E11" s="196" t="s">
        <v>24</v>
      </c>
      <c r="F11" s="197">
        <v>31860</v>
      </c>
      <c r="G11" s="197">
        <v>31790</v>
      </c>
      <c r="H11" s="196">
        <v>70</v>
      </c>
      <c r="I11" s="197">
        <v>100</v>
      </c>
      <c r="J11" s="268">
        <f t="shared" si="1"/>
        <v>7000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43532</v>
      </c>
      <c r="D12" s="196" t="s">
        <v>16</v>
      </c>
      <c r="E12" s="196" t="s">
        <v>24</v>
      </c>
      <c r="F12" s="197">
        <v>32050</v>
      </c>
      <c r="G12" s="197">
        <v>32190</v>
      </c>
      <c r="H12" s="196">
        <v>140</v>
      </c>
      <c r="I12" s="197">
        <v>100</v>
      </c>
      <c r="J12" s="268">
        <f t="shared" si="1"/>
        <v>14000</v>
      </c>
      <c r="K12" s="185"/>
      <c r="M12" s="323" t="s">
        <v>878</v>
      </c>
      <c r="N12" s="324"/>
      <c r="O12" s="325"/>
      <c r="P12" s="332">
        <f>R10</f>
        <v>0.71666666666666667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43535</v>
      </c>
      <c r="D13" s="196" t="s">
        <v>23</v>
      </c>
      <c r="E13" s="196" t="s">
        <v>24</v>
      </c>
      <c r="F13" s="197">
        <v>32130</v>
      </c>
      <c r="G13" s="197">
        <v>31930</v>
      </c>
      <c r="H13" s="196">
        <v>200</v>
      </c>
      <c r="I13" s="197">
        <v>100</v>
      </c>
      <c r="J13" s="268">
        <f t="shared" si="1"/>
        <v>20000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43536</v>
      </c>
      <c r="D14" s="196" t="s">
        <v>23</v>
      </c>
      <c r="E14" s="196" t="s">
        <v>24</v>
      </c>
      <c r="F14" s="197">
        <v>31950</v>
      </c>
      <c r="G14" s="197">
        <v>31890</v>
      </c>
      <c r="H14" s="196">
        <v>60</v>
      </c>
      <c r="I14" s="197">
        <v>100</v>
      </c>
      <c r="J14" s="268">
        <f t="shared" si="1"/>
        <v>6000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43537</v>
      </c>
      <c r="D15" s="196" t="s">
        <v>23</v>
      </c>
      <c r="E15" s="196" t="s">
        <v>24</v>
      </c>
      <c r="F15" s="197">
        <v>32200</v>
      </c>
      <c r="G15" s="197">
        <v>32140</v>
      </c>
      <c r="H15" s="196">
        <v>60</v>
      </c>
      <c r="I15" s="197">
        <v>100</v>
      </c>
      <c r="J15" s="268">
        <f t="shared" si="1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43538</v>
      </c>
      <c r="D16" s="196" t="s">
        <v>16</v>
      </c>
      <c r="E16" s="196" t="s">
        <v>24</v>
      </c>
      <c r="F16" s="197">
        <v>32110</v>
      </c>
      <c r="G16" s="197">
        <v>32010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43539</v>
      </c>
      <c r="D17" s="196" t="s">
        <v>16</v>
      </c>
      <c r="E17" s="196" t="s">
        <v>24</v>
      </c>
      <c r="F17" s="197">
        <v>31880</v>
      </c>
      <c r="G17" s="197">
        <v>31940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43542</v>
      </c>
      <c r="D18" s="196" t="s">
        <v>16</v>
      </c>
      <c r="E18" s="196" t="s">
        <v>24</v>
      </c>
      <c r="F18" s="197">
        <v>31650</v>
      </c>
      <c r="G18" s="197">
        <v>31710</v>
      </c>
      <c r="H18" s="196"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43543</v>
      </c>
      <c r="D19" s="196" t="s">
        <v>23</v>
      </c>
      <c r="E19" s="196" t="s">
        <v>24</v>
      </c>
      <c r="F19" s="197">
        <v>31770</v>
      </c>
      <c r="G19" s="197">
        <v>31870</v>
      </c>
      <c r="H19" s="196">
        <v>-100</v>
      </c>
      <c r="I19" s="197">
        <v>100</v>
      </c>
      <c r="J19" s="268">
        <f t="shared" si="1"/>
        <v>-10000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43544</v>
      </c>
      <c r="D20" s="196" t="s">
        <v>23</v>
      </c>
      <c r="E20" s="196" t="s">
        <v>24</v>
      </c>
      <c r="F20" s="197">
        <v>31800</v>
      </c>
      <c r="G20" s="197">
        <v>31740</v>
      </c>
      <c r="H20" s="196"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43546</v>
      </c>
      <c r="D21" s="196" t="s">
        <v>23</v>
      </c>
      <c r="E21" s="196" t="s">
        <v>24</v>
      </c>
      <c r="F21" s="197">
        <v>32030</v>
      </c>
      <c r="G21" s="197">
        <v>32130</v>
      </c>
      <c r="H21" s="196">
        <v>100</v>
      </c>
      <c r="I21" s="197">
        <v>100</v>
      </c>
      <c r="J21" s="268">
        <f t="shared" si="1"/>
        <v>10000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43549</v>
      </c>
      <c r="D22" s="196" t="s">
        <v>23</v>
      </c>
      <c r="E22" s="196" t="s">
        <v>24</v>
      </c>
      <c r="F22" s="197">
        <v>32120</v>
      </c>
      <c r="G22" s="197">
        <v>32200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43550</v>
      </c>
      <c r="D23" s="196" t="s">
        <v>23</v>
      </c>
      <c r="E23" s="196" t="s">
        <v>24</v>
      </c>
      <c r="F23" s="197">
        <v>32120</v>
      </c>
      <c r="G23" s="197">
        <v>32020</v>
      </c>
      <c r="H23" s="196">
        <v>100</v>
      </c>
      <c r="I23" s="197">
        <v>100</v>
      </c>
      <c r="J23" s="268">
        <f t="shared" si="1"/>
        <v>10000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43550</v>
      </c>
      <c r="D24" s="196" t="s">
        <v>23</v>
      </c>
      <c r="E24" s="196" t="s">
        <v>22</v>
      </c>
      <c r="F24" s="197">
        <v>38470</v>
      </c>
      <c r="G24" s="197">
        <v>38370</v>
      </c>
      <c r="H24" s="196">
        <v>100</v>
      </c>
      <c r="I24" s="197">
        <v>30</v>
      </c>
      <c r="J24" s="268">
        <f t="shared" si="1"/>
        <v>3000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43551</v>
      </c>
      <c r="D25" s="196" t="s">
        <v>16</v>
      </c>
      <c r="E25" s="196" t="s">
        <v>24</v>
      </c>
      <c r="F25" s="197">
        <v>32100</v>
      </c>
      <c r="G25" s="197">
        <v>32160</v>
      </c>
      <c r="H25" s="196">
        <v>60</v>
      </c>
      <c r="I25" s="197">
        <v>100</v>
      </c>
      <c r="J25" s="268">
        <f t="shared" si="1"/>
        <v>6000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43552</v>
      </c>
      <c r="D26" s="196" t="s">
        <v>23</v>
      </c>
      <c r="E26" s="196" t="s">
        <v>24</v>
      </c>
      <c r="F26" s="197">
        <v>31940</v>
      </c>
      <c r="G26" s="197">
        <v>31740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43553</v>
      </c>
      <c r="D27" s="196" t="s">
        <v>16</v>
      </c>
      <c r="E27" s="196" t="s">
        <v>24</v>
      </c>
      <c r="F27" s="197">
        <v>31600</v>
      </c>
      <c r="G27" s="197">
        <v>31800</v>
      </c>
      <c r="H27" s="196">
        <v>200</v>
      </c>
      <c r="I27" s="197">
        <v>100</v>
      </c>
      <c r="J27" s="268">
        <f t="shared" si="1"/>
        <v>20000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129500</v>
      </c>
      <c r="K39" s="185"/>
      <c r="V39" s="183">
        <f>SUM(V6:V38)</f>
        <v>18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43525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43525</v>
      </c>
      <c r="D47" s="192" t="s">
        <v>23</v>
      </c>
      <c r="E47" s="192" t="s">
        <v>25</v>
      </c>
      <c r="F47" s="193">
        <v>4105</v>
      </c>
      <c r="G47" s="193">
        <v>4066</v>
      </c>
      <c r="H47" s="192">
        <v>39</v>
      </c>
      <c r="I47" s="193">
        <v>100</v>
      </c>
      <c r="J47" s="267">
        <f t="shared" ref="J47:J69" si="6">I47*H47</f>
        <v>3900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43529</v>
      </c>
      <c r="D48" s="196" t="s">
        <v>23</v>
      </c>
      <c r="E48" s="196" t="s">
        <v>25</v>
      </c>
      <c r="F48" s="197">
        <v>4000</v>
      </c>
      <c r="G48" s="197">
        <v>3970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43530</v>
      </c>
      <c r="D49" s="196" t="s">
        <v>23</v>
      </c>
      <c r="E49" s="196" t="s">
        <v>25</v>
      </c>
      <c r="F49" s="197">
        <v>3965</v>
      </c>
      <c r="G49" s="197">
        <v>3905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43531</v>
      </c>
      <c r="D50" s="196" t="s">
        <v>23</v>
      </c>
      <c r="E50" s="196" t="s">
        <v>25</v>
      </c>
      <c r="F50" s="197">
        <v>3950</v>
      </c>
      <c r="G50" s="197">
        <v>3980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43532</v>
      </c>
      <c r="D51" s="196" t="s">
        <v>23</v>
      </c>
      <c r="E51" s="196" t="s">
        <v>25</v>
      </c>
      <c r="F51" s="197">
        <v>3945</v>
      </c>
      <c r="G51" s="197">
        <v>3885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43535</v>
      </c>
      <c r="D52" s="196" t="s">
        <v>23</v>
      </c>
      <c r="E52" s="196" t="s">
        <v>25</v>
      </c>
      <c r="F52" s="197">
        <v>3950</v>
      </c>
      <c r="G52" s="197">
        <v>3980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7</v>
      </c>
      <c r="C53" s="195">
        <v>43536</v>
      </c>
      <c r="D53" s="196" t="s">
        <v>23</v>
      </c>
      <c r="E53" s="196" t="s">
        <v>25</v>
      </c>
      <c r="F53" s="197">
        <v>3980</v>
      </c>
      <c r="G53" s="197">
        <v>4010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43537</v>
      </c>
      <c r="D54" s="196" t="s">
        <v>16</v>
      </c>
      <c r="E54" s="196" t="s">
        <v>25</v>
      </c>
      <c r="F54" s="197">
        <v>4000</v>
      </c>
      <c r="G54" s="197">
        <v>4050</v>
      </c>
      <c r="H54" s="196">
        <v>50</v>
      </c>
      <c r="I54" s="197">
        <v>100</v>
      </c>
      <c r="J54" s="268">
        <f t="shared" si="6"/>
        <v>5000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43538</v>
      </c>
      <c r="D55" s="196" t="s">
        <v>23</v>
      </c>
      <c r="E55" s="196" t="s">
        <v>25</v>
      </c>
      <c r="F55" s="197">
        <v>4050</v>
      </c>
      <c r="G55" s="197">
        <v>4030</v>
      </c>
      <c r="H55" s="196">
        <v>20</v>
      </c>
      <c r="I55" s="197">
        <v>100</v>
      </c>
      <c r="J55" s="268">
        <f t="shared" si="6"/>
        <v>2000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43539</v>
      </c>
      <c r="D56" s="196" t="s">
        <v>23</v>
      </c>
      <c r="E56" s="196" t="s">
        <v>25</v>
      </c>
      <c r="F56" s="197">
        <v>4070</v>
      </c>
      <c r="G56" s="197">
        <v>4010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43542</v>
      </c>
      <c r="D57" s="196" t="s">
        <v>23</v>
      </c>
      <c r="E57" s="196" t="s">
        <v>25</v>
      </c>
      <c r="F57" s="197">
        <v>4010</v>
      </c>
      <c r="G57" s="197">
        <v>3990</v>
      </c>
      <c r="H57" s="196">
        <v>20</v>
      </c>
      <c r="I57" s="197">
        <v>100</v>
      </c>
      <c r="J57" s="268">
        <f t="shared" si="6"/>
        <v>2000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43543</v>
      </c>
      <c r="D58" s="196" t="s">
        <v>23</v>
      </c>
      <c r="E58" s="196" t="s">
        <v>25</v>
      </c>
      <c r="F58" s="197">
        <v>4085</v>
      </c>
      <c r="G58" s="197">
        <v>4025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43544</v>
      </c>
      <c r="D59" s="196" t="s">
        <v>23</v>
      </c>
      <c r="E59" s="196" t="s">
        <v>25</v>
      </c>
      <c r="F59" s="197">
        <v>4100</v>
      </c>
      <c r="G59" s="197">
        <v>4060</v>
      </c>
      <c r="H59" s="196">
        <v>40</v>
      </c>
      <c r="I59" s="197">
        <v>100</v>
      </c>
      <c r="J59" s="268">
        <f t="shared" si="6"/>
        <v>4000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43546</v>
      </c>
      <c r="D60" s="196" t="s">
        <v>23</v>
      </c>
      <c r="E60" s="196" t="s">
        <v>25</v>
      </c>
      <c r="F60" s="197">
        <v>4140</v>
      </c>
      <c r="G60" s="197">
        <v>4085</v>
      </c>
      <c r="H60" s="196">
        <v>55</v>
      </c>
      <c r="I60" s="197">
        <v>100</v>
      </c>
      <c r="J60" s="268">
        <f t="shared" si="6"/>
        <v>5500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43549</v>
      </c>
      <c r="D61" s="196" t="s">
        <v>23</v>
      </c>
      <c r="E61" s="196" t="s">
        <v>25</v>
      </c>
      <c r="F61" s="197">
        <v>4085</v>
      </c>
      <c r="G61" s="197">
        <v>4025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43550</v>
      </c>
      <c r="D62" s="196" t="s">
        <v>23</v>
      </c>
      <c r="E62" s="196" t="s">
        <v>25</v>
      </c>
      <c r="F62" s="197">
        <v>4120</v>
      </c>
      <c r="G62" s="197">
        <v>4150</v>
      </c>
      <c r="H62" s="196">
        <v>-30</v>
      </c>
      <c r="I62" s="197">
        <v>100</v>
      </c>
      <c r="J62" s="268">
        <f t="shared" si="6"/>
        <v>-3000</v>
      </c>
      <c r="K62" s="185"/>
      <c r="V62" s="183">
        <f t="shared" si="7"/>
        <v>0</v>
      </c>
      <c r="W62" s="183">
        <f t="shared" si="8"/>
        <v>1</v>
      </c>
    </row>
    <row r="63" spans="1:23" x14ac:dyDescent="0.3">
      <c r="A63" s="184"/>
      <c r="B63" s="194">
        <v>17</v>
      </c>
      <c r="C63" s="195">
        <v>43551</v>
      </c>
      <c r="D63" s="196" t="s">
        <v>16</v>
      </c>
      <c r="E63" s="196" t="s">
        <v>25</v>
      </c>
      <c r="F63" s="197">
        <v>4135</v>
      </c>
      <c r="G63" s="197">
        <v>4165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43552</v>
      </c>
      <c r="D64" s="196" t="s">
        <v>16</v>
      </c>
      <c r="E64" s="196" t="s">
        <v>25</v>
      </c>
      <c r="F64" s="197">
        <v>4095</v>
      </c>
      <c r="G64" s="197">
        <v>4065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19</v>
      </c>
      <c r="C65" s="195">
        <v>43553</v>
      </c>
      <c r="D65" s="196" t="s">
        <v>23</v>
      </c>
      <c r="E65" s="196" t="s">
        <v>25</v>
      </c>
      <c r="F65" s="197">
        <v>4175</v>
      </c>
      <c r="G65" s="197">
        <v>4205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04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40400</v>
      </c>
      <c r="K70" s="185"/>
      <c r="V70" s="183">
        <f>SUM(V47:V69)</f>
        <v>13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43525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43525</v>
      </c>
      <c r="D78" s="216" t="s">
        <v>16</v>
      </c>
      <c r="E78" s="256" t="s">
        <v>28</v>
      </c>
      <c r="F78" s="256">
        <v>200</v>
      </c>
      <c r="G78" s="256">
        <v>201</v>
      </c>
      <c r="H78" s="256">
        <v>1</v>
      </c>
      <c r="I78" s="218">
        <v>5000</v>
      </c>
      <c r="J78" s="273">
        <f>I78*H78</f>
        <v>5000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43529</v>
      </c>
      <c r="D79" s="196" t="s">
        <v>23</v>
      </c>
      <c r="E79" s="222" t="s">
        <v>28</v>
      </c>
      <c r="F79" s="222">
        <v>196</v>
      </c>
      <c r="G79" s="222">
        <v>197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43530</v>
      </c>
      <c r="D80" s="196" t="s">
        <v>23</v>
      </c>
      <c r="E80" s="222" t="s">
        <v>28</v>
      </c>
      <c r="F80" s="222">
        <v>197.8</v>
      </c>
      <c r="G80" s="222">
        <v>196.3</v>
      </c>
      <c r="H80" s="222">
        <v>1.5</v>
      </c>
      <c r="I80" s="197">
        <v>5000</v>
      </c>
      <c r="J80" s="268">
        <f t="shared" si="9"/>
        <v>7500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43531</v>
      </c>
      <c r="D81" s="196" t="s">
        <v>16</v>
      </c>
      <c r="E81" s="222" t="s">
        <v>28</v>
      </c>
      <c r="F81" s="222">
        <v>195.9</v>
      </c>
      <c r="G81" s="222">
        <v>196.9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43532</v>
      </c>
      <c r="D82" s="196" t="s">
        <v>23</v>
      </c>
      <c r="E82" s="222" t="s">
        <v>28</v>
      </c>
      <c r="F82" s="222">
        <v>190.6</v>
      </c>
      <c r="G82" s="222">
        <v>189.6</v>
      </c>
      <c r="H82" s="222">
        <v>1</v>
      </c>
      <c r="I82" s="197">
        <v>5000</v>
      </c>
      <c r="J82" s="268">
        <f t="shared" si="9"/>
        <v>5000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43535</v>
      </c>
      <c r="D83" s="196" t="s">
        <v>16</v>
      </c>
      <c r="E83" s="222" t="s">
        <v>28</v>
      </c>
      <c r="F83" s="222">
        <v>193.1</v>
      </c>
      <c r="G83" s="222">
        <v>194.8</v>
      </c>
      <c r="H83" s="222">
        <v>1.7</v>
      </c>
      <c r="I83" s="197">
        <v>5000</v>
      </c>
      <c r="J83" s="268">
        <f t="shared" si="9"/>
        <v>8500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43536</v>
      </c>
      <c r="D84" s="196" t="s">
        <v>16</v>
      </c>
      <c r="E84" s="222" t="s">
        <v>28</v>
      </c>
      <c r="F84" s="222">
        <v>193.7</v>
      </c>
      <c r="G84" s="222">
        <v>195.7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43537</v>
      </c>
      <c r="D85" s="196" t="s">
        <v>16</v>
      </c>
      <c r="E85" s="222" t="s">
        <v>28</v>
      </c>
      <c r="F85" s="222">
        <v>200.2</v>
      </c>
      <c r="G85" s="222">
        <v>199.2</v>
      </c>
      <c r="H85" s="222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9</v>
      </c>
      <c r="C86" s="195">
        <v>43538</v>
      </c>
      <c r="D86" s="196" t="s">
        <v>23</v>
      </c>
      <c r="E86" s="222" t="s">
        <v>28</v>
      </c>
      <c r="F86" s="222">
        <v>199.3</v>
      </c>
      <c r="G86" s="222">
        <v>197.3</v>
      </c>
      <c r="H86" s="222">
        <v>2</v>
      </c>
      <c r="I86" s="197">
        <v>5000</v>
      </c>
      <c r="J86" s="268">
        <f t="shared" si="9"/>
        <v>10000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43539</v>
      </c>
      <c r="D87" s="196" t="s">
        <v>16</v>
      </c>
      <c r="E87" s="222" t="s">
        <v>28</v>
      </c>
      <c r="F87" s="222">
        <v>197</v>
      </c>
      <c r="G87" s="222">
        <v>198</v>
      </c>
      <c r="H87" s="222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43542</v>
      </c>
      <c r="D88" s="196" t="s">
        <v>23</v>
      </c>
      <c r="E88" s="222" t="s">
        <v>28</v>
      </c>
      <c r="F88" s="222">
        <v>193</v>
      </c>
      <c r="G88" s="222">
        <v>194</v>
      </c>
      <c r="H88" s="274">
        <v>-1</v>
      </c>
      <c r="I88" s="197">
        <v>5000</v>
      </c>
      <c r="J88" s="268">
        <f t="shared" si="9"/>
        <v>-5000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12</v>
      </c>
      <c r="C89" s="195">
        <v>43543</v>
      </c>
      <c r="D89" s="196" t="s">
        <v>23</v>
      </c>
      <c r="E89" s="222" t="s">
        <v>28</v>
      </c>
      <c r="F89" s="222">
        <v>195.6</v>
      </c>
      <c r="G89" s="222">
        <v>195.1</v>
      </c>
      <c r="H89" s="274">
        <v>0.5</v>
      </c>
      <c r="I89" s="197">
        <v>5000</v>
      </c>
      <c r="J89" s="268">
        <f t="shared" si="9"/>
        <v>2500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43544</v>
      </c>
      <c r="D90" s="196" t="s">
        <v>23</v>
      </c>
      <c r="E90" s="222" t="s">
        <v>28</v>
      </c>
      <c r="F90" s="222">
        <v>197.75</v>
      </c>
      <c r="G90" s="222">
        <v>198.75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43546</v>
      </c>
      <c r="D91" s="196" t="s">
        <v>23</v>
      </c>
      <c r="E91" s="222" t="s">
        <v>28</v>
      </c>
      <c r="F91" s="222">
        <v>198</v>
      </c>
      <c r="G91" s="222">
        <v>199</v>
      </c>
      <c r="H91" s="274">
        <v>-1</v>
      </c>
      <c r="I91" s="197">
        <v>5000</v>
      </c>
      <c r="J91" s="268">
        <f t="shared" si="9"/>
        <v>-5000</v>
      </c>
      <c r="K91" s="185"/>
      <c r="V91" s="183">
        <f t="shared" si="10"/>
        <v>0</v>
      </c>
      <c r="W91" s="183">
        <f t="shared" si="11"/>
        <v>1</v>
      </c>
    </row>
    <row r="92" spans="1:23" x14ac:dyDescent="0.3">
      <c r="A92" s="184"/>
      <c r="B92" s="194">
        <v>15</v>
      </c>
      <c r="C92" s="195">
        <v>43549</v>
      </c>
      <c r="D92" s="196" t="s">
        <v>23</v>
      </c>
      <c r="E92" s="222" t="s">
        <v>28</v>
      </c>
      <c r="F92" s="223">
        <v>195.6</v>
      </c>
      <c r="G92" s="222">
        <v>196.6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43550</v>
      </c>
      <c r="D93" s="196" t="s">
        <v>23</v>
      </c>
      <c r="E93" s="222" t="s">
        <v>28</v>
      </c>
      <c r="F93" s="222">
        <v>200.1</v>
      </c>
      <c r="G93" s="222">
        <v>201.1</v>
      </c>
      <c r="H93" s="274">
        <v>-1</v>
      </c>
      <c r="I93" s="197">
        <v>5000</v>
      </c>
      <c r="J93" s="268">
        <f t="shared" si="9"/>
        <v>-5000</v>
      </c>
      <c r="K93" s="185"/>
      <c r="V93" s="183">
        <f t="shared" si="10"/>
        <v>0</v>
      </c>
      <c r="W93" s="183">
        <f t="shared" si="11"/>
        <v>1</v>
      </c>
    </row>
    <row r="94" spans="1:23" x14ac:dyDescent="0.3">
      <c r="A94" s="184"/>
      <c r="B94" s="194">
        <v>17</v>
      </c>
      <c r="C94" s="195">
        <v>43551</v>
      </c>
      <c r="D94" s="196" t="s">
        <v>16</v>
      </c>
      <c r="E94" s="222" t="s">
        <v>28</v>
      </c>
      <c r="F94" s="222">
        <v>201.7</v>
      </c>
      <c r="G94" s="222">
        <v>203.7</v>
      </c>
      <c r="H94" s="274">
        <v>2</v>
      </c>
      <c r="I94" s="197">
        <v>5000</v>
      </c>
      <c r="J94" s="268">
        <f t="shared" si="9"/>
        <v>10000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43552</v>
      </c>
      <c r="D95" s="196" t="s">
        <v>16</v>
      </c>
      <c r="E95" s="222" t="s">
        <v>28</v>
      </c>
      <c r="F95" s="222">
        <v>204</v>
      </c>
      <c r="G95" s="222">
        <v>203.7</v>
      </c>
      <c r="H95" s="274">
        <v>0.3</v>
      </c>
      <c r="I95" s="197">
        <v>5000</v>
      </c>
      <c r="J95" s="268">
        <f t="shared" si="9"/>
        <v>1500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43553</v>
      </c>
      <c r="D96" s="196" t="s">
        <v>23</v>
      </c>
      <c r="E96" s="222" t="s">
        <v>28</v>
      </c>
      <c r="F96" s="222">
        <v>218.2</v>
      </c>
      <c r="G96" s="222">
        <v>220.2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45000</v>
      </c>
      <c r="K101" s="185"/>
      <c r="V101" s="183">
        <f>SUM(V78:V100)</f>
        <v>12</v>
      </c>
      <c r="W101" s="183">
        <f>SUM(W78:W100)</f>
        <v>7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4B00-000000000000}"/>
    <hyperlink ref="B70" r:id="rId2" xr:uid="{00000000-0004-0000-4B00-000001000000}"/>
    <hyperlink ref="M4:M5" location="'FEB-2019'!A1" display="BULLION" xr:uid="{00000000-0004-0000-4B00-000002000000}"/>
    <hyperlink ref="B101" r:id="rId3" xr:uid="{00000000-0004-0000-4B00-000003000000}"/>
    <hyperlink ref="M8:M9" location="'FEB-2019'!A86" display="BASE METAL" xr:uid="{00000000-0004-0000-4B00-000004000000}"/>
    <hyperlink ref="M1" location="MASTER!A1" display="Back" xr:uid="{00000000-0004-0000-4B00-000005000000}"/>
    <hyperlink ref="M6:M7" location="'FEB-2019'!A54" display="ENERGY" xr:uid="{00000000-0004-0000-4B00-000006000000}"/>
  </hyperlinks>
  <pageMargins left="0" right="0" top="0" bottom="0" header="0" footer="0"/>
  <pageSetup paperSize="9" orientation="portrait" r:id="rId4"/>
  <drawing r:id="rId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W102"/>
  <sheetViews>
    <sheetView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43556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21</v>
      </c>
      <c r="O4" s="355">
        <f>V39</f>
        <v>17</v>
      </c>
      <c r="P4" s="355">
        <f>W39</f>
        <v>4</v>
      </c>
      <c r="Q4" s="356">
        <f>N4-O4-P4</f>
        <v>0</v>
      </c>
      <c r="R4" s="343">
        <f>O4/N4</f>
        <v>0.80952380952380953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43556</v>
      </c>
      <c r="D6" s="192" t="s">
        <v>23</v>
      </c>
      <c r="E6" s="192" t="s">
        <v>24</v>
      </c>
      <c r="F6" s="193">
        <v>31640</v>
      </c>
      <c r="G6" s="193">
        <v>31540</v>
      </c>
      <c r="H6" s="192">
        <v>100</v>
      </c>
      <c r="I6" s="193">
        <v>100</v>
      </c>
      <c r="J6" s="267">
        <f>H6*I6</f>
        <v>10000</v>
      </c>
      <c r="K6" s="185"/>
      <c r="M6" s="364" t="s">
        <v>258</v>
      </c>
      <c r="N6" s="347">
        <f>COUNT(C47:C69)</f>
        <v>19</v>
      </c>
      <c r="O6" s="348">
        <f>V70</f>
        <v>14</v>
      </c>
      <c r="P6" s="348">
        <f>W70</f>
        <v>4</v>
      </c>
      <c r="Q6" s="349">
        <f>N6-O6-P6</f>
        <v>1</v>
      </c>
      <c r="R6" s="345">
        <f t="shared" ref="R6" si="0">O6/N6</f>
        <v>0.73684210526315785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43557</v>
      </c>
      <c r="D7" s="196" t="s">
        <v>23</v>
      </c>
      <c r="E7" s="196" t="s">
        <v>24</v>
      </c>
      <c r="F7" s="197">
        <v>31770</v>
      </c>
      <c r="G7" s="197">
        <v>31710</v>
      </c>
      <c r="H7" s="196">
        <v>60</v>
      </c>
      <c r="I7" s="197">
        <v>100</v>
      </c>
      <c r="J7" s="268">
        <f t="shared" ref="J7:J38" si="1">H7*I7</f>
        <v>6000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43558</v>
      </c>
      <c r="D8" s="196" t="s">
        <v>23</v>
      </c>
      <c r="E8" s="196" t="s">
        <v>24</v>
      </c>
      <c r="F8" s="197">
        <v>31670</v>
      </c>
      <c r="G8" s="197">
        <v>31570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COUNT(C78:C100)</f>
        <v>19</v>
      </c>
      <c r="O8" s="348">
        <f>V101</f>
        <v>13</v>
      </c>
      <c r="P8" s="348">
        <f>W101</f>
        <v>6</v>
      </c>
      <c r="Q8" s="349">
        <f>N8-O8-P8</f>
        <v>0</v>
      </c>
      <c r="R8" s="345">
        <f t="shared" ref="R8" si="4">O8/N8</f>
        <v>0.68421052631578949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43558</v>
      </c>
      <c r="D9" s="196" t="s">
        <v>23</v>
      </c>
      <c r="E9" s="196" t="s">
        <v>22</v>
      </c>
      <c r="F9" s="197">
        <v>37400</v>
      </c>
      <c r="G9" s="197">
        <v>37200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43559</v>
      </c>
      <c r="D10" s="196" t="s">
        <v>23</v>
      </c>
      <c r="E10" s="196" t="s">
        <v>24</v>
      </c>
      <c r="F10" s="197">
        <v>31770</v>
      </c>
      <c r="G10" s="197">
        <v>31620</v>
      </c>
      <c r="H10" s="196">
        <v>150</v>
      </c>
      <c r="I10" s="197">
        <v>100</v>
      </c>
      <c r="J10" s="268">
        <f t="shared" si="1"/>
        <v>15000</v>
      </c>
      <c r="K10" s="185"/>
      <c r="M10" s="319" t="s">
        <v>300</v>
      </c>
      <c r="N10" s="321">
        <f>SUM(N4:N9)</f>
        <v>59</v>
      </c>
      <c r="O10" s="321">
        <f>SUM(O4:O9)</f>
        <v>44</v>
      </c>
      <c r="P10" s="321">
        <f>SUM(P4:P9)</f>
        <v>14</v>
      </c>
      <c r="Q10" s="341">
        <f>SUM(Q4:Q9)</f>
        <v>1</v>
      </c>
      <c r="R10" s="343">
        <f t="shared" ref="R10" si="5">O10/N10</f>
        <v>0.74576271186440679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43560</v>
      </c>
      <c r="D11" s="196" t="s">
        <v>16</v>
      </c>
      <c r="E11" s="196" t="s">
        <v>24</v>
      </c>
      <c r="F11" s="197">
        <v>31830</v>
      </c>
      <c r="G11" s="197">
        <v>31890</v>
      </c>
      <c r="H11" s="196">
        <v>60</v>
      </c>
      <c r="I11" s="197">
        <v>100</v>
      </c>
      <c r="J11" s="268">
        <f t="shared" si="1"/>
        <v>6000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43563</v>
      </c>
      <c r="D12" s="196" t="s">
        <v>23</v>
      </c>
      <c r="E12" s="196" t="s">
        <v>24</v>
      </c>
      <c r="F12" s="197">
        <v>32190</v>
      </c>
      <c r="G12" s="197">
        <v>32290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0.74576271186440679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43564</v>
      </c>
      <c r="D13" s="196" t="s">
        <v>16</v>
      </c>
      <c r="E13" s="196" t="s">
        <v>24</v>
      </c>
      <c r="F13" s="197">
        <v>32190</v>
      </c>
      <c r="G13" s="197">
        <v>32250</v>
      </c>
      <c r="H13" s="196">
        <v>60</v>
      </c>
      <c r="I13" s="197">
        <v>100</v>
      </c>
      <c r="J13" s="268">
        <f t="shared" si="1"/>
        <v>6000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43564</v>
      </c>
      <c r="D14" s="196" t="s">
        <v>16</v>
      </c>
      <c r="E14" s="196" t="s">
        <v>22</v>
      </c>
      <c r="F14" s="197">
        <v>37930</v>
      </c>
      <c r="G14" s="197">
        <v>38030</v>
      </c>
      <c r="H14" s="196">
        <v>100</v>
      </c>
      <c r="I14" s="197">
        <v>30</v>
      </c>
      <c r="J14" s="268">
        <f t="shared" si="1"/>
        <v>3000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43565</v>
      </c>
      <c r="D15" s="196" t="s">
        <v>23</v>
      </c>
      <c r="E15" s="196" t="s">
        <v>24</v>
      </c>
      <c r="F15" s="197">
        <v>32220</v>
      </c>
      <c r="G15" s="197">
        <v>32120</v>
      </c>
      <c r="H15" s="196">
        <v>100</v>
      </c>
      <c r="I15" s="197">
        <v>30</v>
      </c>
      <c r="J15" s="268">
        <f t="shared" si="1"/>
        <v>3000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43566</v>
      </c>
      <c r="D16" s="196" t="s">
        <v>23</v>
      </c>
      <c r="E16" s="196" t="s">
        <v>24</v>
      </c>
      <c r="F16" s="197">
        <v>32070</v>
      </c>
      <c r="G16" s="197">
        <v>31870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43567</v>
      </c>
      <c r="D17" s="196" t="s">
        <v>16</v>
      </c>
      <c r="E17" s="196" t="s">
        <v>24</v>
      </c>
      <c r="F17" s="197">
        <v>31920</v>
      </c>
      <c r="G17" s="197">
        <v>31980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43570</v>
      </c>
      <c r="D18" s="196" t="s">
        <v>23</v>
      </c>
      <c r="E18" s="196" t="s">
        <v>24</v>
      </c>
      <c r="F18" s="197">
        <v>31750</v>
      </c>
      <c r="G18" s="197">
        <v>31700</v>
      </c>
      <c r="H18" s="196">
        <v>50</v>
      </c>
      <c r="I18" s="197">
        <v>100</v>
      </c>
      <c r="J18" s="268">
        <f t="shared" si="1"/>
        <v>5000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43571</v>
      </c>
      <c r="D19" s="196" t="s">
        <v>23</v>
      </c>
      <c r="E19" s="196" t="s">
        <v>24</v>
      </c>
      <c r="F19" s="197">
        <v>31820</v>
      </c>
      <c r="G19" s="197">
        <v>31620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43573</v>
      </c>
      <c r="D20" s="196" t="s">
        <v>16</v>
      </c>
      <c r="E20" s="196" t="s">
        <v>24</v>
      </c>
      <c r="F20" s="197">
        <v>31450</v>
      </c>
      <c r="G20" s="197">
        <v>31590</v>
      </c>
      <c r="H20" s="196">
        <v>140</v>
      </c>
      <c r="I20" s="197">
        <v>100</v>
      </c>
      <c r="J20" s="268">
        <f t="shared" si="1"/>
        <v>14000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43577</v>
      </c>
      <c r="D21" s="196" t="s">
        <v>23</v>
      </c>
      <c r="E21" s="196" t="s">
        <v>24</v>
      </c>
      <c r="F21" s="197">
        <v>31690</v>
      </c>
      <c r="G21" s="197">
        <v>31590</v>
      </c>
      <c r="H21" s="196">
        <v>100</v>
      </c>
      <c r="I21" s="197">
        <v>100</v>
      </c>
      <c r="J21" s="268">
        <f t="shared" si="1"/>
        <v>10000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43578</v>
      </c>
      <c r="D22" s="196" t="s">
        <v>16</v>
      </c>
      <c r="E22" s="196" t="s">
        <v>24</v>
      </c>
      <c r="F22" s="197">
        <v>31570</v>
      </c>
      <c r="G22" s="197">
        <v>31470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43579</v>
      </c>
      <c r="D23" s="196" t="s">
        <v>23</v>
      </c>
      <c r="E23" s="196" t="s">
        <v>24</v>
      </c>
      <c r="F23" s="197">
        <v>31620</v>
      </c>
      <c r="G23" s="197">
        <v>31720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43580</v>
      </c>
      <c r="D24" s="196" t="s">
        <v>23</v>
      </c>
      <c r="E24" s="196" t="s">
        <v>24</v>
      </c>
      <c r="F24" s="197">
        <v>31860</v>
      </c>
      <c r="G24" s="197">
        <v>31960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43581</v>
      </c>
      <c r="D25" s="196" t="s">
        <v>23</v>
      </c>
      <c r="E25" s="196" t="s">
        <v>24</v>
      </c>
      <c r="F25" s="197">
        <v>31890</v>
      </c>
      <c r="G25" s="197">
        <v>31790</v>
      </c>
      <c r="H25" s="196">
        <v>100</v>
      </c>
      <c r="I25" s="197">
        <v>100</v>
      </c>
      <c r="J25" s="268">
        <f t="shared" si="1"/>
        <v>10000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43585</v>
      </c>
      <c r="D26" s="196" t="s">
        <v>23</v>
      </c>
      <c r="E26" s="196" t="s">
        <v>24</v>
      </c>
      <c r="F26" s="197">
        <v>31850</v>
      </c>
      <c r="G26" s="197">
        <v>31750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120000</v>
      </c>
      <c r="K39" s="185"/>
      <c r="V39" s="183">
        <f>SUM(V6:V38)</f>
        <v>17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43556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43556</v>
      </c>
      <c r="D47" s="192" t="s">
        <v>23</v>
      </c>
      <c r="E47" s="192" t="s">
        <v>25</v>
      </c>
      <c r="F47" s="193">
        <v>4225</v>
      </c>
      <c r="G47" s="193">
        <v>4205</v>
      </c>
      <c r="H47" s="192">
        <v>20</v>
      </c>
      <c r="I47" s="193">
        <v>100</v>
      </c>
      <c r="J47" s="267">
        <f t="shared" ref="J47:J69" si="6">I47*H47</f>
        <v>2000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43557</v>
      </c>
      <c r="D48" s="196" t="s">
        <v>23</v>
      </c>
      <c r="E48" s="196" t="s">
        <v>25</v>
      </c>
      <c r="F48" s="197">
        <v>4310</v>
      </c>
      <c r="G48" s="197">
        <v>4280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43558</v>
      </c>
      <c r="D49" s="196" t="s">
        <v>23</v>
      </c>
      <c r="E49" s="196" t="s">
        <v>25</v>
      </c>
      <c r="F49" s="197">
        <v>4325</v>
      </c>
      <c r="G49" s="197">
        <v>4270</v>
      </c>
      <c r="H49" s="196">
        <v>55</v>
      </c>
      <c r="I49" s="197">
        <v>100</v>
      </c>
      <c r="J49" s="268">
        <f t="shared" si="6"/>
        <v>5500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43559</v>
      </c>
      <c r="D50" s="196" t="s">
        <v>23</v>
      </c>
      <c r="E50" s="196" t="s">
        <v>25</v>
      </c>
      <c r="F50" s="197">
        <v>4300</v>
      </c>
      <c r="G50" s="197">
        <v>4330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43560</v>
      </c>
      <c r="D51" s="196" t="s">
        <v>23</v>
      </c>
      <c r="E51" s="196" t="s">
        <v>25</v>
      </c>
      <c r="F51" s="197">
        <v>4305</v>
      </c>
      <c r="G51" s="197">
        <v>4335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43563</v>
      </c>
      <c r="D52" s="196" t="s">
        <v>23</v>
      </c>
      <c r="E52" s="196" t="s">
        <v>25</v>
      </c>
      <c r="F52" s="197">
        <v>4425</v>
      </c>
      <c r="G52" s="197">
        <v>4400</v>
      </c>
      <c r="H52" s="196">
        <v>25</v>
      </c>
      <c r="I52" s="197">
        <v>100</v>
      </c>
      <c r="J52" s="268">
        <f t="shared" si="6"/>
        <v>2500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43564</v>
      </c>
      <c r="D53" s="196" t="s">
        <v>23</v>
      </c>
      <c r="E53" s="196" t="s">
        <v>25</v>
      </c>
      <c r="F53" s="197">
        <v>4495</v>
      </c>
      <c r="G53" s="197">
        <v>4435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43565</v>
      </c>
      <c r="D54" s="196" t="s">
        <v>23</v>
      </c>
      <c r="E54" s="196" t="s">
        <v>25</v>
      </c>
      <c r="F54" s="197">
        <v>4475</v>
      </c>
      <c r="G54" s="197">
        <v>4445</v>
      </c>
      <c r="H54" s="196">
        <v>30</v>
      </c>
      <c r="I54" s="197">
        <v>100</v>
      </c>
      <c r="J54" s="268">
        <f t="shared" si="6"/>
        <v>3000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43566</v>
      </c>
      <c r="D55" s="196" t="s">
        <v>23</v>
      </c>
      <c r="E55" s="196" t="s">
        <v>25</v>
      </c>
      <c r="F55" s="197">
        <v>4435</v>
      </c>
      <c r="G55" s="197">
        <v>4395</v>
      </c>
      <c r="H55" s="196">
        <v>40</v>
      </c>
      <c r="I55" s="197">
        <v>100</v>
      </c>
      <c r="J55" s="268">
        <f t="shared" si="6"/>
        <v>4000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43567</v>
      </c>
      <c r="D56" s="196" t="s">
        <v>23</v>
      </c>
      <c r="E56" s="196" t="s">
        <v>25</v>
      </c>
      <c r="F56" s="197">
        <v>4475</v>
      </c>
      <c r="G56" s="197">
        <v>4435</v>
      </c>
      <c r="H56" s="196">
        <v>40</v>
      </c>
      <c r="I56" s="197">
        <v>100</v>
      </c>
      <c r="J56" s="268">
        <f t="shared" si="6"/>
        <v>4000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43570</v>
      </c>
      <c r="D57" s="196" t="s">
        <v>23</v>
      </c>
      <c r="E57" s="196" t="s">
        <v>25</v>
      </c>
      <c r="F57" s="197">
        <v>4415</v>
      </c>
      <c r="G57" s="197">
        <v>4385</v>
      </c>
      <c r="H57" s="196">
        <v>30</v>
      </c>
      <c r="I57" s="197">
        <v>100</v>
      </c>
      <c r="J57" s="268">
        <f t="shared" si="6"/>
        <v>3000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43571</v>
      </c>
      <c r="D58" s="196" t="s">
        <v>23</v>
      </c>
      <c r="E58" s="196" t="s">
        <v>25</v>
      </c>
      <c r="F58" s="197">
        <v>4405</v>
      </c>
      <c r="G58" s="197">
        <v>4435</v>
      </c>
      <c r="H58" s="196">
        <v>-30</v>
      </c>
      <c r="I58" s="197">
        <v>100</v>
      </c>
      <c r="J58" s="268">
        <f t="shared" si="6"/>
        <v>-3000</v>
      </c>
      <c r="K58" s="185"/>
      <c r="V58" s="183">
        <f t="shared" si="7"/>
        <v>0</v>
      </c>
      <c r="W58" s="183">
        <f t="shared" si="8"/>
        <v>1</v>
      </c>
    </row>
    <row r="59" spans="1:23" x14ac:dyDescent="0.3">
      <c r="A59" s="184"/>
      <c r="B59" s="194">
        <v>13</v>
      </c>
      <c r="C59" s="195">
        <v>43573</v>
      </c>
      <c r="D59" s="196" t="s">
        <v>23</v>
      </c>
      <c r="E59" s="196" t="s">
        <v>25</v>
      </c>
      <c r="F59" s="197">
        <v>4420</v>
      </c>
      <c r="G59" s="197">
        <v>4420</v>
      </c>
      <c r="H59" s="196">
        <v>0</v>
      </c>
      <c r="I59" s="197">
        <v>100</v>
      </c>
      <c r="J59" s="268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43577</v>
      </c>
      <c r="D60" s="196" t="s">
        <v>23</v>
      </c>
      <c r="E60" s="196" t="s">
        <v>25</v>
      </c>
      <c r="F60" s="197">
        <v>4585</v>
      </c>
      <c r="G60" s="197">
        <v>4590</v>
      </c>
      <c r="H60" s="196">
        <v>-5</v>
      </c>
      <c r="I60" s="197">
        <v>100</v>
      </c>
      <c r="J60" s="268">
        <f t="shared" si="6"/>
        <v>-500</v>
      </c>
      <c r="K60" s="185"/>
      <c r="V60" s="183">
        <f t="shared" si="7"/>
        <v>0</v>
      </c>
      <c r="W60" s="183">
        <f t="shared" si="8"/>
        <v>1</v>
      </c>
    </row>
    <row r="61" spans="1:23" x14ac:dyDescent="0.3">
      <c r="A61" s="184"/>
      <c r="B61" s="194">
        <v>15</v>
      </c>
      <c r="C61" s="195">
        <v>43578</v>
      </c>
      <c r="D61" s="196" t="s">
        <v>23</v>
      </c>
      <c r="E61" s="196" t="s">
        <v>25</v>
      </c>
      <c r="F61" s="197">
        <v>4625</v>
      </c>
      <c r="G61" s="197">
        <v>4595</v>
      </c>
      <c r="H61" s="196">
        <v>30</v>
      </c>
      <c r="I61" s="197">
        <v>100</v>
      </c>
      <c r="J61" s="268">
        <f t="shared" si="6"/>
        <v>3000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43579</v>
      </c>
      <c r="D62" s="196" t="s">
        <v>16</v>
      </c>
      <c r="E62" s="196" t="s">
        <v>25</v>
      </c>
      <c r="F62" s="197">
        <v>4625</v>
      </c>
      <c r="G62" s="197">
        <v>4655</v>
      </c>
      <c r="H62" s="196">
        <v>30</v>
      </c>
      <c r="I62" s="197">
        <v>100</v>
      </c>
      <c r="J62" s="268">
        <f t="shared" si="6"/>
        <v>3000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43580</v>
      </c>
      <c r="D63" s="196" t="s">
        <v>23</v>
      </c>
      <c r="E63" s="196" t="s">
        <v>25</v>
      </c>
      <c r="F63" s="197">
        <v>4660</v>
      </c>
      <c r="G63" s="197">
        <v>4630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43581</v>
      </c>
      <c r="D64" s="196" t="s">
        <v>23</v>
      </c>
      <c r="E64" s="196" t="s">
        <v>25</v>
      </c>
      <c r="F64" s="197">
        <v>4500</v>
      </c>
      <c r="G64" s="197">
        <v>4440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43585</v>
      </c>
      <c r="D65" s="196" t="s">
        <v>16</v>
      </c>
      <c r="E65" s="196" t="s">
        <v>25</v>
      </c>
      <c r="F65" s="197">
        <v>4455</v>
      </c>
      <c r="G65" s="197">
        <v>4510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04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44500</v>
      </c>
      <c r="K70" s="185"/>
      <c r="V70" s="183">
        <f>SUM(V47:V69)</f>
        <v>14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43556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43556</v>
      </c>
      <c r="D78" s="216" t="s">
        <v>16</v>
      </c>
      <c r="E78" s="256" t="s">
        <v>28</v>
      </c>
      <c r="F78" s="256">
        <v>225.7</v>
      </c>
      <c r="G78" s="256">
        <v>226.6</v>
      </c>
      <c r="H78" s="256">
        <v>0.9</v>
      </c>
      <c r="I78" s="218">
        <v>5000</v>
      </c>
      <c r="J78" s="273">
        <f>I78*H78</f>
        <v>4500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43557</v>
      </c>
      <c r="D79" s="196" t="s">
        <v>23</v>
      </c>
      <c r="E79" s="222" t="s">
        <v>27</v>
      </c>
      <c r="F79" s="222">
        <v>138.5</v>
      </c>
      <c r="G79" s="222">
        <v>137.5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43558</v>
      </c>
      <c r="D80" s="196" t="s">
        <v>16</v>
      </c>
      <c r="E80" s="222" t="s">
        <v>28</v>
      </c>
      <c r="F80" s="222">
        <v>223</v>
      </c>
      <c r="G80" s="222">
        <v>225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43559</v>
      </c>
      <c r="D81" s="196" t="s">
        <v>16</v>
      </c>
      <c r="E81" s="222" t="s">
        <v>28</v>
      </c>
      <c r="F81" s="222">
        <v>227.1</v>
      </c>
      <c r="G81" s="222">
        <v>226.1</v>
      </c>
      <c r="H81" s="222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5</v>
      </c>
      <c r="C82" s="195">
        <v>43560</v>
      </c>
      <c r="D82" s="196" t="s">
        <v>16</v>
      </c>
      <c r="E82" s="222" t="s">
        <v>28</v>
      </c>
      <c r="F82" s="222">
        <v>227.2</v>
      </c>
      <c r="G82" s="222">
        <v>226.2</v>
      </c>
      <c r="H82" s="222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6</v>
      </c>
      <c r="C83" s="195">
        <v>43563</v>
      </c>
      <c r="D83" s="196" t="s">
        <v>16</v>
      </c>
      <c r="E83" s="222" t="s">
        <v>28</v>
      </c>
      <c r="F83" s="222">
        <v>227.9</v>
      </c>
      <c r="G83" s="222">
        <v>228.9</v>
      </c>
      <c r="H83" s="222">
        <v>1</v>
      </c>
      <c r="I83" s="197">
        <v>5000</v>
      </c>
      <c r="J83" s="268">
        <f t="shared" si="9"/>
        <v>5000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43564</v>
      </c>
      <c r="D84" s="196" t="s">
        <v>23</v>
      </c>
      <c r="E84" s="222" t="s">
        <v>28</v>
      </c>
      <c r="F84" s="222">
        <v>225.7</v>
      </c>
      <c r="G84" s="222">
        <v>224.7</v>
      </c>
      <c r="H84" s="274">
        <v>1</v>
      </c>
      <c r="I84" s="197">
        <v>5000</v>
      </c>
      <c r="J84" s="268">
        <f t="shared" si="9"/>
        <v>5000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43565</v>
      </c>
      <c r="D85" s="196" t="s">
        <v>23</v>
      </c>
      <c r="E85" s="222" t="s">
        <v>28</v>
      </c>
      <c r="F85" s="222">
        <v>224.1</v>
      </c>
      <c r="G85" s="222">
        <v>223.6</v>
      </c>
      <c r="H85" s="222">
        <v>0.5</v>
      </c>
      <c r="I85" s="197">
        <v>5000</v>
      </c>
      <c r="J85" s="268">
        <f t="shared" si="9"/>
        <v>2500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43566</v>
      </c>
      <c r="D86" s="196" t="s">
        <v>16</v>
      </c>
      <c r="E86" s="222" t="s">
        <v>28</v>
      </c>
      <c r="F86" s="222">
        <v>224.3</v>
      </c>
      <c r="G86" s="222">
        <v>226.3</v>
      </c>
      <c r="H86" s="222">
        <v>2</v>
      </c>
      <c r="I86" s="197">
        <v>5000</v>
      </c>
      <c r="J86" s="268">
        <f t="shared" si="9"/>
        <v>10000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43567</v>
      </c>
      <c r="D87" s="196" t="s">
        <v>23</v>
      </c>
      <c r="E87" s="222" t="s">
        <v>28</v>
      </c>
      <c r="F87" s="222">
        <v>228.2</v>
      </c>
      <c r="G87" s="222">
        <v>227.7</v>
      </c>
      <c r="H87" s="222">
        <v>0.5</v>
      </c>
      <c r="I87" s="197">
        <v>5000</v>
      </c>
      <c r="J87" s="268">
        <f t="shared" si="9"/>
        <v>2500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43570</v>
      </c>
      <c r="D88" s="196" t="s">
        <v>23</v>
      </c>
      <c r="E88" s="222" t="s">
        <v>28</v>
      </c>
      <c r="F88" s="222">
        <v>228.6</v>
      </c>
      <c r="G88" s="222">
        <v>229.6</v>
      </c>
      <c r="H88" s="274">
        <v>-1</v>
      </c>
      <c r="I88" s="197">
        <v>5000</v>
      </c>
      <c r="J88" s="268">
        <f t="shared" si="9"/>
        <v>-5000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12</v>
      </c>
      <c r="C89" s="195">
        <v>43571</v>
      </c>
      <c r="D89" s="196" t="s">
        <v>23</v>
      </c>
      <c r="E89" s="222" t="s">
        <v>28</v>
      </c>
      <c r="F89" s="222">
        <v>227.7</v>
      </c>
      <c r="G89" s="222">
        <v>225.7</v>
      </c>
      <c r="H89" s="274">
        <v>2</v>
      </c>
      <c r="I89" s="197">
        <v>5000</v>
      </c>
      <c r="J89" s="268">
        <f t="shared" si="9"/>
        <v>10000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43573</v>
      </c>
      <c r="D90" s="196" t="s">
        <v>23</v>
      </c>
      <c r="E90" s="222" t="s">
        <v>28</v>
      </c>
      <c r="F90" s="222">
        <v>224.5</v>
      </c>
      <c r="G90" s="222">
        <v>223.5</v>
      </c>
      <c r="H90" s="274">
        <v>1</v>
      </c>
      <c r="I90" s="197">
        <v>5000</v>
      </c>
      <c r="J90" s="268">
        <f t="shared" si="9"/>
        <v>5000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43577</v>
      </c>
      <c r="D91" s="196" t="s">
        <v>23</v>
      </c>
      <c r="E91" s="222" t="s">
        <v>28</v>
      </c>
      <c r="F91" s="222">
        <v>226.3</v>
      </c>
      <c r="G91" s="222">
        <v>226</v>
      </c>
      <c r="H91" s="274">
        <v>0.3</v>
      </c>
      <c r="I91" s="197">
        <v>5000</v>
      </c>
      <c r="J91" s="268">
        <f t="shared" si="9"/>
        <v>1500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43578</v>
      </c>
      <c r="D92" s="196" t="s">
        <v>16</v>
      </c>
      <c r="E92" s="222" t="s">
        <v>28</v>
      </c>
      <c r="F92" s="223">
        <v>226.2</v>
      </c>
      <c r="G92" s="222">
        <v>225.2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43579</v>
      </c>
      <c r="D93" s="196" t="s">
        <v>16</v>
      </c>
      <c r="E93" s="222" t="s">
        <v>28</v>
      </c>
      <c r="F93" s="222">
        <v>225.5</v>
      </c>
      <c r="G93" s="222">
        <v>227.5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43580</v>
      </c>
      <c r="D94" s="196" t="s">
        <v>23</v>
      </c>
      <c r="E94" s="222" t="s">
        <v>28</v>
      </c>
      <c r="F94" s="222">
        <v>228.7</v>
      </c>
      <c r="G94" s="222">
        <v>229.7</v>
      </c>
      <c r="H94" s="274">
        <v>-1</v>
      </c>
      <c r="I94" s="197">
        <v>5000</v>
      </c>
      <c r="J94" s="268">
        <f t="shared" si="9"/>
        <v>-5000</v>
      </c>
      <c r="K94" s="185"/>
      <c r="V94" s="183">
        <f t="shared" si="10"/>
        <v>0</v>
      </c>
      <c r="W94" s="183">
        <f t="shared" si="11"/>
        <v>1</v>
      </c>
    </row>
    <row r="95" spans="1:23" x14ac:dyDescent="0.3">
      <c r="A95" s="184"/>
      <c r="B95" s="194">
        <v>18</v>
      </c>
      <c r="C95" s="195">
        <v>43581</v>
      </c>
      <c r="D95" s="196" t="s">
        <v>16</v>
      </c>
      <c r="E95" s="222" t="s">
        <v>28</v>
      </c>
      <c r="F95" s="222">
        <v>232.4</v>
      </c>
      <c r="G95" s="222">
        <v>231.4</v>
      </c>
      <c r="H95" s="274">
        <v>-1</v>
      </c>
      <c r="I95" s="197">
        <v>5000</v>
      </c>
      <c r="J95" s="268">
        <f t="shared" si="9"/>
        <v>-5000</v>
      </c>
      <c r="K95" s="185"/>
      <c r="V95" s="183">
        <f t="shared" si="10"/>
        <v>0</v>
      </c>
      <c r="W95" s="183">
        <f t="shared" si="11"/>
        <v>1</v>
      </c>
    </row>
    <row r="96" spans="1:23" x14ac:dyDescent="0.3">
      <c r="A96" s="184"/>
      <c r="B96" s="194">
        <v>19</v>
      </c>
      <c r="C96" s="195">
        <v>43585</v>
      </c>
      <c r="D96" s="196" t="s">
        <v>23</v>
      </c>
      <c r="E96" s="222" t="s">
        <v>28</v>
      </c>
      <c r="F96" s="222">
        <v>224.8</v>
      </c>
      <c r="G96" s="222">
        <v>222.8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51000</v>
      </c>
      <c r="K101" s="185"/>
      <c r="V101" s="183">
        <f>SUM(V78:V100)</f>
        <v>13</v>
      </c>
      <c r="W101" s="183">
        <f>SUM(W78:W100)</f>
        <v>6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4C00-000000000000}"/>
    <hyperlink ref="B70" r:id="rId2" xr:uid="{00000000-0004-0000-4C00-000001000000}"/>
    <hyperlink ref="M4:M5" location="'APRIL 2019'!A1" display="BULLION" xr:uid="{00000000-0004-0000-4C00-000002000000}"/>
    <hyperlink ref="B101" r:id="rId3" xr:uid="{00000000-0004-0000-4C00-000003000000}"/>
    <hyperlink ref="M8:M9" location="'APRIL 2019'!A86" display="BASE METAL" xr:uid="{00000000-0004-0000-4C00-000004000000}"/>
    <hyperlink ref="M1" location="MASTER!A1" display="Back" xr:uid="{00000000-0004-0000-4C00-000005000000}"/>
    <hyperlink ref="M6:M7" location="'APRIL 2019'!A54" display="ENERGY" xr:uid="{00000000-0004-0000-4C00-000006000000}"/>
  </hyperlinks>
  <pageMargins left="0" right="0" top="0" bottom="0" header="0" footer="0"/>
  <pageSetup paperSize="9" orientation="portrait" r:id="rId4"/>
  <drawing r:id="rId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W102"/>
  <sheetViews>
    <sheetView workbookViewId="0">
      <selection activeCell="I23" sqref="I2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43586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24</v>
      </c>
      <c r="O4" s="355">
        <f>V39</f>
        <v>15</v>
      </c>
      <c r="P4" s="355">
        <f>W39</f>
        <v>9</v>
      </c>
      <c r="Q4" s="356">
        <f>N4-O4-P4</f>
        <v>0</v>
      </c>
      <c r="R4" s="343">
        <f>O4/N4</f>
        <v>0.625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43587</v>
      </c>
      <c r="D6" s="192" t="s">
        <v>23</v>
      </c>
      <c r="E6" s="192" t="s">
        <v>24</v>
      </c>
      <c r="F6" s="193">
        <v>31440</v>
      </c>
      <c r="G6" s="193">
        <v>31305</v>
      </c>
      <c r="H6" s="192">
        <v>135</v>
      </c>
      <c r="I6" s="193">
        <v>100</v>
      </c>
      <c r="J6" s="267">
        <f>H6*I6</f>
        <v>13500</v>
      </c>
      <c r="K6" s="185"/>
      <c r="M6" s="364" t="s">
        <v>258</v>
      </c>
      <c r="N6" s="347">
        <f>COUNT(C47:C69)</f>
        <v>22</v>
      </c>
      <c r="O6" s="348">
        <f>V70</f>
        <v>19</v>
      </c>
      <c r="P6" s="348">
        <f>W70</f>
        <v>3</v>
      </c>
      <c r="Q6" s="349">
        <f>N6-O6-P6</f>
        <v>0</v>
      </c>
      <c r="R6" s="345">
        <f t="shared" ref="R6" si="0">O6/N6</f>
        <v>0.86363636363636365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43588</v>
      </c>
      <c r="D7" s="196" t="s">
        <v>23</v>
      </c>
      <c r="E7" s="196" t="s">
        <v>24</v>
      </c>
      <c r="F7" s="197">
        <v>31310</v>
      </c>
      <c r="G7" s="197">
        <v>31250</v>
      </c>
      <c r="H7" s="196">
        <v>60</v>
      </c>
      <c r="I7" s="197">
        <v>100</v>
      </c>
      <c r="J7" s="268">
        <f t="shared" ref="J7:J38" si="1">H7*I7</f>
        <v>6000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43591</v>
      </c>
      <c r="D8" s="196" t="s">
        <v>16</v>
      </c>
      <c r="E8" s="196" t="s">
        <v>24</v>
      </c>
      <c r="F8" s="197">
        <v>31600</v>
      </c>
      <c r="G8" s="197">
        <v>31500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COUNT(C78:C100)</f>
        <v>22</v>
      </c>
      <c r="O8" s="348">
        <f>V101</f>
        <v>15</v>
      </c>
      <c r="P8" s="348">
        <f>W101</f>
        <v>7</v>
      </c>
      <c r="Q8" s="349">
        <f>N8-O8-P8</f>
        <v>0</v>
      </c>
      <c r="R8" s="345">
        <f t="shared" ref="R8" si="4">O8/N8</f>
        <v>0.68181818181818177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43592</v>
      </c>
      <c r="D9" s="196" t="s">
        <v>23</v>
      </c>
      <c r="E9" s="196" t="s">
        <v>24</v>
      </c>
      <c r="F9" s="197">
        <v>31600</v>
      </c>
      <c r="G9" s="197">
        <v>31525</v>
      </c>
      <c r="H9" s="196">
        <v>75</v>
      </c>
      <c r="I9" s="197">
        <v>100</v>
      </c>
      <c r="J9" s="268">
        <f t="shared" si="1"/>
        <v>7500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43593</v>
      </c>
      <c r="D10" s="196" t="s">
        <v>23</v>
      </c>
      <c r="E10" s="196" t="s">
        <v>24</v>
      </c>
      <c r="F10" s="197">
        <v>31770</v>
      </c>
      <c r="G10" s="197">
        <v>31870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68</v>
      </c>
      <c r="O10" s="321">
        <f>SUM(O4:O9)</f>
        <v>49</v>
      </c>
      <c r="P10" s="321">
        <f>SUM(P4:P9)</f>
        <v>19</v>
      </c>
      <c r="Q10" s="341">
        <f>SUM(Q4:Q9)</f>
        <v>0</v>
      </c>
      <c r="R10" s="343">
        <f t="shared" ref="R10" si="5">O10/N10</f>
        <v>0.72058823529411764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43593</v>
      </c>
      <c r="D11" s="196" t="s">
        <v>23</v>
      </c>
      <c r="E11" s="196" t="s">
        <v>22</v>
      </c>
      <c r="F11" s="197">
        <v>37500</v>
      </c>
      <c r="G11" s="197">
        <v>37400</v>
      </c>
      <c r="H11" s="196">
        <v>100</v>
      </c>
      <c r="I11" s="197">
        <v>30</v>
      </c>
      <c r="J11" s="268">
        <f t="shared" si="1"/>
        <v>3000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43594</v>
      </c>
      <c r="D12" s="196" t="s">
        <v>23</v>
      </c>
      <c r="E12" s="196" t="s">
        <v>24</v>
      </c>
      <c r="F12" s="197">
        <v>31850</v>
      </c>
      <c r="G12" s="197">
        <v>31950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0.72058823529411764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43595</v>
      </c>
      <c r="D13" s="196" t="s">
        <v>23</v>
      </c>
      <c r="E13" s="196" t="s">
        <v>24</v>
      </c>
      <c r="F13" s="197">
        <v>31810</v>
      </c>
      <c r="G13" s="197">
        <v>31910</v>
      </c>
      <c r="H13" s="196">
        <v>-100</v>
      </c>
      <c r="I13" s="197">
        <v>100</v>
      </c>
      <c r="J13" s="268">
        <f t="shared" si="1"/>
        <v>-10000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43598</v>
      </c>
      <c r="D14" s="196" t="s">
        <v>23</v>
      </c>
      <c r="E14" s="196" t="s">
        <v>24</v>
      </c>
      <c r="F14" s="197">
        <v>32010</v>
      </c>
      <c r="G14" s="197">
        <v>32110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43599</v>
      </c>
      <c r="D15" s="196" t="s">
        <v>23</v>
      </c>
      <c r="E15" s="196" t="s">
        <v>24</v>
      </c>
      <c r="F15" s="197">
        <v>32390</v>
      </c>
      <c r="G15" s="197">
        <v>32330</v>
      </c>
      <c r="H15" s="196">
        <v>60</v>
      </c>
      <c r="I15" s="197">
        <v>100</v>
      </c>
      <c r="J15" s="268">
        <f t="shared" si="1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43600</v>
      </c>
      <c r="D16" s="196" t="s">
        <v>16</v>
      </c>
      <c r="E16" s="196" t="s">
        <v>24</v>
      </c>
      <c r="F16" s="197">
        <v>32340</v>
      </c>
      <c r="G16" s="197">
        <v>32405</v>
      </c>
      <c r="H16" s="196">
        <v>65</v>
      </c>
      <c r="I16" s="197">
        <v>100</v>
      </c>
      <c r="J16" s="268">
        <f t="shared" si="1"/>
        <v>6500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43601</v>
      </c>
      <c r="D17" s="196" t="s">
        <v>16</v>
      </c>
      <c r="E17" s="196" t="s">
        <v>24</v>
      </c>
      <c r="F17" s="197">
        <v>32100</v>
      </c>
      <c r="G17" s="197">
        <v>32000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43602</v>
      </c>
      <c r="D18" s="196" t="s">
        <v>16</v>
      </c>
      <c r="E18" s="196" t="s">
        <v>24</v>
      </c>
      <c r="F18" s="197">
        <v>31930</v>
      </c>
      <c r="G18" s="197">
        <v>31990</v>
      </c>
      <c r="H18" s="196"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43605</v>
      </c>
      <c r="D19" s="196" t="s">
        <v>16</v>
      </c>
      <c r="E19" s="196" t="s">
        <v>24</v>
      </c>
      <c r="F19" s="197">
        <v>31430</v>
      </c>
      <c r="G19" s="197">
        <v>21530</v>
      </c>
      <c r="H19" s="196">
        <v>100</v>
      </c>
      <c r="I19" s="197">
        <v>100</v>
      </c>
      <c r="J19" s="268">
        <f t="shared" si="1"/>
        <v>10000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43606</v>
      </c>
      <c r="D20" s="196" t="s">
        <v>16</v>
      </c>
      <c r="E20" s="196" t="s">
        <v>24</v>
      </c>
      <c r="F20" s="197">
        <v>31470</v>
      </c>
      <c r="G20" s="197">
        <v>31430</v>
      </c>
      <c r="H20" s="196">
        <v>40</v>
      </c>
      <c r="I20" s="197">
        <v>100</v>
      </c>
      <c r="J20" s="268">
        <f t="shared" si="1"/>
        <v>4000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43607</v>
      </c>
      <c r="D21" s="196" t="s">
        <v>16</v>
      </c>
      <c r="E21" s="196" t="s">
        <v>24</v>
      </c>
      <c r="F21" s="197">
        <v>31500</v>
      </c>
      <c r="G21" s="197">
        <v>31470</v>
      </c>
      <c r="H21" s="196">
        <v>-30</v>
      </c>
      <c r="I21" s="197">
        <v>100</v>
      </c>
      <c r="J21" s="268">
        <f t="shared" si="1"/>
        <v>-3000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43608</v>
      </c>
      <c r="D22" s="196" t="s">
        <v>23</v>
      </c>
      <c r="E22" s="196" t="s">
        <v>24</v>
      </c>
      <c r="F22" s="197">
        <v>31620</v>
      </c>
      <c r="G22" s="197">
        <v>31720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43609</v>
      </c>
      <c r="D23" s="196" t="s">
        <v>23</v>
      </c>
      <c r="E23" s="196" t="s">
        <v>24</v>
      </c>
      <c r="F23" s="197">
        <v>31550</v>
      </c>
      <c r="G23" s="197">
        <v>31490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43612</v>
      </c>
      <c r="D24" s="196" t="s">
        <v>16</v>
      </c>
      <c r="E24" s="196" t="s">
        <v>24</v>
      </c>
      <c r="F24" s="197">
        <v>31630</v>
      </c>
      <c r="G24" s="197">
        <v>31690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43613</v>
      </c>
      <c r="D25" s="196" t="s">
        <v>16</v>
      </c>
      <c r="E25" s="196" t="s">
        <v>24</v>
      </c>
      <c r="F25" s="197">
        <v>31650</v>
      </c>
      <c r="G25" s="197">
        <v>31550</v>
      </c>
      <c r="H25" s="196">
        <v>-100</v>
      </c>
      <c r="I25" s="197">
        <v>100</v>
      </c>
      <c r="J25" s="268">
        <f t="shared" si="1"/>
        <v>-10000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43614</v>
      </c>
      <c r="D26" s="196" t="s">
        <v>16</v>
      </c>
      <c r="E26" s="196" t="s">
        <v>24</v>
      </c>
      <c r="F26" s="197">
        <v>31750</v>
      </c>
      <c r="G26" s="197">
        <v>31790</v>
      </c>
      <c r="H26" s="196">
        <v>40</v>
      </c>
      <c r="I26" s="197">
        <v>100</v>
      </c>
      <c r="J26" s="268">
        <f t="shared" si="1"/>
        <v>4000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43614</v>
      </c>
      <c r="D27" s="196" t="s">
        <v>16</v>
      </c>
      <c r="E27" s="196" t="s">
        <v>22</v>
      </c>
      <c r="F27" s="197">
        <v>36150</v>
      </c>
      <c r="G27" s="197">
        <v>36270</v>
      </c>
      <c r="H27" s="196">
        <v>120</v>
      </c>
      <c r="I27" s="197">
        <v>30</v>
      </c>
      <c r="J27" s="268">
        <f t="shared" si="1"/>
        <v>3600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43615</v>
      </c>
      <c r="D28" s="196" t="s">
        <v>16</v>
      </c>
      <c r="E28" s="196" t="s">
        <v>24</v>
      </c>
      <c r="F28" s="197">
        <v>31600</v>
      </c>
      <c r="G28" s="197">
        <v>31800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43616</v>
      </c>
      <c r="D29" s="196" t="s">
        <v>16</v>
      </c>
      <c r="E29" s="196" t="s">
        <v>24</v>
      </c>
      <c r="F29" s="197">
        <v>31990</v>
      </c>
      <c r="G29" s="197">
        <v>32090</v>
      </c>
      <c r="H29" s="196">
        <v>100</v>
      </c>
      <c r="I29" s="197">
        <v>100</v>
      </c>
      <c r="J29" s="268">
        <f t="shared" si="1"/>
        <v>10000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29100</v>
      </c>
      <c r="K39" s="185"/>
      <c r="V39" s="183">
        <f>SUM(V6:V38)</f>
        <v>15</v>
      </c>
      <c r="W39" s="183">
        <f>SUM(W6:W38)</f>
        <v>9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43586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43587</v>
      </c>
      <c r="D47" s="192" t="s">
        <v>23</v>
      </c>
      <c r="E47" s="192" t="s">
        <v>25</v>
      </c>
      <c r="F47" s="193">
        <v>4405</v>
      </c>
      <c r="G47" s="193">
        <v>4345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43588</v>
      </c>
      <c r="D48" s="196" t="s">
        <v>16</v>
      </c>
      <c r="E48" s="196" t="s">
        <v>25</v>
      </c>
      <c r="F48" s="197">
        <v>4275</v>
      </c>
      <c r="G48" s="197">
        <v>4305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43591</v>
      </c>
      <c r="D49" s="196" t="s">
        <v>16</v>
      </c>
      <c r="E49" s="196" t="s">
        <v>25</v>
      </c>
      <c r="F49" s="197">
        <v>4245</v>
      </c>
      <c r="G49" s="197">
        <v>4305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43592</v>
      </c>
      <c r="D50" s="196" t="s">
        <v>16</v>
      </c>
      <c r="E50" s="196" t="s">
        <v>25</v>
      </c>
      <c r="F50" s="197">
        <v>4295</v>
      </c>
      <c r="G50" s="197">
        <v>4265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43593</v>
      </c>
      <c r="D51" s="196" t="s">
        <v>23</v>
      </c>
      <c r="E51" s="196" t="s">
        <v>25</v>
      </c>
      <c r="F51" s="197">
        <v>4270</v>
      </c>
      <c r="G51" s="197">
        <v>4300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43594</v>
      </c>
      <c r="D52" s="196" t="s">
        <v>23</v>
      </c>
      <c r="E52" s="196" t="s">
        <v>25</v>
      </c>
      <c r="F52" s="197">
        <v>4335</v>
      </c>
      <c r="G52" s="197">
        <v>4295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43595</v>
      </c>
      <c r="D53" s="196" t="s">
        <v>23</v>
      </c>
      <c r="E53" s="196" t="s">
        <v>25</v>
      </c>
      <c r="F53" s="197">
        <v>4345</v>
      </c>
      <c r="G53" s="197">
        <v>4325</v>
      </c>
      <c r="H53" s="196">
        <v>20</v>
      </c>
      <c r="I53" s="197">
        <v>100</v>
      </c>
      <c r="J53" s="268">
        <f t="shared" si="6"/>
        <v>2000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43598</v>
      </c>
      <c r="D54" s="196" t="s">
        <v>23</v>
      </c>
      <c r="E54" s="196" t="s">
        <v>25</v>
      </c>
      <c r="F54" s="197">
        <v>4410</v>
      </c>
      <c r="G54" s="197">
        <v>4440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9</v>
      </c>
      <c r="C55" s="195">
        <v>43599</v>
      </c>
      <c r="D55" s="196" t="s">
        <v>23</v>
      </c>
      <c r="E55" s="196" t="s">
        <v>25</v>
      </c>
      <c r="F55" s="197">
        <v>4300</v>
      </c>
      <c r="G55" s="197">
        <v>4280</v>
      </c>
      <c r="H55" s="196">
        <v>20</v>
      </c>
      <c r="I55" s="197">
        <v>100</v>
      </c>
      <c r="J55" s="268">
        <f t="shared" si="6"/>
        <v>2000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43600</v>
      </c>
      <c r="D56" s="196" t="s">
        <v>23</v>
      </c>
      <c r="E56" s="196" t="s">
        <v>25</v>
      </c>
      <c r="F56" s="197">
        <v>4310</v>
      </c>
      <c r="G56" s="197">
        <v>4290</v>
      </c>
      <c r="H56" s="196">
        <v>20</v>
      </c>
      <c r="I56" s="197">
        <v>100</v>
      </c>
      <c r="J56" s="268">
        <f t="shared" si="6"/>
        <v>2000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43601</v>
      </c>
      <c r="D57" s="196" t="s">
        <v>16</v>
      </c>
      <c r="E57" s="196" t="s">
        <v>25</v>
      </c>
      <c r="F57" s="197">
        <v>4395</v>
      </c>
      <c r="G57" s="197">
        <v>4445</v>
      </c>
      <c r="H57" s="196">
        <v>40</v>
      </c>
      <c r="I57" s="197">
        <v>100</v>
      </c>
      <c r="J57" s="268">
        <f t="shared" si="6"/>
        <v>4000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43602</v>
      </c>
      <c r="D58" s="196" t="s">
        <v>23</v>
      </c>
      <c r="E58" s="196" t="s">
        <v>25</v>
      </c>
      <c r="F58" s="197">
        <v>4455</v>
      </c>
      <c r="G58" s="197">
        <v>4418</v>
      </c>
      <c r="H58" s="196">
        <v>37</v>
      </c>
      <c r="I58" s="197">
        <v>100</v>
      </c>
      <c r="J58" s="268">
        <f t="shared" si="6"/>
        <v>3700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43605</v>
      </c>
      <c r="D59" s="196" t="s">
        <v>23</v>
      </c>
      <c r="E59" s="196" t="s">
        <v>25</v>
      </c>
      <c r="F59" s="197">
        <v>4375</v>
      </c>
      <c r="G59" s="197">
        <v>4345</v>
      </c>
      <c r="H59" s="196">
        <v>30</v>
      </c>
      <c r="I59" s="197">
        <v>100</v>
      </c>
      <c r="J59" s="268">
        <f t="shared" si="6"/>
        <v>3000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43606</v>
      </c>
      <c r="D60" s="196" t="s">
        <v>23</v>
      </c>
      <c r="E60" s="196" t="s">
        <v>25</v>
      </c>
      <c r="F60" s="197">
        <v>4435</v>
      </c>
      <c r="G60" s="197">
        <v>4395</v>
      </c>
      <c r="H60" s="196">
        <v>40</v>
      </c>
      <c r="I60" s="197">
        <v>100</v>
      </c>
      <c r="J60" s="268">
        <f t="shared" si="6"/>
        <v>4000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43607</v>
      </c>
      <c r="D61" s="196" t="s">
        <v>16</v>
      </c>
      <c r="E61" s="196" t="s">
        <v>25</v>
      </c>
      <c r="F61" s="197">
        <v>4370</v>
      </c>
      <c r="G61" s="197">
        <v>4390</v>
      </c>
      <c r="H61" s="196">
        <v>20</v>
      </c>
      <c r="I61" s="197">
        <v>100</v>
      </c>
      <c r="J61" s="268">
        <f t="shared" si="6"/>
        <v>2000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43608</v>
      </c>
      <c r="D62" s="196" t="s">
        <v>23</v>
      </c>
      <c r="E62" s="196" t="s">
        <v>25</v>
      </c>
      <c r="F62" s="197">
        <v>4240</v>
      </c>
      <c r="G62" s="197">
        <v>4180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43609</v>
      </c>
      <c r="D63" s="196" t="s">
        <v>23</v>
      </c>
      <c r="E63" s="196" t="s">
        <v>25</v>
      </c>
      <c r="F63" s="197">
        <v>4100</v>
      </c>
      <c r="G63" s="197">
        <v>4040</v>
      </c>
      <c r="H63" s="196">
        <v>40</v>
      </c>
      <c r="I63" s="197">
        <v>100</v>
      </c>
      <c r="J63" s="268">
        <f t="shared" si="6"/>
        <v>4000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43612</v>
      </c>
      <c r="D64" s="196" t="s">
        <v>23</v>
      </c>
      <c r="E64" s="196" t="s">
        <v>25</v>
      </c>
      <c r="F64" s="197">
        <v>4075</v>
      </c>
      <c r="G64" s="197">
        <v>4055</v>
      </c>
      <c r="H64" s="196">
        <v>20</v>
      </c>
      <c r="I64" s="197">
        <v>100</v>
      </c>
      <c r="J64" s="268">
        <f t="shared" si="6"/>
        <v>2000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43613</v>
      </c>
      <c r="D65" s="196" t="s">
        <v>23</v>
      </c>
      <c r="E65" s="196" t="s">
        <v>25</v>
      </c>
      <c r="F65" s="197">
        <v>4145</v>
      </c>
      <c r="G65" s="197">
        <v>4105</v>
      </c>
      <c r="H65" s="196">
        <v>40</v>
      </c>
      <c r="I65" s="197">
        <v>100</v>
      </c>
      <c r="J65" s="268">
        <f t="shared" si="6"/>
        <v>4000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43614</v>
      </c>
      <c r="D66" s="196" t="s">
        <v>23</v>
      </c>
      <c r="E66" s="196" t="s">
        <v>25</v>
      </c>
      <c r="F66" s="197">
        <v>4030</v>
      </c>
      <c r="G66" s="197">
        <v>3990</v>
      </c>
      <c r="H66" s="196">
        <v>40</v>
      </c>
      <c r="I66" s="197">
        <v>100</v>
      </c>
      <c r="J66" s="268">
        <f t="shared" si="6"/>
        <v>4000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43615</v>
      </c>
      <c r="D67" s="196" t="s">
        <v>23</v>
      </c>
      <c r="E67" s="196" t="s">
        <v>25</v>
      </c>
      <c r="F67" s="197">
        <v>4135</v>
      </c>
      <c r="G67" s="197">
        <v>4075</v>
      </c>
      <c r="H67" s="196">
        <v>60</v>
      </c>
      <c r="I67" s="197">
        <v>100</v>
      </c>
      <c r="J67" s="268">
        <f t="shared" si="6"/>
        <v>6000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>
        <v>43616</v>
      </c>
      <c r="D68" s="196" t="s">
        <v>23</v>
      </c>
      <c r="E68" s="196" t="s">
        <v>25</v>
      </c>
      <c r="F68" s="197">
        <v>3930</v>
      </c>
      <c r="G68" s="197">
        <v>3870</v>
      </c>
      <c r="H68" s="196">
        <v>60</v>
      </c>
      <c r="I68" s="197">
        <v>100</v>
      </c>
      <c r="J68" s="268">
        <f t="shared" si="6"/>
        <v>6000</v>
      </c>
      <c r="K68" s="185"/>
      <c r="V68" s="183">
        <f t="shared" si="7"/>
        <v>1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04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64700</v>
      </c>
      <c r="K70" s="185"/>
      <c r="V70" s="183">
        <f>SUM(V47:V69)</f>
        <v>19</v>
      </c>
      <c r="W70" s="183">
        <f>SUM(W47:W69)</f>
        <v>3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43586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43587</v>
      </c>
      <c r="D78" s="216" t="s">
        <v>16</v>
      </c>
      <c r="E78" s="256" t="s">
        <v>28</v>
      </c>
      <c r="F78" s="256">
        <v>218.7</v>
      </c>
      <c r="G78" s="256">
        <v>219.3</v>
      </c>
      <c r="H78" s="256">
        <v>0.5</v>
      </c>
      <c r="I78" s="218">
        <v>5000</v>
      </c>
      <c r="J78" s="273">
        <f>I78*H78</f>
        <v>2500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43588</v>
      </c>
      <c r="D79" s="196" t="s">
        <v>23</v>
      </c>
      <c r="E79" s="222" t="s">
        <v>28</v>
      </c>
      <c r="F79" s="222">
        <v>218.3</v>
      </c>
      <c r="G79" s="222">
        <v>219.3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43591</v>
      </c>
      <c r="D80" s="196" t="s">
        <v>16</v>
      </c>
      <c r="E80" s="222" t="s">
        <v>28</v>
      </c>
      <c r="F80" s="222">
        <v>218.4</v>
      </c>
      <c r="G80" s="222">
        <v>219.4</v>
      </c>
      <c r="H80" s="222">
        <v>1</v>
      </c>
      <c r="I80" s="197">
        <v>5000</v>
      </c>
      <c r="J80" s="268">
        <f t="shared" si="9"/>
        <v>5000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43592</v>
      </c>
      <c r="D81" s="196" t="s">
        <v>23</v>
      </c>
      <c r="E81" s="222" t="s">
        <v>28</v>
      </c>
      <c r="F81" s="222">
        <v>216.8</v>
      </c>
      <c r="G81" s="222">
        <v>216.3</v>
      </c>
      <c r="H81" s="222">
        <v>0.5</v>
      </c>
      <c r="I81" s="197">
        <v>5000</v>
      </c>
      <c r="J81" s="268">
        <f t="shared" si="9"/>
        <v>2500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43593</v>
      </c>
      <c r="D82" s="196" t="s">
        <v>23</v>
      </c>
      <c r="E82" s="222" t="s">
        <v>28</v>
      </c>
      <c r="F82" s="222">
        <v>214.5</v>
      </c>
      <c r="G82" s="222">
        <v>213.9</v>
      </c>
      <c r="H82" s="222">
        <v>0.6</v>
      </c>
      <c r="I82" s="197">
        <v>5000</v>
      </c>
      <c r="J82" s="268">
        <f t="shared" si="9"/>
        <v>3000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43594</v>
      </c>
      <c r="D83" s="196" t="s">
        <v>23</v>
      </c>
      <c r="E83" s="222" t="s">
        <v>28</v>
      </c>
      <c r="F83" s="222">
        <v>212.8</v>
      </c>
      <c r="G83" s="222">
        <v>213.8</v>
      </c>
      <c r="H83" s="222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7</v>
      </c>
      <c r="C84" s="195">
        <v>43595</v>
      </c>
      <c r="D84" s="196" t="s">
        <v>23</v>
      </c>
      <c r="E84" s="222" t="s">
        <v>28</v>
      </c>
      <c r="F84" s="222">
        <v>214.85</v>
      </c>
      <c r="G84" s="222">
        <v>214.35</v>
      </c>
      <c r="H84" s="274">
        <v>0.5</v>
      </c>
      <c r="I84" s="197">
        <v>5000</v>
      </c>
      <c r="J84" s="268">
        <f t="shared" si="9"/>
        <v>2500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43598</v>
      </c>
      <c r="D85" s="196" t="s">
        <v>23</v>
      </c>
      <c r="E85" s="222" t="s">
        <v>28</v>
      </c>
      <c r="F85" s="222">
        <v>214.9</v>
      </c>
      <c r="G85" s="222">
        <v>212.9</v>
      </c>
      <c r="H85" s="222">
        <v>2</v>
      </c>
      <c r="I85" s="197">
        <v>5000</v>
      </c>
      <c r="J85" s="268">
        <f t="shared" si="9"/>
        <v>10000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43599</v>
      </c>
      <c r="D86" s="196" t="s">
        <v>23</v>
      </c>
      <c r="E86" s="222" t="s">
        <v>28</v>
      </c>
      <c r="F86" s="222">
        <v>213.2</v>
      </c>
      <c r="G86" s="222">
        <v>212.6</v>
      </c>
      <c r="H86" s="222">
        <v>0.6</v>
      </c>
      <c r="I86" s="197">
        <v>5000</v>
      </c>
      <c r="J86" s="268">
        <f t="shared" si="9"/>
        <v>3000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43600</v>
      </c>
      <c r="D87" s="196" t="s">
        <v>23</v>
      </c>
      <c r="E87" s="222" t="s">
        <v>28</v>
      </c>
      <c r="F87" s="222">
        <v>215</v>
      </c>
      <c r="G87" s="222">
        <v>216</v>
      </c>
      <c r="H87" s="222">
        <v>-1</v>
      </c>
      <c r="I87" s="197">
        <v>5000</v>
      </c>
      <c r="J87" s="268">
        <f t="shared" si="9"/>
        <v>-5000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11</v>
      </c>
      <c r="C88" s="195">
        <v>43601</v>
      </c>
      <c r="D88" s="196" t="s">
        <v>23</v>
      </c>
      <c r="E88" s="222" t="s">
        <v>28</v>
      </c>
      <c r="F88" s="222">
        <v>217.2</v>
      </c>
      <c r="G88" s="222">
        <v>216.65</v>
      </c>
      <c r="H88" s="274">
        <v>0.55000000000000004</v>
      </c>
      <c r="I88" s="197">
        <v>5000</v>
      </c>
      <c r="J88" s="268">
        <f t="shared" si="9"/>
        <v>2750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43602</v>
      </c>
      <c r="D89" s="196" t="s">
        <v>16</v>
      </c>
      <c r="E89" s="222" t="s">
        <v>28</v>
      </c>
      <c r="F89" s="222">
        <v>216</v>
      </c>
      <c r="G89" s="222">
        <v>216.4</v>
      </c>
      <c r="H89" s="274">
        <v>0.4</v>
      </c>
      <c r="I89" s="197">
        <v>5000</v>
      </c>
      <c r="J89" s="268">
        <f t="shared" si="9"/>
        <v>2000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43605</v>
      </c>
      <c r="D90" s="196" t="s">
        <v>23</v>
      </c>
      <c r="E90" s="222" t="s">
        <v>28</v>
      </c>
      <c r="F90" s="222">
        <v>211.8</v>
      </c>
      <c r="G90" s="222">
        <v>212.8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43606</v>
      </c>
      <c r="D91" s="196" t="s">
        <v>16</v>
      </c>
      <c r="E91" s="222" t="s">
        <v>28</v>
      </c>
      <c r="F91" s="222">
        <v>214</v>
      </c>
      <c r="G91" s="222">
        <v>213</v>
      </c>
      <c r="H91" s="274">
        <v>-1</v>
      </c>
      <c r="I91" s="197">
        <v>5000</v>
      </c>
      <c r="J91" s="268">
        <f t="shared" si="9"/>
        <v>-5000</v>
      </c>
      <c r="K91" s="185"/>
      <c r="V91" s="183">
        <f t="shared" si="10"/>
        <v>0</v>
      </c>
      <c r="W91" s="183">
        <f t="shared" si="11"/>
        <v>1</v>
      </c>
    </row>
    <row r="92" spans="1:23" x14ac:dyDescent="0.3">
      <c r="A92" s="184"/>
      <c r="B92" s="194">
        <v>15</v>
      </c>
      <c r="C92" s="195">
        <v>43607</v>
      </c>
      <c r="D92" s="196" t="s">
        <v>23</v>
      </c>
      <c r="E92" s="222" t="s">
        <v>28</v>
      </c>
      <c r="F92" s="223">
        <v>212.6</v>
      </c>
      <c r="G92" s="222">
        <v>211.6</v>
      </c>
      <c r="H92" s="274">
        <v>1</v>
      </c>
      <c r="I92" s="197">
        <v>5000</v>
      </c>
      <c r="J92" s="268">
        <f t="shared" si="9"/>
        <v>5000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43608</v>
      </c>
      <c r="D93" s="196" t="s">
        <v>16</v>
      </c>
      <c r="E93" s="222" t="s">
        <v>28</v>
      </c>
      <c r="F93" s="222">
        <v>209.7</v>
      </c>
      <c r="G93" s="222">
        <v>210.2</v>
      </c>
      <c r="H93" s="274">
        <v>0.5</v>
      </c>
      <c r="I93" s="197">
        <v>5000</v>
      </c>
      <c r="J93" s="268">
        <f t="shared" si="9"/>
        <v>2500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43609</v>
      </c>
      <c r="D94" s="196" t="s">
        <v>16</v>
      </c>
      <c r="E94" s="222" t="s">
        <v>28</v>
      </c>
      <c r="F94" s="222">
        <v>213.5</v>
      </c>
      <c r="G94" s="222">
        <v>214.2</v>
      </c>
      <c r="H94" s="274">
        <v>0.7</v>
      </c>
      <c r="I94" s="197">
        <v>5000</v>
      </c>
      <c r="J94" s="268">
        <f t="shared" si="9"/>
        <v>3500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43612</v>
      </c>
      <c r="D95" s="196" t="s">
        <v>16</v>
      </c>
      <c r="E95" s="222" t="s">
        <v>28</v>
      </c>
      <c r="F95" s="222">
        <v>214.8</v>
      </c>
      <c r="G95" s="222">
        <v>215.2</v>
      </c>
      <c r="H95" s="274">
        <v>0.4</v>
      </c>
      <c r="I95" s="197">
        <v>5000</v>
      </c>
      <c r="J95" s="268">
        <f t="shared" si="9"/>
        <v>2000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43613</v>
      </c>
      <c r="D96" s="196" t="s">
        <v>23</v>
      </c>
      <c r="E96" s="222" t="s">
        <v>28</v>
      </c>
      <c r="F96" s="222">
        <v>214</v>
      </c>
      <c r="G96" s="222">
        <v>212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43614</v>
      </c>
      <c r="D97" s="196" t="s">
        <v>16</v>
      </c>
      <c r="E97" s="222" t="s">
        <v>28</v>
      </c>
      <c r="F97" s="222">
        <v>210</v>
      </c>
      <c r="G97" s="222">
        <v>211</v>
      </c>
      <c r="H97" s="274">
        <v>1</v>
      </c>
      <c r="I97" s="197">
        <v>5000</v>
      </c>
      <c r="J97" s="268">
        <f t="shared" si="9"/>
        <v>5000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21</v>
      </c>
      <c r="C98" s="195">
        <v>43615</v>
      </c>
      <c r="D98" s="196" t="s">
        <v>23</v>
      </c>
      <c r="E98" s="222" t="s">
        <v>28</v>
      </c>
      <c r="F98" s="222">
        <v>209.5</v>
      </c>
      <c r="G98" s="222">
        <v>210.5</v>
      </c>
      <c r="H98" s="274">
        <v>-1</v>
      </c>
      <c r="I98" s="197">
        <v>5000</v>
      </c>
      <c r="J98" s="268">
        <f t="shared" si="9"/>
        <v>-5000</v>
      </c>
      <c r="K98" s="185"/>
      <c r="V98" s="183">
        <f t="shared" si="10"/>
        <v>0</v>
      </c>
      <c r="W98" s="183">
        <f t="shared" si="11"/>
        <v>1</v>
      </c>
    </row>
    <row r="99" spans="1:23" x14ac:dyDescent="0.3">
      <c r="A99" s="184"/>
      <c r="B99" s="194">
        <v>22</v>
      </c>
      <c r="C99" s="195">
        <v>43616</v>
      </c>
      <c r="D99" s="196" t="s">
        <v>16</v>
      </c>
      <c r="E99" s="222" t="s">
        <v>28</v>
      </c>
      <c r="F99" s="222">
        <v>208.7</v>
      </c>
      <c r="G99" s="222">
        <v>207.8</v>
      </c>
      <c r="H99" s="222">
        <v>-1</v>
      </c>
      <c r="I99" s="197">
        <v>5000</v>
      </c>
      <c r="J99" s="268">
        <f t="shared" si="9"/>
        <v>-5000</v>
      </c>
      <c r="K99" s="185"/>
      <c r="V99" s="183">
        <f t="shared" si="10"/>
        <v>0</v>
      </c>
      <c r="W99" s="183">
        <f t="shared" si="11"/>
        <v>1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26250</v>
      </c>
      <c r="K101" s="185"/>
      <c r="V101" s="183">
        <f>SUM(V78:V100)</f>
        <v>15</v>
      </c>
      <c r="W101" s="183">
        <f>SUM(W78:W100)</f>
        <v>7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4D00-000000000000}"/>
    <hyperlink ref="B70" r:id="rId2" xr:uid="{00000000-0004-0000-4D00-000001000000}"/>
    <hyperlink ref="M4:M5" location="'MAY 2019'!A1" display="BULLION" xr:uid="{00000000-0004-0000-4D00-000002000000}"/>
    <hyperlink ref="B101" r:id="rId3" xr:uid="{00000000-0004-0000-4D00-000003000000}"/>
    <hyperlink ref="M8:M9" location="'MAY 2019'!A86" display="BASE METAL" xr:uid="{00000000-0004-0000-4D00-000004000000}"/>
    <hyperlink ref="M1" location="MASTER!A1" display="Back" xr:uid="{00000000-0004-0000-4D00-000005000000}"/>
    <hyperlink ref="M6:M7" location="'MAY 2019'!A54" display="ENERGY" xr:uid="{00000000-0004-0000-4D00-000006000000}"/>
  </hyperlinks>
  <pageMargins left="0" right="0" top="0" bottom="0" header="0" footer="0"/>
  <pageSetup paperSize="9" orientation="portrait" r:id="rId4"/>
  <drawing r:id="rId5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W102"/>
  <sheetViews>
    <sheetView topLeftCell="A34" workbookViewId="0">
      <selection activeCell="M40" sqref="M4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43617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18</v>
      </c>
      <c r="O4" s="355">
        <f>V39</f>
        <v>12</v>
      </c>
      <c r="P4" s="355">
        <f>W39</f>
        <v>6</v>
      </c>
      <c r="Q4" s="356">
        <f>N4-O4-P4</f>
        <v>0</v>
      </c>
      <c r="R4" s="343">
        <f>O4/N4</f>
        <v>0.66666666666666663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43619</v>
      </c>
      <c r="D6" s="192" t="s">
        <v>23</v>
      </c>
      <c r="E6" s="192" t="s">
        <v>24</v>
      </c>
      <c r="F6" s="193">
        <v>32330</v>
      </c>
      <c r="G6" s="193">
        <v>32270</v>
      </c>
      <c r="H6" s="192">
        <v>60</v>
      </c>
      <c r="I6" s="193">
        <v>100</v>
      </c>
      <c r="J6" s="267">
        <f>H6*I6</f>
        <v>6000</v>
      </c>
      <c r="K6" s="185"/>
      <c r="M6" s="364" t="s">
        <v>258</v>
      </c>
      <c r="N6" s="347">
        <f>COUNT(C47:C69)</f>
        <v>17</v>
      </c>
      <c r="O6" s="348">
        <f>V70</f>
        <v>11</v>
      </c>
      <c r="P6" s="348">
        <f>W70</f>
        <v>6</v>
      </c>
      <c r="Q6" s="349">
        <f>N6-O6-P6</f>
        <v>0</v>
      </c>
      <c r="R6" s="345">
        <f t="shared" ref="R6" si="0">O6/N6</f>
        <v>0.6470588235294118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43620</v>
      </c>
      <c r="D7" s="196" t="s">
        <v>16</v>
      </c>
      <c r="E7" s="196" t="s">
        <v>24</v>
      </c>
      <c r="F7" s="197">
        <v>32540</v>
      </c>
      <c r="G7" s="197">
        <v>32640</v>
      </c>
      <c r="H7" s="196">
        <v>100</v>
      </c>
      <c r="I7" s="197">
        <v>100</v>
      </c>
      <c r="J7" s="268">
        <f t="shared" ref="J7:J38" si="1">H7*I7</f>
        <v>10000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43622</v>
      </c>
      <c r="D8" s="196" t="s">
        <v>16</v>
      </c>
      <c r="E8" s="196" t="s">
        <v>24</v>
      </c>
      <c r="F8" s="197">
        <v>32760</v>
      </c>
      <c r="G8" s="197">
        <v>32813</v>
      </c>
      <c r="H8" s="196">
        <v>53</v>
      </c>
      <c r="I8" s="197">
        <v>100</v>
      </c>
      <c r="J8" s="268">
        <f t="shared" si="1"/>
        <v>5300</v>
      </c>
      <c r="K8" s="185"/>
      <c r="M8" s="362" t="s">
        <v>877</v>
      </c>
      <c r="N8" s="347">
        <f>COUNT(C78:C100)</f>
        <v>18</v>
      </c>
      <c r="O8" s="348">
        <f>V101</f>
        <v>13</v>
      </c>
      <c r="P8" s="348">
        <f>W101</f>
        <v>5</v>
      </c>
      <c r="Q8" s="349">
        <f>N8-O8-P8</f>
        <v>0</v>
      </c>
      <c r="R8" s="345">
        <f t="shared" ref="R8" si="4">O8/N8</f>
        <v>0.72222222222222221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43623</v>
      </c>
      <c r="D9" s="196" t="s">
        <v>16</v>
      </c>
      <c r="E9" s="196" t="s">
        <v>24</v>
      </c>
      <c r="F9" s="197">
        <v>32680</v>
      </c>
      <c r="G9" s="197">
        <v>32880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43627</v>
      </c>
      <c r="D10" s="196" t="s">
        <v>23</v>
      </c>
      <c r="E10" s="196" t="s">
        <v>24</v>
      </c>
      <c r="F10" s="197">
        <v>32640</v>
      </c>
      <c r="G10" s="197">
        <v>32500</v>
      </c>
      <c r="H10" s="196">
        <v>140</v>
      </c>
      <c r="I10" s="197">
        <v>100</v>
      </c>
      <c r="J10" s="268">
        <f t="shared" si="1"/>
        <v>14000</v>
      </c>
      <c r="K10" s="185"/>
      <c r="M10" s="319" t="s">
        <v>300</v>
      </c>
      <c r="N10" s="321">
        <f>SUM(N4:N9)</f>
        <v>53</v>
      </c>
      <c r="O10" s="321">
        <f>SUM(O4:O9)</f>
        <v>36</v>
      </c>
      <c r="P10" s="321">
        <f>SUM(P4:P9)</f>
        <v>17</v>
      </c>
      <c r="Q10" s="341">
        <f>SUM(Q4:Q9)</f>
        <v>0</v>
      </c>
      <c r="R10" s="343">
        <f t="shared" ref="R10" si="5">O10/N10</f>
        <v>0.67924528301886788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43628</v>
      </c>
      <c r="D11" s="196" t="s">
        <v>16</v>
      </c>
      <c r="E11" s="196" t="s">
        <v>24</v>
      </c>
      <c r="F11" s="197">
        <v>32790</v>
      </c>
      <c r="G11" s="197">
        <v>32750</v>
      </c>
      <c r="H11" s="196">
        <v>-4</v>
      </c>
      <c r="I11" s="197">
        <v>100</v>
      </c>
      <c r="J11" s="268">
        <f t="shared" si="1"/>
        <v>-400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43629</v>
      </c>
      <c r="D12" s="196" t="s">
        <v>23</v>
      </c>
      <c r="E12" s="196" t="s">
        <v>24</v>
      </c>
      <c r="F12" s="197">
        <v>32860</v>
      </c>
      <c r="G12" s="197">
        <v>32925</v>
      </c>
      <c r="H12" s="196">
        <v>-65</v>
      </c>
      <c r="I12" s="197">
        <v>100</v>
      </c>
      <c r="J12" s="268">
        <f t="shared" si="1"/>
        <v>-6500</v>
      </c>
      <c r="K12" s="185"/>
      <c r="M12" s="323" t="s">
        <v>878</v>
      </c>
      <c r="N12" s="324"/>
      <c r="O12" s="325"/>
      <c r="P12" s="332">
        <f>R10</f>
        <v>0.67924528301886788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43630</v>
      </c>
      <c r="D13" s="196" t="s">
        <v>16</v>
      </c>
      <c r="E13" s="196" t="s">
        <v>24</v>
      </c>
      <c r="F13" s="197">
        <v>33200</v>
      </c>
      <c r="G13" s="197">
        <v>33340</v>
      </c>
      <c r="H13" s="196">
        <v>140</v>
      </c>
      <c r="I13" s="197">
        <v>100</v>
      </c>
      <c r="J13" s="268">
        <f t="shared" si="1"/>
        <v>14000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43633</v>
      </c>
      <c r="D14" s="196" t="s">
        <v>23</v>
      </c>
      <c r="E14" s="196" t="s">
        <v>24</v>
      </c>
      <c r="F14" s="197">
        <v>33020</v>
      </c>
      <c r="G14" s="197">
        <v>32920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43634</v>
      </c>
      <c r="D15" s="196" t="s">
        <v>16</v>
      </c>
      <c r="E15" s="196" t="s">
        <v>24</v>
      </c>
      <c r="F15" s="197">
        <v>33060</v>
      </c>
      <c r="G15" s="197">
        <v>33210</v>
      </c>
      <c r="H15" s="196">
        <v>150</v>
      </c>
      <c r="I15" s="197">
        <v>100</v>
      </c>
      <c r="J15" s="268">
        <f t="shared" si="1"/>
        <v>15000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43635</v>
      </c>
      <c r="D16" s="196" t="s">
        <v>16</v>
      </c>
      <c r="E16" s="196" t="s">
        <v>24</v>
      </c>
      <c r="F16" s="197">
        <v>33050</v>
      </c>
      <c r="G16" s="197">
        <v>33250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43636</v>
      </c>
      <c r="D17" s="196" t="s">
        <v>16</v>
      </c>
      <c r="E17" s="196" t="s">
        <v>24</v>
      </c>
      <c r="F17" s="197">
        <v>33870</v>
      </c>
      <c r="G17" s="197">
        <v>33770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43637</v>
      </c>
      <c r="D18" s="196" t="s">
        <v>16</v>
      </c>
      <c r="E18" s="196" t="s">
        <v>24</v>
      </c>
      <c r="F18" s="197">
        <v>34070</v>
      </c>
      <c r="G18" s="197">
        <v>33910</v>
      </c>
      <c r="H18" s="196">
        <v>160</v>
      </c>
      <c r="I18" s="197">
        <v>100</v>
      </c>
      <c r="J18" s="268">
        <f t="shared" si="1"/>
        <v>16000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43640</v>
      </c>
      <c r="D19" s="196" t="s">
        <v>16</v>
      </c>
      <c r="E19" s="196" t="s">
        <v>24</v>
      </c>
      <c r="F19" s="197">
        <v>34320</v>
      </c>
      <c r="G19" s="197">
        <v>34455</v>
      </c>
      <c r="H19" s="196">
        <v>135</v>
      </c>
      <c r="I19" s="197">
        <v>100</v>
      </c>
      <c r="J19" s="268">
        <f t="shared" si="1"/>
        <v>13500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43641</v>
      </c>
      <c r="D20" s="196" t="s">
        <v>23</v>
      </c>
      <c r="E20" s="196" t="s">
        <v>24</v>
      </c>
      <c r="F20" s="197">
        <v>34640</v>
      </c>
      <c r="G20" s="197">
        <v>34740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43642</v>
      </c>
      <c r="D21" s="196" t="s">
        <v>23</v>
      </c>
      <c r="E21" s="196" t="s">
        <v>24</v>
      </c>
      <c r="F21" s="197">
        <v>34260</v>
      </c>
      <c r="G21" s="197">
        <v>34185</v>
      </c>
      <c r="H21" s="196">
        <v>75</v>
      </c>
      <c r="I21" s="197">
        <v>100</v>
      </c>
      <c r="J21" s="268">
        <f t="shared" si="1"/>
        <v>7500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43643</v>
      </c>
      <c r="D22" s="196" t="s">
        <v>16</v>
      </c>
      <c r="E22" s="196" t="s">
        <v>24</v>
      </c>
      <c r="F22" s="197">
        <v>34150</v>
      </c>
      <c r="G22" s="197">
        <v>34050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43644</v>
      </c>
      <c r="D23" s="196" t="s">
        <v>16</v>
      </c>
      <c r="E23" s="196" t="s">
        <v>24</v>
      </c>
      <c r="F23" s="197">
        <v>34280</v>
      </c>
      <c r="G23" s="197">
        <v>34180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104400</v>
      </c>
      <c r="K39" s="185"/>
      <c r="V39" s="183">
        <f>SUM(V6:V38)</f>
        <v>12</v>
      </c>
      <c r="W39" s="183">
        <f>SUM(W6:W38)</f>
        <v>6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43617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43619</v>
      </c>
      <c r="D47" s="192" t="s">
        <v>23</v>
      </c>
      <c r="E47" s="192" t="s">
        <v>25</v>
      </c>
      <c r="F47" s="193">
        <v>3685</v>
      </c>
      <c r="G47" s="193">
        <v>3715</v>
      </c>
      <c r="H47" s="192">
        <v>-30</v>
      </c>
      <c r="I47" s="193">
        <v>100</v>
      </c>
      <c r="J47" s="267">
        <f t="shared" ref="J47:J69" si="6">I47*H47</f>
        <v>-3000</v>
      </c>
      <c r="K47" s="185"/>
      <c r="V47" s="183">
        <f>IF($J47&gt;0,1,0)</f>
        <v>0</v>
      </c>
      <c r="W47" s="183">
        <f>IF($J47&lt;0,1,0)</f>
        <v>1</v>
      </c>
    </row>
    <row r="48" spans="1:23" x14ac:dyDescent="0.3">
      <c r="A48" s="184"/>
      <c r="B48" s="194">
        <v>2</v>
      </c>
      <c r="C48" s="195">
        <v>43620</v>
      </c>
      <c r="D48" s="196" t="s">
        <v>23</v>
      </c>
      <c r="E48" s="196" t="s">
        <v>25</v>
      </c>
      <c r="F48" s="197">
        <v>3685</v>
      </c>
      <c r="G48" s="197">
        <v>3645</v>
      </c>
      <c r="H48" s="196">
        <v>40</v>
      </c>
      <c r="I48" s="197">
        <v>100</v>
      </c>
      <c r="J48" s="268">
        <f t="shared" si="6"/>
        <v>4000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43622</v>
      </c>
      <c r="D49" s="196" t="s">
        <v>23</v>
      </c>
      <c r="E49" s="196" t="s">
        <v>25</v>
      </c>
      <c r="F49" s="197">
        <v>3610</v>
      </c>
      <c r="G49" s="197">
        <v>3570</v>
      </c>
      <c r="H49" s="196">
        <v>40</v>
      </c>
      <c r="I49" s="197">
        <v>100</v>
      </c>
      <c r="J49" s="268">
        <f t="shared" si="6"/>
        <v>4000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43623</v>
      </c>
      <c r="D50" s="196" t="s">
        <v>23</v>
      </c>
      <c r="E50" s="196" t="s">
        <v>25</v>
      </c>
      <c r="F50" s="197">
        <v>3730</v>
      </c>
      <c r="G50" s="197">
        <v>3670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43627</v>
      </c>
      <c r="D51" s="196" t="s">
        <v>23</v>
      </c>
      <c r="E51" s="196" t="s">
        <v>25</v>
      </c>
      <c r="F51" s="197">
        <v>3745</v>
      </c>
      <c r="G51" s="197">
        <v>3705</v>
      </c>
      <c r="H51" s="196">
        <v>40</v>
      </c>
      <c r="I51" s="197">
        <v>100</v>
      </c>
      <c r="J51" s="268">
        <f t="shared" si="6"/>
        <v>4000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43628</v>
      </c>
      <c r="D52" s="196" t="s">
        <v>23</v>
      </c>
      <c r="E52" s="196" t="s">
        <v>25</v>
      </c>
      <c r="F52" s="197">
        <v>3635</v>
      </c>
      <c r="G52" s="197">
        <v>3575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43629</v>
      </c>
      <c r="D53" s="196" t="s">
        <v>23</v>
      </c>
      <c r="E53" s="196" t="s">
        <v>25</v>
      </c>
      <c r="F53" s="197">
        <v>3650</v>
      </c>
      <c r="G53" s="197">
        <v>3680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43630</v>
      </c>
      <c r="D54" s="196" t="s">
        <v>23</v>
      </c>
      <c r="E54" s="196" t="s">
        <v>25</v>
      </c>
      <c r="F54" s="197">
        <v>3645</v>
      </c>
      <c r="G54" s="197">
        <v>3605</v>
      </c>
      <c r="H54" s="196">
        <v>40</v>
      </c>
      <c r="I54" s="197">
        <v>100</v>
      </c>
      <c r="J54" s="268">
        <f t="shared" si="6"/>
        <v>4000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43633</v>
      </c>
      <c r="D55" s="196" t="s">
        <v>23</v>
      </c>
      <c r="E55" s="196" t="s">
        <v>25</v>
      </c>
      <c r="F55" s="197">
        <v>3675</v>
      </c>
      <c r="G55" s="197">
        <v>3625</v>
      </c>
      <c r="H55" s="196">
        <v>50</v>
      </c>
      <c r="I55" s="197">
        <v>100</v>
      </c>
      <c r="J55" s="268">
        <f t="shared" si="6"/>
        <v>5000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43634</v>
      </c>
      <c r="D56" s="196" t="s">
        <v>23</v>
      </c>
      <c r="E56" s="196" t="s">
        <v>25</v>
      </c>
      <c r="F56" s="197">
        <v>3625</v>
      </c>
      <c r="G56" s="197">
        <v>3595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43635</v>
      </c>
      <c r="D57" s="196" t="s">
        <v>23</v>
      </c>
      <c r="E57" s="196" t="s">
        <v>25</v>
      </c>
      <c r="F57" s="197">
        <v>3775</v>
      </c>
      <c r="G57" s="197">
        <v>3715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43636</v>
      </c>
      <c r="D58" s="196" t="s">
        <v>16</v>
      </c>
      <c r="E58" s="196" t="s">
        <v>25</v>
      </c>
      <c r="F58" s="197">
        <v>3895</v>
      </c>
      <c r="G58" s="197">
        <v>3865</v>
      </c>
      <c r="H58" s="196">
        <v>-30</v>
      </c>
      <c r="I58" s="197">
        <v>100</v>
      </c>
      <c r="J58" s="268">
        <f t="shared" si="6"/>
        <v>-3000</v>
      </c>
      <c r="K58" s="185"/>
      <c r="V58" s="183">
        <f t="shared" si="7"/>
        <v>0</v>
      </c>
      <c r="W58" s="183">
        <f t="shared" si="8"/>
        <v>1</v>
      </c>
    </row>
    <row r="59" spans="1:23" x14ac:dyDescent="0.3">
      <c r="A59" s="184"/>
      <c r="B59" s="194">
        <v>13</v>
      </c>
      <c r="C59" s="195">
        <v>43640</v>
      </c>
      <c r="D59" s="196" t="s">
        <v>16</v>
      </c>
      <c r="E59" s="196" t="s">
        <v>25</v>
      </c>
      <c r="F59" s="197">
        <v>4045</v>
      </c>
      <c r="G59" s="197">
        <v>4015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43641</v>
      </c>
      <c r="D60" s="196" t="s">
        <v>23</v>
      </c>
      <c r="E60" s="196" t="s">
        <v>25</v>
      </c>
      <c r="F60" s="197">
        <v>4020</v>
      </c>
      <c r="G60" s="197">
        <v>4050</v>
      </c>
      <c r="H60" s="196">
        <v>-30</v>
      </c>
      <c r="I60" s="197">
        <v>100</v>
      </c>
      <c r="J60" s="268">
        <f t="shared" si="6"/>
        <v>-3000</v>
      </c>
      <c r="K60" s="185"/>
      <c r="V60" s="183">
        <f t="shared" si="7"/>
        <v>0</v>
      </c>
      <c r="W60" s="183">
        <f t="shared" si="8"/>
        <v>1</v>
      </c>
    </row>
    <row r="61" spans="1:23" x14ac:dyDescent="0.3">
      <c r="A61" s="184"/>
      <c r="B61" s="194">
        <v>15</v>
      </c>
      <c r="C61" s="195">
        <v>43642</v>
      </c>
      <c r="D61" s="196" t="s">
        <v>16</v>
      </c>
      <c r="E61" s="196" t="s">
        <v>25</v>
      </c>
      <c r="F61" s="197">
        <v>4090</v>
      </c>
      <c r="G61" s="197">
        <v>4150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43643</v>
      </c>
      <c r="D62" s="196" t="s">
        <v>23</v>
      </c>
      <c r="E62" s="196" t="s">
        <v>25</v>
      </c>
      <c r="F62" s="197">
        <v>4075</v>
      </c>
      <c r="G62" s="197">
        <v>4105</v>
      </c>
      <c r="H62" s="196">
        <v>-30</v>
      </c>
      <c r="I62" s="197">
        <v>100</v>
      </c>
      <c r="J62" s="268">
        <f t="shared" si="6"/>
        <v>-3000</v>
      </c>
      <c r="K62" s="185"/>
      <c r="V62" s="183">
        <f t="shared" si="7"/>
        <v>0</v>
      </c>
      <c r="W62" s="183">
        <f t="shared" si="8"/>
        <v>1</v>
      </c>
    </row>
    <row r="63" spans="1:23" x14ac:dyDescent="0.3">
      <c r="A63" s="184"/>
      <c r="B63" s="194">
        <v>17</v>
      </c>
      <c r="C63" s="195">
        <v>43644</v>
      </c>
      <c r="D63" s="196" t="s">
        <v>23</v>
      </c>
      <c r="E63" s="196" t="s">
        <v>25</v>
      </c>
      <c r="F63" s="197">
        <v>4125</v>
      </c>
      <c r="G63" s="197">
        <v>4085</v>
      </c>
      <c r="H63" s="196">
        <v>40</v>
      </c>
      <c r="I63" s="197">
        <v>100</v>
      </c>
      <c r="J63" s="268">
        <f t="shared" si="6"/>
        <v>4000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/>
      <c r="D64" s="196"/>
      <c r="E64" s="196"/>
      <c r="F64" s="197"/>
      <c r="G64" s="197"/>
      <c r="H64" s="196"/>
      <c r="I64" s="197"/>
      <c r="J64" s="268">
        <f t="shared" si="6"/>
        <v>0</v>
      </c>
      <c r="K64" s="185"/>
      <c r="V64" s="183">
        <f t="shared" si="7"/>
        <v>0</v>
      </c>
      <c r="W64" s="183">
        <f t="shared" si="8"/>
        <v>0</v>
      </c>
    </row>
    <row r="65" spans="1:23" x14ac:dyDescent="0.3">
      <c r="A65" s="184"/>
      <c r="B65" s="194">
        <v>19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04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32000</v>
      </c>
      <c r="K70" s="185"/>
      <c r="V70" s="183">
        <f>SUM(V47:V69)</f>
        <v>11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43617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43619</v>
      </c>
      <c r="D78" s="216" t="s">
        <v>23</v>
      </c>
      <c r="E78" s="256" t="s">
        <v>28</v>
      </c>
      <c r="F78" s="256">
        <v>204</v>
      </c>
      <c r="G78" s="256">
        <v>202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43620</v>
      </c>
      <c r="D79" s="196" t="s">
        <v>16</v>
      </c>
      <c r="E79" s="222" t="s">
        <v>28</v>
      </c>
      <c r="F79" s="222">
        <v>200.9</v>
      </c>
      <c r="G79" s="222">
        <v>202.9</v>
      </c>
      <c r="H79" s="222">
        <v>2</v>
      </c>
      <c r="I79" s="197">
        <v>5000</v>
      </c>
      <c r="J79" s="268">
        <f t="shared" ref="J79:J100" si="9">I79*H79</f>
        <v>10000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43622</v>
      </c>
      <c r="D80" s="196" t="s">
        <v>23</v>
      </c>
      <c r="E80" s="222" t="s">
        <v>28</v>
      </c>
      <c r="F80" s="222">
        <v>204.8</v>
      </c>
      <c r="G80" s="222">
        <v>202.8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43623</v>
      </c>
      <c r="D81" s="196" t="s">
        <v>23</v>
      </c>
      <c r="E81" s="222" t="s">
        <v>28</v>
      </c>
      <c r="F81" s="222">
        <v>205.8</v>
      </c>
      <c r="G81" s="222">
        <v>203.8</v>
      </c>
      <c r="H81" s="222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43627</v>
      </c>
      <c r="D82" s="196" t="s">
        <v>23</v>
      </c>
      <c r="E82" s="222" t="s">
        <v>28</v>
      </c>
      <c r="F82" s="222">
        <v>206</v>
      </c>
      <c r="G82" s="222">
        <v>207</v>
      </c>
      <c r="H82" s="222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6</v>
      </c>
      <c r="C83" s="195">
        <v>43628</v>
      </c>
      <c r="D83" s="196" t="s">
        <v>23</v>
      </c>
      <c r="E83" s="222" t="s">
        <v>28</v>
      </c>
      <c r="F83" s="222">
        <v>205.3</v>
      </c>
      <c r="G83" s="222">
        <v>206.3</v>
      </c>
      <c r="H83" s="222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7</v>
      </c>
      <c r="C84" s="195">
        <v>43629</v>
      </c>
      <c r="D84" s="196" t="s">
        <v>16</v>
      </c>
      <c r="E84" s="222" t="s">
        <v>28</v>
      </c>
      <c r="F84" s="222">
        <v>204.9</v>
      </c>
      <c r="G84" s="222">
        <v>205.85</v>
      </c>
      <c r="H84" s="274">
        <v>1.85</v>
      </c>
      <c r="I84" s="197">
        <v>5000</v>
      </c>
      <c r="J84" s="268">
        <f t="shared" si="9"/>
        <v>9250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43630</v>
      </c>
      <c r="D85" s="196" t="s">
        <v>23</v>
      </c>
      <c r="E85" s="222" t="s">
        <v>28</v>
      </c>
      <c r="F85" s="222">
        <v>204.4</v>
      </c>
      <c r="G85" s="222">
        <v>203.4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43633</v>
      </c>
      <c r="D86" s="196" t="s">
        <v>16</v>
      </c>
      <c r="E86" s="222" t="s">
        <v>28</v>
      </c>
      <c r="F86" s="222">
        <v>204.4</v>
      </c>
      <c r="G86" s="222">
        <v>203.4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43634</v>
      </c>
      <c r="D87" s="196" t="s">
        <v>16</v>
      </c>
      <c r="E87" s="222" t="s">
        <v>28</v>
      </c>
      <c r="F87" s="222">
        <v>205.1</v>
      </c>
      <c r="G87" s="222">
        <v>207.1</v>
      </c>
      <c r="H87" s="222">
        <v>2</v>
      </c>
      <c r="I87" s="197">
        <v>5000</v>
      </c>
      <c r="J87" s="268">
        <f t="shared" si="9"/>
        <v>10000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43635</v>
      </c>
      <c r="D88" s="196" t="s">
        <v>16</v>
      </c>
      <c r="E88" s="222" t="s">
        <v>28</v>
      </c>
      <c r="F88" s="222">
        <v>207.3</v>
      </c>
      <c r="G88" s="222">
        <v>207.8</v>
      </c>
      <c r="H88" s="274">
        <v>0.5</v>
      </c>
      <c r="I88" s="197">
        <v>5000</v>
      </c>
      <c r="J88" s="268">
        <f t="shared" si="9"/>
        <v>2500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43636</v>
      </c>
      <c r="D89" s="196" t="s">
        <v>16</v>
      </c>
      <c r="E89" s="222" t="s">
        <v>28</v>
      </c>
      <c r="F89" s="222">
        <v>207.7</v>
      </c>
      <c r="G89" s="222">
        <v>206.7</v>
      </c>
      <c r="H89" s="274">
        <v>-1</v>
      </c>
      <c r="I89" s="197">
        <v>5000</v>
      </c>
      <c r="J89" s="268">
        <f t="shared" si="9"/>
        <v>-5000</v>
      </c>
      <c r="K89" s="185"/>
      <c r="V89" s="183">
        <f t="shared" si="10"/>
        <v>0</v>
      </c>
      <c r="W89" s="183">
        <f t="shared" si="11"/>
        <v>1</v>
      </c>
    </row>
    <row r="90" spans="1:23" x14ac:dyDescent="0.3">
      <c r="A90" s="184"/>
      <c r="B90" s="194">
        <v>13</v>
      </c>
      <c r="C90" s="195">
        <v>43637</v>
      </c>
      <c r="D90" s="196" t="s">
        <v>16</v>
      </c>
      <c r="E90" s="222" t="s">
        <v>28</v>
      </c>
      <c r="F90" s="222">
        <v>203</v>
      </c>
      <c r="G90" s="222">
        <v>201</v>
      </c>
      <c r="H90" s="274">
        <v>2</v>
      </c>
      <c r="I90" s="197">
        <v>5000</v>
      </c>
      <c r="J90" s="268">
        <f t="shared" si="9"/>
        <v>10000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43640</v>
      </c>
      <c r="D91" s="196" t="s">
        <v>23</v>
      </c>
      <c r="E91" s="222" t="s">
        <v>28</v>
      </c>
      <c r="F91" s="222">
        <v>199.3</v>
      </c>
      <c r="G91" s="222">
        <v>198.8</v>
      </c>
      <c r="H91" s="274">
        <v>0.5</v>
      </c>
      <c r="I91" s="197">
        <v>5000</v>
      </c>
      <c r="J91" s="268">
        <f t="shared" si="9"/>
        <v>2500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43641</v>
      </c>
      <c r="D92" s="196" t="s">
        <v>23</v>
      </c>
      <c r="E92" s="222" t="s">
        <v>28</v>
      </c>
      <c r="F92" s="223">
        <v>202.5</v>
      </c>
      <c r="G92" s="222">
        <v>203.5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43642</v>
      </c>
      <c r="D93" s="196" t="s">
        <v>16</v>
      </c>
      <c r="E93" s="222" t="s">
        <v>28</v>
      </c>
      <c r="F93" s="222">
        <v>201</v>
      </c>
      <c r="G93" s="222">
        <v>201.8</v>
      </c>
      <c r="H93" s="274">
        <v>0.8</v>
      </c>
      <c r="I93" s="197">
        <v>5000</v>
      </c>
      <c r="J93" s="268">
        <f t="shared" si="9"/>
        <v>4000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43643</v>
      </c>
      <c r="D94" s="196" t="s">
        <v>23</v>
      </c>
      <c r="E94" s="222" t="s">
        <v>28</v>
      </c>
      <c r="F94" s="222">
        <v>200.2</v>
      </c>
      <c r="G94" s="222">
        <v>199.2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43644</v>
      </c>
      <c r="D95" s="196" t="s">
        <v>23</v>
      </c>
      <c r="E95" s="222" t="s">
        <v>28</v>
      </c>
      <c r="F95" s="222">
        <v>201</v>
      </c>
      <c r="G95" s="222">
        <v>200.4</v>
      </c>
      <c r="H95" s="274">
        <v>0.6</v>
      </c>
      <c r="I95" s="197">
        <v>5000</v>
      </c>
      <c r="J95" s="268">
        <f t="shared" si="9"/>
        <v>3000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/>
      <c r="D96" s="196"/>
      <c r="E96" s="222"/>
      <c r="F96" s="222"/>
      <c r="G96" s="222"/>
      <c r="H96" s="274"/>
      <c r="I96" s="197"/>
      <c r="J96" s="268">
        <f t="shared" si="9"/>
        <v>0</v>
      </c>
      <c r="K96" s="185"/>
      <c r="V96" s="183">
        <f t="shared" si="10"/>
        <v>0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66250</v>
      </c>
      <c r="K101" s="185"/>
      <c r="V101" s="183">
        <f>SUM(V78:V100)</f>
        <v>13</v>
      </c>
      <c r="W101" s="183">
        <f>SUM(W78:W100)</f>
        <v>5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4E00-000000000000}"/>
    <hyperlink ref="B70" r:id="rId2" xr:uid="{00000000-0004-0000-4E00-000001000000}"/>
    <hyperlink ref="M4:M5" location="'JUN 2019'!A1" display="BULLION" xr:uid="{00000000-0004-0000-4E00-000002000000}"/>
    <hyperlink ref="B101" r:id="rId3" xr:uid="{00000000-0004-0000-4E00-000003000000}"/>
    <hyperlink ref="M8:M9" location="'JUN 2019'!A86" display="BASE METAL" xr:uid="{00000000-0004-0000-4E00-000004000000}"/>
    <hyperlink ref="M1" location="MASTER!A1" display="Back" xr:uid="{00000000-0004-0000-4E00-000005000000}"/>
    <hyperlink ref="M6:M7" location="'JUN 2019'!A54" display="ENERGY" xr:uid="{00000000-0004-0000-4E00-000006000000}"/>
  </hyperlinks>
  <pageMargins left="0" right="0" top="0" bottom="0" header="0" footer="0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80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52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41456</v>
      </c>
      <c r="C5" s="29" t="s">
        <v>55</v>
      </c>
      <c r="D5" s="36" t="s">
        <v>24</v>
      </c>
      <c r="E5" s="29">
        <v>25620</v>
      </c>
      <c r="F5" s="29">
        <v>25700</v>
      </c>
      <c r="G5" s="29">
        <v>100</v>
      </c>
      <c r="H5" s="29">
        <v>8000</v>
      </c>
      <c r="I5" s="20"/>
    </row>
    <row r="6" spans="1:10" x14ac:dyDescent="0.3">
      <c r="A6" s="20"/>
      <c r="B6" s="35">
        <v>41457</v>
      </c>
      <c r="C6" s="29" t="s">
        <v>23</v>
      </c>
      <c r="D6" s="36" t="s">
        <v>24</v>
      </c>
      <c r="E6" s="29">
        <v>26190</v>
      </c>
      <c r="F6" s="29">
        <v>26130</v>
      </c>
      <c r="G6" s="29">
        <v>100</v>
      </c>
      <c r="H6" s="29">
        <v>6000</v>
      </c>
      <c r="I6" s="20"/>
    </row>
    <row r="7" spans="1:10" x14ac:dyDescent="0.3">
      <c r="A7" s="20"/>
      <c r="B7" s="35">
        <v>41458</v>
      </c>
      <c r="C7" s="29" t="s">
        <v>16</v>
      </c>
      <c r="D7" s="36" t="s">
        <v>24</v>
      </c>
      <c r="E7" s="29">
        <v>26100</v>
      </c>
      <c r="F7" s="29">
        <v>26200</v>
      </c>
      <c r="G7" s="29">
        <v>100</v>
      </c>
      <c r="H7" s="29">
        <v>10000</v>
      </c>
      <c r="I7" s="20"/>
    </row>
    <row r="8" spans="1:10" x14ac:dyDescent="0.3">
      <c r="A8" s="20"/>
      <c r="B8" s="35">
        <v>41459</v>
      </c>
      <c r="C8" s="29" t="s">
        <v>23</v>
      </c>
      <c r="D8" s="36" t="s">
        <v>24</v>
      </c>
      <c r="E8" s="29">
        <v>26240</v>
      </c>
      <c r="F8" s="29">
        <v>26180</v>
      </c>
      <c r="G8" s="29">
        <v>100</v>
      </c>
      <c r="H8" s="29">
        <v>6000</v>
      </c>
      <c r="I8" s="20"/>
    </row>
    <row r="9" spans="1:10" x14ac:dyDescent="0.3">
      <c r="A9" s="20"/>
      <c r="B9" s="35">
        <v>41460</v>
      </c>
      <c r="C9" s="29" t="s">
        <v>23</v>
      </c>
      <c r="D9" s="36" t="s">
        <v>24</v>
      </c>
      <c r="E9" s="29">
        <v>26100</v>
      </c>
      <c r="F9" s="29">
        <v>26000</v>
      </c>
      <c r="G9" s="29">
        <v>100</v>
      </c>
      <c r="H9" s="29">
        <v>10000</v>
      </c>
      <c r="I9" s="20"/>
    </row>
    <row r="10" spans="1:10" x14ac:dyDescent="0.3">
      <c r="A10" s="20"/>
      <c r="B10" s="35">
        <v>41463</v>
      </c>
      <c r="C10" s="29" t="s">
        <v>23</v>
      </c>
      <c r="D10" s="36" t="s">
        <v>22</v>
      </c>
      <c r="E10" s="29">
        <v>40200</v>
      </c>
      <c r="F10" s="29">
        <v>40500</v>
      </c>
      <c r="G10" s="29">
        <v>30</v>
      </c>
      <c r="H10" s="29">
        <v>-9000</v>
      </c>
      <c r="I10" s="20"/>
    </row>
    <row r="11" spans="1:10" x14ac:dyDescent="0.3">
      <c r="A11" s="20"/>
      <c r="B11" s="35">
        <v>41464</v>
      </c>
      <c r="C11" s="29" t="s">
        <v>23</v>
      </c>
      <c r="D11" s="36" t="s">
        <v>22</v>
      </c>
      <c r="E11" s="29">
        <v>40700</v>
      </c>
      <c r="F11" s="29">
        <v>40400</v>
      </c>
      <c r="G11" s="29">
        <v>30</v>
      </c>
      <c r="H11" s="37">
        <v>12000</v>
      </c>
      <c r="I11" s="20"/>
    </row>
    <row r="12" spans="1:10" x14ac:dyDescent="0.3">
      <c r="A12" s="20"/>
      <c r="B12" s="35">
        <v>41465</v>
      </c>
      <c r="C12" s="29" t="s">
        <v>16</v>
      </c>
      <c r="D12" s="36" t="s">
        <v>22</v>
      </c>
      <c r="E12" s="29">
        <v>40150</v>
      </c>
      <c r="F12" s="29">
        <v>40350</v>
      </c>
      <c r="G12" s="29">
        <v>30</v>
      </c>
      <c r="H12" s="37">
        <v>6000</v>
      </c>
      <c r="I12" s="20"/>
    </row>
    <row r="13" spans="1:10" x14ac:dyDescent="0.3">
      <c r="A13" s="20"/>
      <c r="B13" s="35">
        <v>41466</v>
      </c>
      <c r="C13" s="29" t="s">
        <v>23</v>
      </c>
      <c r="D13" s="36" t="s">
        <v>22</v>
      </c>
      <c r="E13" s="29">
        <v>41800</v>
      </c>
      <c r="F13" s="29">
        <v>41500</v>
      </c>
      <c r="G13" s="29">
        <v>30</v>
      </c>
      <c r="H13" s="37">
        <v>9000</v>
      </c>
      <c r="I13" s="20"/>
    </row>
    <row r="14" spans="1:10" x14ac:dyDescent="0.3">
      <c r="A14" s="20"/>
      <c r="B14" s="35">
        <v>41467</v>
      </c>
      <c r="C14" s="29" t="s">
        <v>23</v>
      </c>
      <c r="D14" s="36" t="s">
        <v>22</v>
      </c>
      <c r="E14" s="29">
        <v>41500</v>
      </c>
      <c r="F14" s="29">
        <v>41200</v>
      </c>
      <c r="G14" s="29">
        <v>30</v>
      </c>
      <c r="H14" s="37">
        <v>9000</v>
      </c>
      <c r="I14" s="20"/>
    </row>
    <row r="15" spans="1:10" x14ac:dyDescent="0.3">
      <c r="A15" s="20"/>
      <c r="B15" s="35">
        <v>41470</v>
      </c>
      <c r="C15" s="29" t="s">
        <v>16</v>
      </c>
      <c r="D15" s="36" t="s">
        <v>22</v>
      </c>
      <c r="E15" s="29">
        <v>41700</v>
      </c>
      <c r="F15" s="29">
        <v>41400</v>
      </c>
      <c r="G15" s="29">
        <v>30</v>
      </c>
      <c r="H15" s="37">
        <v>-9000</v>
      </c>
      <c r="I15" s="20"/>
    </row>
    <row r="16" spans="1:10" x14ac:dyDescent="0.3">
      <c r="A16" s="20"/>
      <c r="B16" s="35">
        <v>41471</v>
      </c>
      <c r="C16" s="29" t="s">
        <v>16</v>
      </c>
      <c r="D16" s="36" t="s">
        <v>24</v>
      </c>
      <c r="E16" s="29">
        <v>26440</v>
      </c>
      <c r="F16" s="29">
        <v>26500</v>
      </c>
      <c r="G16" s="29">
        <v>100</v>
      </c>
      <c r="H16" s="37">
        <v>6000</v>
      </c>
      <c r="I16" s="20"/>
    </row>
    <row r="17" spans="1:9" x14ac:dyDescent="0.3">
      <c r="A17" s="20"/>
      <c r="B17" s="35">
        <v>41472</v>
      </c>
      <c r="C17" s="29" t="s">
        <v>23</v>
      </c>
      <c r="D17" s="36" t="s">
        <v>24</v>
      </c>
      <c r="E17" s="29">
        <v>27760</v>
      </c>
      <c r="F17" s="29">
        <v>27700</v>
      </c>
      <c r="G17" s="29">
        <v>100</v>
      </c>
      <c r="H17" s="37">
        <v>6000</v>
      </c>
      <c r="I17" s="20"/>
    </row>
    <row r="18" spans="1:9" x14ac:dyDescent="0.3">
      <c r="A18" s="20"/>
      <c r="B18" s="35">
        <v>41473</v>
      </c>
      <c r="C18" s="29" t="s">
        <v>16</v>
      </c>
      <c r="D18" s="36" t="s">
        <v>24</v>
      </c>
      <c r="E18" s="29">
        <v>26470</v>
      </c>
      <c r="F18" s="29">
        <v>26520</v>
      </c>
      <c r="G18" s="29">
        <v>100</v>
      </c>
      <c r="H18" s="37">
        <v>5000</v>
      </c>
      <c r="I18" s="20"/>
    </row>
    <row r="19" spans="1:9" x14ac:dyDescent="0.3">
      <c r="A19" s="20"/>
      <c r="B19" s="35">
        <v>41474</v>
      </c>
      <c r="C19" s="29" t="s">
        <v>16</v>
      </c>
      <c r="D19" s="36" t="s">
        <v>24</v>
      </c>
      <c r="E19" s="29">
        <v>26680</v>
      </c>
      <c r="F19" s="29">
        <v>26630</v>
      </c>
      <c r="G19" s="29">
        <v>100</v>
      </c>
      <c r="H19" s="37">
        <v>-5000</v>
      </c>
      <c r="I19" s="20"/>
    </row>
    <row r="20" spans="1:9" x14ac:dyDescent="0.3">
      <c r="A20" s="20"/>
      <c r="B20" s="35">
        <v>41477</v>
      </c>
      <c r="C20" s="29" t="s">
        <v>16</v>
      </c>
      <c r="D20" s="36" t="s">
        <v>24</v>
      </c>
      <c r="E20" s="29">
        <v>27100</v>
      </c>
      <c r="F20" s="29">
        <v>27160</v>
      </c>
      <c r="G20" s="29">
        <v>100</v>
      </c>
      <c r="H20" s="37">
        <v>6000</v>
      </c>
      <c r="I20" s="20"/>
    </row>
    <row r="21" spans="1:9" x14ac:dyDescent="0.3">
      <c r="A21" s="20"/>
      <c r="B21" s="35">
        <v>41478</v>
      </c>
      <c r="C21" s="29" t="s">
        <v>23</v>
      </c>
      <c r="D21" s="36" t="s">
        <v>22</v>
      </c>
      <c r="E21" s="29">
        <v>42100</v>
      </c>
      <c r="F21" s="29">
        <v>41900</v>
      </c>
      <c r="G21" s="29">
        <v>30</v>
      </c>
      <c r="H21" s="37">
        <v>6000</v>
      </c>
      <c r="I21" s="20"/>
    </row>
    <row r="22" spans="1:9" x14ac:dyDescent="0.3">
      <c r="A22" s="20"/>
      <c r="B22" s="35">
        <v>41479</v>
      </c>
      <c r="C22" s="29" t="s">
        <v>23</v>
      </c>
      <c r="D22" s="36" t="s">
        <v>22</v>
      </c>
      <c r="E22" s="29">
        <v>42000</v>
      </c>
      <c r="F22" s="29">
        <v>42800</v>
      </c>
      <c r="G22" s="29">
        <v>30</v>
      </c>
      <c r="H22" s="37">
        <v>6000</v>
      </c>
      <c r="I22" s="20"/>
    </row>
    <row r="23" spans="1:9" x14ac:dyDescent="0.3">
      <c r="A23" s="20"/>
      <c r="B23" s="35">
        <v>41480</v>
      </c>
      <c r="C23" s="29" t="s">
        <v>23</v>
      </c>
      <c r="D23" s="36" t="s">
        <v>22</v>
      </c>
      <c r="E23" s="29">
        <v>41200</v>
      </c>
      <c r="F23" s="29">
        <v>40900</v>
      </c>
      <c r="G23" s="29">
        <v>30</v>
      </c>
      <c r="H23" s="37">
        <v>9000</v>
      </c>
      <c r="I23" s="20"/>
    </row>
    <row r="24" spans="1:9" x14ac:dyDescent="0.3">
      <c r="A24" s="20"/>
      <c r="B24" s="35">
        <v>41481</v>
      </c>
      <c r="C24" s="29" t="s">
        <v>23</v>
      </c>
      <c r="D24" s="36" t="s">
        <v>22</v>
      </c>
      <c r="E24" s="29">
        <v>41300</v>
      </c>
      <c r="F24" s="29">
        <v>41100</v>
      </c>
      <c r="G24" s="29">
        <v>30</v>
      </c>
      <c r="H24" s="37">
        <v>6000</v>
      </c>
      <c r="I24" s="20"/>
    </row>
    <row r="25" spans="1:9" x14ac:dyDescent="0.3">
      <c r="A25" s="20"/>
      <c r="B25" s="35">
        <v>41484</v>
      </c>
      <c r="C25" s="29" t="s">
        <v>16</v>
      </c>
      <c r="D25" s="36" t="s">
        <v>22</v>
      </c>
      <c r="E25" s="29">
        <v>41000</v>
      </c>
      <c r="F25" s="29">
        <v>41300</v>
      </c>
      <c r="G25" s="29">
        <v>30</v>
      </c>
      <c r="H25" s="37">
        <v>9000</v>
      </c>
      <c r="I25" s="20"/>
    </row>
    <row r="26" spans="1:9" x14ac:dyDescent="0.3">
      <c r="A26" s="20"/>
      <c r="B26" s="35">
        <v>41485</v>
      </c>
      <c r="C26" s="37" t="s">
        <v>23</v>
      </c>
      <c r="D26" s="37" t="s">
        <v>24</v>
      </c>
      <c r="E26" s="37">
        <v>28520</v>
      </c>
      <c r="F26" s="37">
        <v>28560</v>
      </c>
      <c r="G26" s="37">
        <v>100</v>
      </c>
      <c r="H26" s="37">
        <v>-4000</v>
      </c>
      <c r="I26" s="20"/>
    </row>
    <row r="27" spans="1:9" x14ac:dyDescent="0.3">
      <c r="A27" s="20"/>
      <c r="B27" s="35">
        <v>41486</v>
      </c>
      <c r="C27" s="45" t="s">
        <v>16</v>
      </c>
      <c r="D27" s="45" t="s">
        <v>24</v>
      </c>
      <c r="E27" s="45">
        <v>28870</v>
      </c>
      <c r="F27" s="45">
        <v>28830</v>
      </c>
      <c r="G27" s="45">
        <v>100</v>
      </c>
      <c r="H27" s="45">
        <v>4000</v>
      </c>
      <c r="I27" s="20"/>
    </row>
    <row r="28" spans="1:9" ht="15.6" x14ac:dyDescent="0.3">
      <c r="A28" s="20"/>
      <c r="B28" s="35"/>
      <c r="C28" s="45"/>
      <c r="D28" s="45"/>
      <c r="E28" s="45"/>
      <c r="F28" s="45"/>
      <c r="G28" s="45"/>
      <c r="H28" s="46">
        <v>112000</v>
      </c>
      <c r="I28" s="20"/>
    </row>
    <row r="29" spans="1:9" x14ac:dyDescent="0.3">
      <c r="A29" s="20"/>
      <c r="B29" s="35"/>
      <c r="C29" s="18"/>
      <c r="D29" s="18"/>
      <c r="E29" s="18"/>
      <c r="F29" s="18"/>
      <c r="G29" s="18"/>
      <c r="H29" s="18"/>
      <c r="I29" s="20"/>
    </row>
    <row r="30" spans="1:9" ht="15.6" x14ac:dyDescent="0.3">
      <c r="A30" s="20"/>
      <c r="B30" s="295" t="s">
        <v>53</v>
      </c>
      <c r="C30" s="295"/>
      <c r="D30" s="295"/>
      <c r="E30" s="295"/>
      <c r="F30" s="295"/>
      <c r="G30" s="295"/>
      <c r="H30" s="295"/>
      <c r="I30" s="20"/>
    </row>
    <row r="31" spans="1:9" x14ac:dyDescent="0.3">
      <c r="A31" s="20"/>
      <c r="B31" s="35">
        <v>41456</v>
      </c>
      <c r="C31" s="29" t="s">
        <v>16</v>
      </c>
      <c r="D31" s="36" t="s">
        <v>25</v>
      </c>
      <c r="E31" s="29">
        <v>5730</v>
      </c>
      <c r="F31" s="29">
        <v>5760</v>
      </c>
      <c r="G31" s="29">
        <v>100</v>
      </c>
      <c r="H31" s="29">
        <v>3000</v>
      </c>
      <c r="I31" s="20"/>
    </row>
    <row r="32" spans="1:9" x14ac:dyDescent="0.3">
      <c r="A32" s="20"/>
      <c r="B32" s="35">
        <v>41457</v>
      </c>
      <c r="C32" s="29" t="s">
        <v>16</v>
      </c>
      <c r="D32" s="36" t="s">
        <v>25</v>
      </c>
      <c r="E32" s="29">
        <v>5845</v>
      </c>
      <c r="F32" s="29">
        <v>5870</v>
      </c>
      <c r="G32" s="29">
        <v>100</v>
      </c>
      <c r="H32" s="29">
        <v>2500</v>
      </c>
      <c r="I32" s="20"/>
    </row>
    <row r="33" spans="1:9" x14ac:dyDescent="0.3">
      <c r="A33" s="20"/>
      <c r="B33" s="35">
        <v>41458</v>
      </c>
      <c r="C33" s="29" t="s">
        <v>16</v>
      </c>
      <c r="D33" s="36" t="s">
        <v>25</v>
      </c>
      <c r="E33" s="29">
        <v>6100</v>
      </c>
      <c r="F33" s="29">
        <v>6120</v>
      </c>
      <c r="G33" s="29">
        <v>100</v>
      </c>
      <c r="H33" s="29">
        <v>2000</v>
      </c>
      <c r="I33" s="20"/>
    </row>
    <row r="34" spans="1:9" x14ac:dyDescent="0.3">
      <c r="A34" s="20"/>
      <c r="B34" s="35">
        <v>41459</v>
      </c>
      <c r="C34" s="29" t="s">
        <v>23</v>
      </c>
      <c r="D34" s="36" t="s">
        <v>25</v>
      </c>
      <c r="E34" s="29">
        <v>6105</v>
      </c>
      <c r="F34" s="29">
        <v>6085</v>
      </c>
      <c r="G34" s="29">
        <v>100</v>
      </c>
      <c r="H34" s="29">
        <v>2000</v>
      </c>
      <c r="I34" s="20"/>
    </row>
    <row r="35" spans="1:9" x14ac:dyDescent="0.3">
      <c r="A35" s="20"/>
      <c r="B35" s="35">
        <v>41460</v>
      </c>
      <c r="C35" s="29" t="s">
        <v>16</v>
      </c>
      <c r="D35" s="36" t="s">
        <v>25</v>
      </c>
      <c r="E35" s="29">
        <v>6165</v>
      </c>
      <c r="F35" s="29">
        <v>6195</v>
      </c>
      <c r="G35" s="29">
        <v>100</v>
      </c>
      <c r="H35" s="29">
        <v>3000</v>
      </c>
      <c r="I35" s="20"/>
    </row>
    <row r="36" spans="1:9" x14ac:dyDescent="0.3">
      <c r="A36" s="20"/>
      <c r="B36" s="35">
        <v>41463</v>
      </c>
      <c r="C36" s="29" t="s">
        <v>23</v>
      </c>
      <c r="D36" s="36" t="s">
        <v>25</v>
      </c>
      <c r="E36" s="29">
        <v>6310</v>
      </c>
      <c r="F36" s="29">
        <v>6280</v>
      </c>
      <c r="G36" s="29">
        <v>100</v>
      </c>
      <c r="H36" s="29">
        <v>3000</v>
      </c>
      <c r="I36" s="20"/>
    </row>
    <row r="37" spans="1:9" x14ac:dyDescent="0.3">
      <c r="A37" s="20"/>
      <c r="B37" s="35">
        <v>41464</v>
      </c>
      <c r="C37" s="39" t="s">
        <v>23</v>
      </c>
      <c r="D37" s="36" t="s">
        <v>25</v>
      </c>
      <c r="E37" s="39">
        <v>6200</v>
      </c>
      <c r="F37" s="39">
        <v>6215</v>
      </c>
      <c r="G37" s="39">
        <v>100</v>
      </c>
      <c r="H37" s="39">
        <v>-1500</v>
      </c>
      <c r="I37" s="20"/>
    </row>
    <row r="38" spans="1:9" x14ac:dyDescent="0.3">
      <c r="A38" s="20"/>
      <c r="B38" s="35">
        <v>41465</v>
      </c>
      <c r="C38" s="29" t="s">
        <v>16</v>
      </c>
      <c r="D38" s="36" t="s">
        <v>25</v>
      </c>
      <c r="E38" s="29">
        <v>6280</v>
      </c>
      <c r="F38" s="29">
        <v>6300</v>
      </c>
      <c r="G38" s="29">
        <v>100</v>
      </c>
      <c r="H38" s="37">
        <v>2000</v>
      </c>
      <c r="I38" s="20"/>
    </row>
    <row r="39" spans="1:9" x14ac:dyDescent="0.3">
      <c r="A39" s="20"/>
      <c r="B39" s="35">
        <v>41466</v>
      </c>
      <c r="C39" s="29" t="s">
        <v>23</v>
      </c>
      <c r="D39" s="36" t="s">
        <v>25</v>
      </c>
      <c r="E39" s="29">
        <v>6400</v>
      </c>
      <c r="F39" s="29">
        <v>6370</v>
      </c>
      <c r="G39" s="29">
        <v>100</v>
      </c>
      <c r="H39" s="37">
        <v>3000</v>
      </c>
      <c r="I39" s="20"/>
    </row>
    <row r="40" spans="1:9" x14ac:dyDescent="0.3">
      <c r="A40" s="20"/>
      <c r="B40" s="35">
        <v>41467</v>
      </c>
      <c r="C40" s="29" t="s">
        <v>16</v>
      </c>
      <c r="D40" s="36" t="s">
        <v>25</v>
      </c>
      <c r="E40" s="29">
        <v>6290</v>
      </c>
      <c r="F40" s="29">
        <v>6320</v>
      </c>
      <c r="G40" s="29">
        <v>100</v>
      </c>
      <c r="H40" s="37">
        <v>3000</v>
      </c>
      <c r="I40" s="20"/>
    </row>
    <row r="41" spans="1:9" x14ac:dyDescent="0.3">
      <c r="A41" s="20"/>
      <c r="B41" s="35">
        <v>41470</v>
      </c>
      <c r="C41" s="29" t="s">
        <v>23</v>
      </c>
      <c r="D41" s="36" t="s">
        <v>25</v>
      </c>
      <c r="E41" s="29">
        <v>6070</v>
      </c>
      <c r="F41" s="29">
        <v>6050</v>
      </c>
      <c r="G41" s="29">
        <v>100</v>
      </c>
      <c r="H41" s="37">
        <v>2000</v>
      </c>
      <c r="I41" s="20"/>
    </row>
    <row r="42" spans="1:9" x14ac:dyDescent="0.3">
      <c r="A42" s="20"/>
      <c r="B42" s="35">
        <v>41471</v>
      </c>
      <c r="C42" s="29" t="s">
        <v>16</v>
      </c>
      <c r="D42" s="36" t="s">
        <v>25</v>
      </c>
      <c r="E42" s="29">
        <v>6300</v>
      </c>
      <c r="F42" s="29">
        <v>6325</v>
      </c>
      <c r="G42" s="29">
        <v>100</v>
      </c>
      <c r="H42" s="37">
        <v>2500</v>
      </c>
      <c r="I42" s="20"/>
    </row>
    <row r="43" spans="1:9" x14ac:dyDescent="0.3">
      <c r="A43" s="20"/>
      <c r="B43" s="35">
        <v>41472</v>
      </c>
      <c r="C43" s="29" t="s">
        <v>23</v>
      </c>
      <c r="D43" s="36" t="s">
        <v>25</v>
      </c>
      <c r="E43" s="29">
        <v>6333</v>
      </c>
      <c r="F43" s="29">
        <v>6353</v>
      </c>
      <c r="G43" s="29">
        <v>100</v>
      </c>
      <c r="H43" s="37">
        <v>-2000</v>
      </c>
      <c r="I43" s="20"/>
    </row>
    <row r="44" spans="1:9" x14ac:dyDescent="0.3">
      <c r="A44" s="20"/>
      <c r="B44" s="35">
        <v>41473</v>
      </c>
      <c r="C44" s="29" t="s">
        <v>16</v>
      </c>
      <c r="D44" s="36" t="s">
        <v>25</v>
      </c>
      <c r="E44" s="29">
        <v>6450</v>
      </c>
      <c r="F44" s="29">
        <v>6475</v>
      </c>
      <c r="G44" s="29">
        <v>100</v>
      </c>
      <c r="H44" s="37">
        <v>2500</v>
      </c>
      <c r="I44" s="20"/>
    </row>
    <row r="45" spans="1:9" x14ac:dyDescent="0.3">
      <c r="A45" s="20"/>
      <c r="B45" s="35">
        <v>41474</v>
      </c>
      <c r="C45" s="29" t="s">
        <v>23</v>
      </c>
      <c r="D45" s="36" t="s">
        <v>25</v>
      </c>
      <c r="E45" s="29">
        <v>6475</v>
      </c>
      <c r="F45" s="29">
        <v>6445</v>
      </c>
      <c r="G45" s="29">
        <v>100</v>
      </c>
      <c r="H45" s="37">
        <v>3000</v>
      </c>
      <c r="I45" s="20"/>
    </row>
    <row r="46" spans="1:9" x14ac:dyDescent="0.3">
      <c r="A46" s="20"/>
      <c r="B46" s="35">
        <v>41477</v>
      </c>
      <c r="C46" s="29" t="s">
        <v>16</v>
      </c>
      <c r="D46" s="36" t="s">
        <v>25</v>
      </c>
      <c r="E46" s="29">
        <v>6445</v>
      </c>
      <c r="F46" s="29">
        <v>6465</v>
      </c>
      <c r="G46" s="29">
        <v>100</v>
      </c>
      <c r="H46" s="37">
        <v>2000</v>
      </c>
      <c r="I46" s="20"/>
    </row>
    <row r="47" spans="1:9" x14ac:dyDescent="0.3">
      <c r="A47" s="20"/>
      <c r="B47" s="35">
        <v>41478</v>
      </c>
      <c r="C47" s="29" t="s">
        <v>23</v>
      </c>
      <c r="D47" s="36" t="s">
        <v>25</v>
      </c>
      <c r="E47" s="29">
        <v>6390</v>
      </c>
      <c r="F47" s="29">
        <v>6360</v>
      </c>
      <c r="G47" s="29">
        <v>100</v>
      </c>
      <c r="H47" s="37">
        <v>3000</v>
      </c>
      <c r="I47" s="20"/>
    </row>
    <row r="48" spans="1:9" x14ac:dyDescent="0.3">
      <c r="A48" s="20"/>
      <c r="B48" s="35">
        <v>41479</v>
      </c>
      <c r="C48" s="29" t="s">
        <v>23</v>
      </c>
      <c r="D48" s="36" t="s">
        <v>25</v>
      </c>
      <c r="E48" s="29">
        <v>6380</v>
      </c>
      <c r="F48" s="29">
        <v>6360</v>
      </c>
      <c r="G48" s="29">
        <v>100</v>
      </c>
      <c r="H48" s="37">
        <v>2000</v>
      </c>
      <c r="I48" s="20"/>
    </row>
    <row r="49" spans="1:9" x14ac:dyDescent="0.3">
      <c r="A49" s="20"/>
      <c r="B49" s="35">
        <v>41480</v>
      </c>
      <c r="C49" s="29" t="s">
        <v>16</v>
      </c>
      <c r="D49" s="36" t="s">
        <v>25</v>
      </c>
      <c r="E49" s="29">
        <v>6220</v>
      </c>
      <c r="F49" s="29">
        <v>6200</v>
      </c>
      <c r="G49" s="29">
        <v>100</v>
      </c>
      <c r="H49" s="37">
        <v>-2000</v>
      </c>
      <c r="I49" s="20"/>
    </row>
    <row r="50" spans="1:9" x14ac:dyDescent="0.3">
      <c r="A50" s="20"/>
      <c r="B50" s="35">
        <v>41481</v>
      </c>
      <c r="C50" s="37" t="s">
        <v>23</v>
      </c>
      <c r="D50" s="36" t="s">
        <v>25</v>
      </c>
      <c r="E50" s="37">
        <v>6220</v>
      </c>
      <c r="F50" s="37">
        <v>6190</v>
      </c>
      <c r="G50" s="37">
        <v>100</v>
      </c>
      <c r="H50" s="37">
        <v>3000</v>
      </c>
      <c r="I50" s="20"/>
    </row>
    <row r="51" spans="1:9" x14ac:dyDescent="0.3">
      <c r="A51" s="20"/>
      <c r="B51" s="35">
        <v>41484</v>
      </c>
      <c r="C51" s="37" t="s">
        <v>16</v>
      </c>
      <c r="D51" s="36" t="s">
        <v>25</v>
      </c>
      <c r="E51" s="37">
        <v>6210</v>
      </c>
      <c r="F51" s="37">
        <v>6250</v>
      </c>
      <c r="G51" s="37">
        <v>100</v>
      </c>
      <c r="H51" s="37">
        <v>4000</v>
      </c>
      <c r="I51" s="20"/>
    </row>
    <row r="52" spans="1:9" x14ac:dyDescent="0.3">
      <c r="A52" s="20"/>
      <c r="B52" s="35">
        <v>41485</v>
      </c>
      <c r="C52" s="37" t="s">
        <v>23</v>
      </c>
      <c r="D52" s="36" t="s">
        <v>25</v>
      </c>
      <c r="E52" s="37">
        <v>6320</v>
      </c>
      <c r="F52" s="37">
        <v>6290</v>
      </c>
      <c r="G52" s="37">
        <v>100</v>
      </c>
      <c r="H52" s="44">
        <v>3000</v>
      </c>
      <c r="I52" s="20"/>
    </row>
    <row r="53" spans="1:9" x14ac:dyDescent="0.3">
      <c r="A53" s="20"/>
      <c r="B53" s="35">
        <v>41486</v>
      </c>
      <c r="C53" s="45" t="s">
        <v>23</v>
      </c>
      <c r="D53" s="36" t="s">
        <v>25</v>
      </c>
      <c r="E53" s="45">
        <v>6340</v>
      </c>
      <c r="F53" s="45">
        <v>6320</v>
      </c>
      <c r="G53" s="45">
        <v>100</v>
      </c>
      <c r="H53" s="45">
        <v>2000</v>
      </c>
      <c r="I53" s="20"/>
    </row>
    <row r="54" spans="1:9" ht="15.6" x14ac:dyDescent="0.3">
      <c r="A54" s="20"/>
      <c r="B54" s="35"/>
      <c r="C54" s="18"/>
      <c r="D54" s="18"/>
      <c r="E54" s="18"/>
      <c r="F54" s="18"/>
      <c r="G54" s="18"/>
      <c r="H54" s="46">
        <v>47000</v>
      </c>
      <c r="I54" s="20"/>
    </row>
    <row r="55" spans="1:9" x14ac:dyDescent="0.3">
      <c r="A55" s="20"/>
      <c r="B55" s="35"/>
      <c r="C55" s="18"/>
      <c r="D55" s="18"/>
      <c r="E55" s="18"/>
      <c r="F55" s="18"/>
      <c r="G55" s="18"/>
      <c r="H55" s="18"/>
      <c r="I55" s="20"/>
    </row>
    <row r="56" spans="1:9" ht="15.6" x14ac:dyDescent="0.3">
      <c r="A56" s="20"/>
      <c r="B56" s="295" t="s">
        <v>54</v>
      </c>
      <c r="C56" s="295"/>
      <c r="D56" s="295"/>
      <c r="E56" s="295"/>
      <c r="F56" s="295"/>
      <c r="G56" s="295"/>
      <c r="H56" s="295"/>
      <c r="I56" s="20"/>
    </row>
    <row r="57" spans="1:9" x14ac:dyDescent="0.3">
      <c r="A57" s="20"/>
      <c r="B57" s="35">
        <v>41456</v>
      </c>
      <c r="C57" s="29" t="s">
        <v>16</v>
      </c>
      <c r="D57" s="36" t="s">
        <v>29</v>
      </c>
      <c r="E57" s="29">
        <v>409</v>
      </c>
      <c r="F57" s="29">
        <v>412</v>
      </c>
      <c r="G57" s="29">
        <v>1000</v>
      </c>
      <c r="H57" s="29">
        <v>3000</v>
      </c>
      <c r="I57" s="20"/>
    </row>
    <row r="58" spans="1:9" x14ac:dyDescent="0.3">
      <c r="A58" s="20"/>
      <c r="B58" s="35">
        <v>41457</v>
      </c>
      <c r="C58" s="29" t="s">
        <v>16</v>
      </c>
      <c r="D58" s="36" t="s">
        <v>28</v>
      </c>
      <c r="E58" s="29">
        <v>111.5</v>
      </c>
      <c r="F58" s="29">
        <v>112</v>
      </c>
      <c r="G58" s="29">
        <v>5000</v>
      </c>
      <c r="H58" s="29">
        <v>2500</v>
      </c>
      <c r="I58" s="20"/>
    </row>
    <row r="59" spans="1:9" x14ac:dyDescent="0.3">
      <c r="A59" s="20"/>
      <c r="B59" s="35">
        <v>41458</v>
      </c>
      <c r="C59" s="29" t="s">
        <v>23</v>
      </c>
      <c r="D59" s="36" t="s">
        <v>28</v>
      </c>
      <c r="E59" s="29">
        <v>113</v>
      </c>
      <c r="F59" s="29">
        <v>112</v>
      </c>
      <c r="G59" s="29">
        <v>5000</v>
      </c>
      <c r="H59" s="29">
        <v>5000</v>
      </c>
      <c r="I59" s="20"/>
    </row>
    <row r="60" spans="1:9" x14ac:dyDescent="0.3">
      <c r="A60" s="20"/>
      <c r="B60" s="35">
        <v>41459</v>
      </c>
      <c r="C60" s="29" t="s">
        <v>23</v>
      </c>
      <c r="D60" s="36" t="s">
        <v>28</v>
      </c>
      <c r="E60" s="29">
        <v>112.2</v>
      </c>
      <c r="F60" s="29">
        <v>111.7</v>
      </c>
      <c r="G60" s="29">
        <v>5000</v>
      </c>
      <c r="H60" s="29">
        <v>2500</v>
      </c>
      <c r="I60" s="20"/>
    </row>
    <row r="61" spans="1:9" x14ac:dyDescent="0.3">
      <c r="A61" s="20"/>
      <c r="B61" s="35">
        <v>41460</v>
      </c>
      <c r="C61" s="29" t="s">
        <v>23</v>
      </c>
      <c r="D61" s="36" t="s">
        <v>28</v>
      </c>
      <c r="E61" s="29">
        <v>112.1</v>
      </c>
      <c r="F61" s="29">
        <v>112.6</v>
      </c>
      <c r="G61" s="29">
        <v>5000</v>
      </c>
      <c r="H61" s="29">
        <v>-2500</v>
      </c>
      <c r="I61" s="20"/>
    </row>
    <row r="62" spans="1:9" x14ac:dyDescent="0.3">
      <c r="A62" s="20"/>
      <c r="B62" s="35">
        <v>41463</v>
      </c>
      <c r="C62" s="29" t="s">
        <v>23</v>
      </c>
      <c r="D62" s="36" t="s">
        <v>29</v>
      </c>
      <c r="E62" s="29">
        <v>418</v>
      </c>
      <c r="F62" s="29">
        <v>415</v>
      </c>
      <c r="G62" s="29">
        <v>1000</v>
      </c>
      <c r="H62" s="29">
        <v>3000</v>
      </c>
      <c r="I62" s="20"/>
    </row>
    <row r="63" spans="1:9" x14ac:dyDescent="0.3">
      <c r="A63" s="20"/>
      <c r="B63" s="35">
        <v>41464</v>
      </c>
      <c r="C63" s="29" t="s">
        <v>23</v>
      </c>
      <c r="D63" s="36" t="s">
        <v>27</v>
      </c>
      <c r="E63" s="29">
        <v>124.5</v>
      </c>
      <c r="F63" s="29">
        <v>123.5</v>
      </c>
      <c r="G63" s="29">
        <v>5000</v>
      </c>
      <c r="H63" s="37">
        <v>5000</v>
      </c>
      <c r="I63" s="20"/>
    </row>
    <row r="64" spans="1:9" x14ac:dyDescent="0.3">
      <c r="A64" s="20"/>
      <c r="B64" s="35">
        <v>41465</v>
      </c>
      <c r="C64" s="29" t="s">
        <v>16</v>
      </c>
      <c r="D64" s="36" t="s">
        <v>27</v>
      </c>
      <c r="E64" s="29">
        <v>122.5</v>
      </c>
      <c r="F64" s="29">
        <v>123</v>
      </c>
      <c r="G64" s="29">
        <v>5000</v>
      </c>
      <c r="H64" s="37">
        <v>2500</v>
      </c>
      <c r="I64" s="20"/>
    </row>
    <row r="65" spans="1:9" x14ac:dyDescent="0.3">
      <c r="A65" s="20"/>
      <c r="B65" s="35">
        <v>41466</v>
      </c>
      <c r="C65" s="29" t="s">
        <v>16</v>
      </c>
      <c r="D65" s="29" t="s">
        <v>27</v>
      </c>
      <c r="E65" s="29">
        <v>124</v>
      </c>
      <c r="F65" s="29">
        <v>125</v>
      </c>
      <c r="G65" s="29">
        <v>5000</v>
      </c>
      <c r="H65" s="37">
        <v>5000</v>
      </c>
      <c r="I65" s="20"/>
    </row>
    <row r="66" spans="1:9" x14ac:dyDescent="0.3">
      <c r="A66" s="20"/>
      <c r="B66" s="35">
        <v>41467</v>
      </c>
      <c r="C66" s="39" t="s">
        <v>16</v>
      </c>
      <c r="D66" s="40" t="s">
        <v>27</v>
      </c>
      <c r="E66" s="39">
        <v>123.5</v>
      </c>
      <c r="F66" s="39">
        <v>124</v>
      </c>
      <c r="G66" s="39">
        <v>5000</v>
      </c>
      <c r="H66" s="41">
        <v>2500</v>
      </c>
      <c r="I66" s="20"/>
    </row>
    <row r="67" spans="1:9" x14ac:dyDescent="0.3">
      <c r="A67" s="20"/>
      <c r="B67" s="35">
        <v>41470</v>
      </c>
      <c r="C67" s="29" t="s">
        <v>23</v>
      </c>
      <c r="D67" s="36" t="s">
        <v>28</v>
      </c>
      <c r="E67" s="29">
        <v>112.5</v>
      </c>
      <c r="F67" s="29">
        <v>112</v>
      </c>
      <c r="G67" s="29">
        <v>5000</v>
      </c>
      <c r="H67" s="37">
        <v>2500</v>
      </c>
      <c r="I67" s="20"/>
    </row>
    <row r="68" spans="1:9" x14ac:dyDescent="0.3">
      <c r="A68" s="20"/>
      <c r="B68" s="35">
        <v>41471</v>
      </c>
      <c r="C68" s="29" t="s">
        <v>23</v>
      </c>
      <c r="D68" s="36" t="s">
        <v>28</v>
      </c>
      <c r="E68" s="29">
        <v>110.5</v>
      </c>
      <c r="F68" s="29">
        <v>110</v>
      </c>
      <c r="G68" s="29">
        <v>5000</v>
      </c>
      <c r="H68" s="37">
        <v>2500</v>
      </c>
      <c r="I68" s="20"/>
    </row>
    <row r="69" spans="1:9" x14ac:dyDescent="0.3">
      <c r="A69" s="20"/>
      <c r="B69" s="35">
        <v>41472</v>
      </c>
      <c r="C69" s="29" t="s">
        <v>23</v>
      </c>
      <c r="D69" s="36" t="s">
        <v>56</v>
      </c>
      <c r="E69" s="29">
        <v>105.2</v>
      </c>
      <c r="F69" s="29">
        <v>105.4</v>
      </c>
      <c r="G69" s="29">
        <v>5000</v>
      </c>
      <c r="H69" s="37">
        <v>-1000</v>
      </c>
      <c r="I69" s="20"/>
    </row>
    <row r="70" spans="1:9" x14ac:dyDescent="0.3">
      <c r="A70" s="20"/>
      <c r="B70" s="35">
        <v>41473</v>
      </c>
      <c r="C70" s="29" t="s">
        <v>23</v>
      </c>
      <c r="D70" s="36" t="s">
        <v>29</v>
      </c>
      <c r="E70" s="29">
        <v>417</v>
      </c>
      <c r="F70" s="29">
        <v>414</v>
      </c>
      <c r="G70" s="29">
        <v>1000</v>
      </c>
      <c r="H70" s="37">
        <v>3000</v>
      </c>
      <c r="I70" s="20"/>
    </row>
    <row r="71" spans="1:9" x14ac:dyDescent="0.3">
      <c r="A71" s="20"/>
      <c r="B71" s="35">
        <v>41474</v>
      </c>
      <c r="C71" s="29" t="s">
        <v>23</v>
      </c>
      <c r="D71" s="36" t="s">
        <v>28</v>
      </c>
      <c r="E71" s="29">
        <v>109.5</v>
      </c>
      <c r="F71" s="29">
        <v>109</v>
      </c>
      <c r="G71" s="29">
        <v>5000</v>
      </c>
      <c r="H71" s="37">
        <v>2500</v>
      </c>
      <c r="I71" s="20"/>
    </row>
    <row r="72" spans="1:9" x14ac:dyDescent="0.3">
      <c r="A72" s="20"/>
      <c r="B72" s="35">
        <v>41477</v>
      </c>
      <c r="C72" s="29" t="s">
        <v>16</v>
      </c>
      <c r="D72" s="29" t="s">
        <v>28</v>
      </c>
      <c r="E72" s="29">
        <v>109.5</v>
      </c>
      <c r="F72" s="29">
        <v>110</v>
      </c>
      <c r="G72" s="29">
        <v>5000</v>
      </c>
      <c r="H72" s="37">
        <v>2500</v>
      </c>
      <c r="I72" s="20"/>
    </row>
    <row r="73" spans="1:9" x14ac:dyDescent="0.3">
      <c r="A73" s="20"/>
      <c r="B73" s="35">
        <v>41478</v>
      </c>
      <c r="C73" s="29" t="s">
        <v>16</v>
      </c>
      <c r="D73" s="36" t="s">
        <v>56</v>
      </c>
      <c r="E73" s="29">
        <v>107.8</v>
      </c>
      <c r="F73" s="29">
        <v>108.3</v>
      </c>
      <c r="G73" s="29">
        <v>5000</v>
      </c>
      <c r="H73" s="37">
        <v>2500</v>
      </c>
      <c r="I73" s="20"/>
    </row>
    <row r="74" spans="1:9" x14ac:dyDescent="0.3">
      <c r="A74" s="20"/>
      <c r="B74" s="35">
        <v>41479</v>
      </c>
      <c r="C74" s="29" t="s">
        <v>16</v>
      </c>
      <c r="D74" s="36" t="s">
        <v>27</v>
      </c>
      <c r="E74" s="29">
        <v>121.5</v>
      </c>
      <c r="F74" s="29">
        <v>122</v>
      </c>
      <c r="G74" s="29">
        <v>5000</v>
      </c>
      <c r="H74" s="37">
        <v>2500</v>
      </c>
      <c r="I74" s="20"/>
    </row>
    <row r="75" spans="1:9" x14ac:dyDescent="0.3">
      <c r="A75" s="20"/>
      <c r="B75" s="35">
        <v>41480</v>
      </c>
      <c r="C75" s="29" t="s">
        <v>23</v>
      </c>
      <c r="D75" s="36" t="s">
        <v>28</v>
      </c>
      <c r="E75" s="29">
        <v>109.5</v>
      </c>
      <c r="F75" s="29">
        <v>109</v>
      </c>
      <c r="G75" s="29">
        <v>5000</v>
      </c>
      <c r="H75" s="37">
        <v>2500</v>
      </c>
      <c r="I75" s="20"/>
    </row>
    <row r="76" spans="1:9" x14ac:dyDescent="0.3">
      <c r="A76" s="20"/>
      <c r="B76" s="35">
        <v>41481</v>
      </c>
      <c r="C76" s="29" t="s">
        <v>16</v>
      </c>
      <c r="D76" s="29" t="s">
        <v>29</v>
      </c>
      <c r="E76" s="29">
        <v>414.5</v>
      </c>
      <c r="F76" s="29">
        <v>411.5</v>
      </c>
      <c r="G76" s="29">
        <v>1000</v>
      </c>
      <c r="H76" s="37">
        <v>-3000</v>
      </c>
      <c r="I76" s="20"/>
    </row>
    <row r="77" spans="1:9" x14ac:dyDescent="0.3">
      <c r="A77" s="20"/>
      <c r="B77" s="35">
        <v>41484</v>
      </c>
      <c r="C77" s="29" t="s">
        <v>16</v>
      </c>
      <c r="D77" s="29" t="s">
        <v>29</v>
      </c>
      <c r="E77" s="29">
        <v>408</v>
      </c>
      <c r="F77" s="29">
        <v>411</v>
      </c>
      <c r="G77" s="29">
        <v>1000</v>
      </c>
      <c r="H77" s="37">
        <v>3000</v>
      </c>
      <c r="I77" s="20"/>
    </row>
    <row r="78" spans="1:9" x14ac:dyDescent="0.3">
      <c r="A78" s="20"/>
      <c r="B78" s="35">
        <v>41485</v>
      </c>
      <c r="C78" s="37" t="s">
        <v>16</v>
      </c>
      <c r="D78" s="37" t="s">
        <v>56</v>
      </c>
      <c r="E78" s="37">
        <v>105</v>
      </c>
      <c r="F78" s="37">
        <v>105.5</v>
      </c>
      <c r="G78" s="37">
        <v>5000</v>
      </c>
      <c r="H78" s="37">
        <v>2500</v>
      </c>
      <c r="I78" s="20"/>
    </row>
    <row r="79" spans="1:9" x14ac:dyDescent="0.3">
      <c r="A79" s="42"/>
      <c r="B79" s="35">
        <v>41486</v>
      </c>
      <c r="C79" s="45" t="s">
        <v>23</v>
      </c>
      <c r="D79" s="45" t="s">
        <v>29</v>
      </c>
      <c r="E79" s="45">
        <v>418</v>
      </c>
      <c r="F79" s="45">
        <v>416</v>
      </c>
      <c r="G79" s="45">
        <v>1000</v>
      </c>
      <c r="H79" s="45">
        <v>2000</v>
      </c>
      <c r="I79" s="42"/>
    </row>
    <row r="80" spans="1:9" ht="15.6" x14ac:dyDescent="0.3">
      <c r="A80" s="43"/>
      <c r="B80" s="18"/>
      <c r="C80" s="45"/>
      <c r="D80" s="45"/>
      <c r="E80" s="45"/>
      <c r="F80" s="45"/>
      <c r="G80" s="45"/>
      <c r="H80" s="46">
        <v>52500</v>
      </c>
      <c r="I80" s="43"/>
    </row>
  </sheetData>
  <mergeCells count="5">
    <mergeCell ref="B1:H1"/>
    <mergeCell ref="B2:H2"/>
    <mergeCell ref="B3:H3"/>
    <mergeCell ref="B30:H30"/>
    <mergeCell ref="B56:H56"/>
  </mergeCells>
  <hyperlinks>
    <hyperlink ref="J2" location="MASTER!A1" display="Back" xr:uid="{00000000-0004-0000-0700-000000000000}"/>
  </hyperlinks>
  <pageMargins left="0.7" right="0.7" top="0.75" bottom="0.75" header="0.3" footer="0.3"/>
  <pageSetup orientation="portrait" horizontalDpi="300" verticalDpi="3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W102"/>
  <sheetViews>
    <sheetView topLeftCell="A45" workbookViewId="0">
      <selection activeCell="M67" sqref="M6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43647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24</v>
      </c>
      <c r="O4" s="355">
        <f>V39</f>
        <v>19</v>
      </c>
      <c r="P4" s="355">
        <f>W39</f>
        <v>4</v>
      </c>
      <c r="Q4" s="356">
        <f>N4-O4-P4</f>
        <v>1</v>
      </c>
      <c r="R4" s="343">
        <f>O4/N4</f>
        <v>0.79166666666666663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43647</v>
      </c>
      <c r="D6" s="192" t="s">
        <v>16</v>
      </c>
      <c r="E6" s="192" t="s">
        <v>24</v>
      </c>
      <c r="F6" s="193">
        <v>33750</v>
      </c>
      <c r="G6" s="193">
        <v>33810</v>
      </c>
      <c r="H6" s="192">
        <v>60</v>
      </c>
      <c r="I6" s="193">
        <v>100</v>
      </c>
      <c r="J6" s="267">
        <f>H6*I6</f>
        <v>6000</v>
      </c>
      <c r="K6" s="185"/>
      <c r="M6" s="364" t="s">
        <v>258</v>
      </c>
      <c r="N6" s="347">
        <f>COUNT(C47:C69)</f>
        <v>23</v>
      </c>
      <c r="O6" s="348">
        <f>V70</f>
        <v>20</v>
      </c>
      <c r="P6" s="348">
        <f>W70</f>
        <v>3</v>
      </c>
      <c r="Q6" s="349">
        <f>N6-O6-P6</f>
        <v>0</v>
      </c>
      <c r="R6" s="345">
        <f t="shared" ref="R6" si="0">O6/N6</f>
        <v>0.86956521739130432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43648</v>
      </c>
      <c r="D7" s="196" t="s">
        <v>16</v>
      </c>
      <c r="E7" s="196" t="s">
        <v>24</v>
      </c>
      <c r="F7" s="197">
        <v>33750</v>
      </c>
      <c r="G7" s="197">
        <v>33950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43649</v>
      </c>
      <c r="D8" s="196" t="s">
        <v>16</v>
      </c>
      <c r="E8" s="196" t="s">
        <v>24</v>
      </c>
      <c r="F8" s="197">
        <v>34380</v>
      </c>
      <c r="G8" s="197">
        <v>34440</v>
      </c>
      <c r="H8" s="196">
        <v>60</v>
      </c>
      <c r="I8" s="197">
        <v>100</v>
      </c>
      <c r="J8" s="268">
        <f t="shared" si="1"/>
        <v>6000</v>
      </c>
      <c r="K8" s="185"/>
      <c r="M8" s="362" t="s">
        <v>877</v>
      </c>
      <c r="N8" s="347">
        <f>COUNT(C78:C100)</f>
        <v>23</v>
      </c>
      <c r="O8" s="348">
        <f>V101</f>
        <v>15</v>
      </c>
      <c r="P8" s="348">
        <f>W101</f>
        <v>7</v>
      </c>
      <c r="Q8" s="349">
        <f>N8-O8-P8</f>
        <v>1</v>
      </c>
      <c r="R8" s="345">
        <f t="shared" ref="R8" si="4">O8/N8</f>
        <v>0.65217391304347827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43649</v>
      </c>
      <c r="D9" s="196" t="s">
        <v>16</v>
      </c>
      <c r="E9" s="196" t="s">
        <v>22</v>
      </c>
      <c r="F9" s="197">
        <v>37900</v>
      </c>
      <c r="G9" s="197">
        <v>37995</v>
      </c>
      <c r="H9" s="196">
        <v>95</v>
      </c>
      <c r="I9" s="197">
        <v>100</v>
      </c>
      <c r="J9" s="268">
        <f t="shared" si="1"/>
        <v>9500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43650</v>
      </c>
      <c r="D10" s="196" t="s">
        <v>23</v>
      </c>
      <c r="E10" s="196" t="s">
        <v>24</v>
      </c>
      <c r="F10" s="197">
        <v>34170</v>
      </c>
      <c r="G10" s="197">
        <v>34170</v>
      </c>
      <c r="H10" s="196">
        <v>0</v>
      </c>
      <c r="I10" s="197">
        <v>100</v>
      </c>
      <c r="J10" s="268">
        <f t="shared" si="1"/>
        <v>0</v>
      </c>
      <c r="K10" s="185"/>
      <c r="M10" s="319" t="s">
        <v>300</v>
      </c>
      <c r="N10" s="321">
        <f>SUM(N4:N9)</f>
        <v>70</v>
      </c>
      <c r="O10" s="321">
        <f>SUM(O4:O9)</f>
        <v>54</v>
      </c>
      <c r="P10" s="321">
        <f>SUM(P4:P9)</f>
        <v>14</v>
      </c>
      <c r="Q10" s="341">
        <f>SUM(Q4:Q9)</f>
        <v>2</v>
      </c>
      <c r="R10" s="343">
        <f t="shared" ref="R10" si="5">O10/N10</f>
        <v>0.77142857142857146</v>
      </c>
      <c r="V10" s="183">
        <f t="shared" si="2"/>
        <v>0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43651</v>
      </c>
      <c r="D11" s="196" t="s">
        <v>23</v>
      </c>
      <c r="E11" s="196" t="s">
        <v>24</v>
      </c>
      <c r="F11" s="197">
        <v>34940</v>
      </c>
      <c r="G11" s="197">
        <v>34740</v>
      </c>
      <c r="H11" s="196">
        <v>200</v>
      </c>
      <c r="I11" s="197">
        <v>100</v>
      </c>
      <c r="J11" s="268">
        <f t="shared" si="1"/>
        <v>20000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43654</v>
      </c>
      <c r="D12" s="196" t="s">
        <v>16</v>
      </c>
      <c r="E12" s="196" t="s">
        <v>24</v>
      </c>
      <c r="F12" s="197">
        <v>34760</v>
      </c>
      <c r="G12" s="197">
        <v>34660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0.77142857142857146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43655</v>
      </c>
      <c r="D13" s="196" t="s">
        <v>23</v>
      </c>
      <c r="E13" s="196" t="s">
        <v>24</v>
      </c>
      <c r="F13" s="197">
        <v>34420</v>
      </c>
      <c r="G13" s="197">
        <v>34350</v>
      </c>
      <c r="H13" s="196">
        <v>70</v>
      </c>
      <c r="I13" s="197">
        <v>100</v>
      </c>
      <c r="J13" s="268">
        <f t="shared" si="1"/>
        <v>7000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43656</v>
      </c>
      <c r="D14" s="196" t="s">
        <v>23</v>
      </c>
      <c r="E14" s="196" t="s">
        <v>24</v>
      </c>
      <c r="F14" s="197">
        <v>34520</v>
      </c>
      <c r="G14" s="197">
        <v>34460</v>
      </c>
      <c r="H14" s="196">
        <v>60</v>
      </c>
      <c r="I14" s="197">
        <v>100</v>
      </c>
      <c r="J14" s="268">
        <f t="shared" si="1"/>
        <v>6000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43657</v>
      </c>
      <c r="D15" s="196" t="s">
        <v>23</v>
      </c>
      <c r="E15" s="196" t="s">
        <v>24</v>
      </c>
      <c r="F15" s="197">
        <v>35020</v>
      </c>
      <c r="G15" s="197">
        <v>34820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43658</v>
      </c>
      <c r="D16" s="196" t="s">
        <v>23</v>
      </c>
      <c r="E16" s="196" t="s">
        <v>24</v>
      </c>
      <c r="F16" s="197">
        <v>34770</v>
      </c>
      <c r="G16" s="197">
        <v>34790</v>
      </c>
      <c r="H16" s="196">
        <v>-20</v>
      </c>
      <c r="I16" s="197">
        <v>100</v>
      </c>
      <c r="J16" s="268">
        <f t="shared" si="1"/>
        <v>-2000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43661</v>
      </c>
      <c r="D17" s="196" t="s">
        <v>23</v>
      </c>
      <c r="E17" s="196" t="s">
        <v>24</v>
      </c>
      <c r="F17" s="197">
        <v>34950</v>
      </c>
      <c r="G17" s="197">
        <v>34800</v>
      </c>
      <c r="H17" s="196">
        <v>150</v>
      </c>
      <c r="I17" s="197">
        <v>100</v>
      </c>
      <c r="J17" s="268">
        <f t="shared" si="1"/>
        <v>15000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43662</v>
      </c>
      <c r="D18" s="196" t="s">
        <v>23</v>
      </c>
      <c r="E18" s="196" t="s">
        <v>24</v>
      </c>
      <c r="F18" s="197">
        <v>34950</v>
      </c>
      <c r="G18" s="197">
        <v>34750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43663</v>
      </c>
      <c r="D19" s="196" t="s">
        <v>16</v>
      </c>
      <c r="E19" s="196" t="s">
        <v>24</v>
      </c>
      <c r="F19" s="197">
        <v>34690</v>
      </c>
      <c r="G19" s="197">
        <v>34890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43664</v>
      </c>
      <c r="D20" s="196" t="s">
        <v>23</v>
      </c>
      <c r="E20" s="196" t="s">
        <v>24</v>
      </c>
      <c r="F20" s="197">
        <v>34970</v>
      </c>
      <c r="G20" s="197">
        <v>34880</v>
      </c>
      <c r="H20" s="196">
        <v>90</v>
      </c>
      <c r="I20" s="197">
        <v>100</v>
      </c>
      <c r="J20" s="268">
        <f t="shared" si="1"/>
        <v>9000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43665</v>
      </c>
      <c r="D21" s="196" t="s">
        <v>23</v>
      </c>
      <c r="E21" s="196" t="s">
        <v>24</v>
      </c>
      <c r="F21" s="197">
        <v>35320</v>
      </c>
      <c r="G21" s="197">
        <v>35120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43668</v>
      </c>
      <c r="D22" s="196" t="s">
        <v>23</v>
      </c>
      <c r="E22" s="196" t="s">
        <v>24</v>
      </c>
      <c r="F22" s="197">
        <v>35120</v>
      </c>
      <c r="G22" s="197">
        <v>35050</v>
      </c>
      <c r="H22" s="196">
        <v>70</v>
      </c>
      <c r="I22" s="197">
        <v>100</v>
      </c>
      <c r="J22" s="268">
        <f t="shared" si="1"/>
        <v>7000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43669</v>
      </c>
      <c r="D23" s="196" t="s">
        <v>16</v>
      </c>
      <c r="E23" s="196" t="s">
        <v>24</v>
      </c>
      <c r="F23" s="197">
        <v>34920</v>
      </c>
      <c r="G23" s="197">
        <v>35120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43670</v>
      </c>
      <c r="D24" s="196" t="s">
        <v>23</v>
      </c>
      <c r="E24" s="196" t="s">
        <v>24</v>
      </c>
      <c r="F24" s="197">
        <v>35020</v>
      </c>
      <c r="G24" s="197">
        <v>34960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43671</v>
      </c>
      <c r="D25" s="196" t="s">
        <v>23</v>
      </c>
      <c r="E25" s="196" t="s">
        <v>24</v>
      </c>
      <c r="F25" s="197">
        <v>35040</v>
      </c>
      <c r="G25" s="197">
        <v>34890</v>
      </c>
      <c r="H25" s="196">
        <v>150</v>
      </c>
      <c r="I25" s="197">
        <v>100</v>
      </c>
      <c r="J25" s="268">
        <f t="shared" si="1"/>
        <v>15000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43672</v>
      </c>
      <c r="D26" s="196" t="s">
        <v>16</v>
      </c>
      <c r="E26" s="196" t="s">
        <v>24</v>
      </c>
      <c r="F26" s="197">
        <v>34830</v>
      </c>
      <c r="G26" s="197">
        <v>34730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43675</v>
      </c>
      <c r="D27" s="196" t="s">
        <v>16</v>
      </c>
      <c r="E27" s="196" t="s">
        <v>24</v>
      </c>
      <c r="F27" s="197">
        <v>34730</v>
      </c>
      <c r="G27" s="197">
        <v>34730</v>
      </c>
      <c r="H27" s="196">
        <v>-100</v>
      </c>
      <c r="I27" s="197">
        <v>100</v>
      </c>
      <c r="J27" s="268">
        <f t="shared" si="1"/>
        <v>-10000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43676</v>
      </c>
      <c r="D28" s="196" t="s">
        <v>23</v>
      </c>
      <c r="E28" s="196" t="s">
        <v>24</v>
      </c>
      <c r="F28" s="197">
        <v>34680</v>
      </c>
      <c r="G28" s="197">
        <v>34480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43677</v>
      </c>
      <c r="D29" s="196" t="s">
        <v>16</v>
      </c>
      <c r="E29" s="196" t="s">
        <v>24</v>
      </c>
      <c r="F29" s="197">
        <v>34520</v>
      </c>
      <c r="G29" s="197">
        <v>34620</v>
      </c>
      <c r="H29" s="196">
        <v>100</v>
      </c>
      <c r="I29" s="197">
        <v>100</v>
      </c>
      <c r="J29" s="268">
        <f t="shared" si="1"/>
        <v>10000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224500</v>
      </c>
      <c r="K39" s="185"/>
      <c r="V39" s="183">
        <f>SUM(V6:V38)</f>
        <v>19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43647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43647</v>
      </c>
      <c r="D47" s="192" t="s">
        <v>23</v>
      </c>
      <c r="E47" s="192" t="s">
        <v>25</v>
      </c>
      <c r="F47" s="193">
        <v>4140</v>
      </c>
      <c r="G47" s="193">
        <v>4080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43648</v>
      </c>
      <c r="D48" s="196" t="s">
        <v>23</v>
      </c>
      <c r="E48" s="196" t="s">
        <v>25</v>
      </c>
      <c r="F48" s="197">
        <v>4065</v>
      </c>
      <c r="G48" s="197">
        <v>4005</v>
      </c>
      <c r="H48" s="196">
        <v>60</v>
      </c>
      <c r="I48" s="197">
        <v>100</v>
      </c>
      <c r="J48" s="268">
        <f t="shared" si="6"/>
        <v>6000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43649</v>
      </c>
      <c r="D49" s="196" t="s">
        <v>23</v>
      </c>
      <c r="E49" s="196" t="s">
        <v>25</v>
      </c>
      <c r="F49" s="197">
        <v>3920</v>
      </c>
      <c r="G49" s="197">
        <v>3875</v>
      </c>
      <c r="H49" s="196">
        <v>45</v>
      </c>
      <c r="I49" s="197">
        <v>100</v>
      </c>
      <c r="J49" s="268">
        <f t="shared" si="6"/>
        <v>4500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43650</v>
      </c>
      <c r="D50" s="196" t="s">
        <v>23</v>
      </c>
      <c r="E50" s="196" t="s">
        <v>25</v>
      </c>
      <c r="F50" s="197">
        <v>3925</v>
      </c>
      <c r="G50" s="197">
        <v>3895</v>
      </c>
      <c r="H50" s="196">
        <v>30</v>
      </c>
      <c r="I50" s="197">
        <v>100</v>
      </c>
      <c r="J50" s="268">
        <f t="shared" si="6"/>
        <v>3000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43651</v>
      </c>
      <c r="D51" s="196" t="s">
        <v>23</v>
      </c>
      <c r="E51" s="196" t="s">
        <v>25</v>
      </c>
      <c r="F51" s="197">
        <v>3890</v>
      </c>
      <c r="G51" s="197">
        <v>3850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43654</v>
      </c>
      <c r="D52" s="196" t="s">
        <v>23</v>
      </c>
      <c r="E52" s="196" t="s">
        <v>25</v>
      </c>
      <c r="F52" s="197">
        <v>3980</v>
      </c>
      <c r="G52" s="197">
        <v>3940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43655</v>
      </c>
      <c r="D53" s="196" t="s">
        <v>23</v>
      </c>
      <c r="E53" s="196" t="s">
        <v>25</v>
      </c>
      <c r="F53" s="197">
        <v>3950</v>
      </c>
      <c r="G53" s="197">
        <v>3980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43656</v>
      </c>
      <c r="D54" s="196" t="s">
        <v>23</v>
      </c>
      <c r="E54" s="196" t="s">
        <v>25</v>
      </c>
      <c r="F54" s="197">
        <v>4060</v>
      </c>
      <c r="G54" s="197">
        <v>4090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9</v>
      </c>
      <c r="C55" s="195">
        <v>43657</v>
      </c>
      <c r="D55" s="196" t="s">
        <v>23</v>
      </c>
      <c r="E55" s="196" t="s">
        <v>25</v>
      </c>
      <c r="F55" s="197">
        <v>4165</v>
      </c>
      <c r="G55" s="197">
        <v>4135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43658</v>
      </c>
      <c r="D56" s="196" t="s">
        <v>23</v>
      </c>
      <c r="E56" s="196" t="s">
        <v>25</v>
      </c>
      <c r="F56" s="197">
        <v>4150</v>
      </c>
      <c r="G56" s="197">
        <v>4120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43661</v>
      </c>
      <c r="D57" s="196" t="s">
        <v>23</v>
      </c>
      <c r="E57" s="196" t="s">
        <v>25</v>
      </c>
      <c r="F57" s="197">
        <v>4145</v>
      </c>
      <c r="G57" s="197">
        <v>4085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43662</v>
      </c>
      <c r="D58" s="196" t="s">
        <v>23</v>
      </c>
      <c r="E58" s="196" t="s">
        <v>25</v>
      </c>
      <c r="F58" s="197">
        <v>4105</v>
      </c>
      <c r="G58" s="197">
        <v>4045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43663</v>
      </c>
      <c r="D59" s="196" t="s">
        <v>23</v>
      </c>
      <c r="E59" s="196" t="s">
        <v>25</v>
      </c>
      <c r="F59" s="197">
        <v>3995</v>
      </c>
      <c r="G59" s="197">
        <v>3935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43664</v>
      </c>
      <c r="D60" s="196" t="s">
        <v>23</v>
      </c>
      <c r="E60" s="196" t="s">
        <v>25</v>
      </c>
      <c r="F60" s="197">
        <v>3950</v>
      </c>
      <c r="G60" s="197">
        <v>3890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43665</v>
      </c>
      <c r="D61" s="196" t="s">
        <v>23</v>
      </c>
      <c r="E61" s="196" t="s">
        <v>25</v>
      </c>
      <c r="F61" s="197">
        <v>3850</v>
      </c>
      <c r="G61" s="197">
        <v>3800</v>
      </c>
      <c r="H61" s="196">
        <v>50</v>
      </c>
      <c r="I61" s="197">
        <v>100</v>
      </c>
      <c r="J61" s="268">
        <f t="shared" si="6"/>
        <v>5000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43668</v>
      </c>
      <c r="D62" s="196" t="s">
        <v>23</v>
      </c>
      <c r="E62" s="196" t="s">
        <v>25</v>
      </c>
      <c r="F62" s="197">
        <v>3930</v>
      </c>
      <c r="G62" s="197">
        <v>3870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43669</v>
      </c>
      <c r="D63" s="196" t="s">
        <v>23</v>
      </c>
      <c r="E63" s="196" t="s">
        <v>25</v>
      </c>
      <c r="F63" s="197">
        <v>3890</v>
      </c>
      <c r="G63" s="197">
        <v>3860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43670</v>
      </c>
      <c r="D64" s="196" t="s">
        <v>23</v>
      </c>
      <c r="E64" s="196" t="s">
        <v>25</v>
      </c>
      <c r="F64" s="197">
        <v>3935</v>
      </c>
      <c r="G64" s="197">
        <v>3965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19</v>
      </c>
      <c r="C65" s="195">
        <v>43671</v>
      </c>
      <c r="D65" s="196" t="s">
        <v>23</v>
      </c>
      <c r="E65" s="196" t="s">
        <v>25</v>
      </c>
      <c r="F65" s="197">
        <v>3925</v>
      </c>
      <c r="G65" s="197">
        <v>3885</v>
      </c>
      <c r="H65" s="196">
        <v>40</v>
      </c>
      <c r="I65" s="197">
        <v>100</v>
      </c>
      <c r="J65" s="268">
        <f t="shared" si="6"/>
        <v>4000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43672</v>
      </c>
      <c r="D66" s="196" t="s">
        <v>23</v>
      </c>
      <c r="E66" s="196" t="s">
        <v>25</v>
      </c>
      <c r="F66" s="197">
        <v>3905</v>
      </c>
      <c r="G66" s="197">
        <v>3845</v>
      </c>
      <c r="H66" s="196"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43675</v>
      </c>
      <c r="D67" s="196" t="s">
        <v>23</v>
      </c>
      <c r="E67" s="196" t="s">
        <v>25</v>
      </c>
      <c r="F67" s="197">
        <v>3883</v>
      </c>
      <c r="G67" s="197">
        <v>3863</v>
      </c>
      <c r="H67" s="196">
        <v>20</v>
      </c>
      <c r="I67" s="197">
        <v>100</v>
      </c>
      <c r="J67" s="268">
        <f t="shared" si="6"/>
        <v>2000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>
        <v>43676</v>
      </c>
      <c r="D68" s="196" t="s">
        <v>23</v>
      </c>
      <c r="E68" s="196" t="s">
        <v>25</v>
      </c>
      <c r="F68" s="197">
        <v>3960</v>
      </c>
      <c r="G68" s="197">
        <v>3930</v>
      </c>
      <c r="H68" s="196">
        <v>30</v>
      </c>
      <c r="I68" s="197">
        <v>100</v>
      </c>
      <c r="J68" s="268">
        <f t="shared" si="6"/>
        <v>3000</v>
      </c>
      <c r="K68" s="185"/>
      <c r="V68" s="183">
        <f t="shared" si="7"/>
        <v>1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>
        <v>43677</v>
      </c>
      <c r="D69" s="196" t="s">
        <v>23</v>
      </c>
      <c r="E69" s="196" t="s">
        <v>25</v>
      </c>
      <c r="F69" s="197">
        <v>4030</v>
      </c>
      <c r="G69" s="197">
        <v>4005</v>
      </c>
      <c r="H69" s="196">
        <v>25</v>
      </c>
      <c r="I69" s="202">
        <v>100</v>
      </c>
      <c r="J69" s="269">
        <f t="shared" si="6"/>
        <v>2500</v>
      </c>
      <c r="K69" s="185"/>
      <c r="V69" s="183">
        <f t="shared" si="7"/>
        <v>1</v>
      </c>
      <c r="W69" s="183">
        <f t="shared" si="8"/>
        <v>0</v>
      </c>
    </row>
    <row r="70" spans="1:23" ht="24" thickBot="1" x14ac:dyDescent="0.5">
      <c r="A70" s="184"/>
      <c r="B70" s="304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82000</v>
      </c>
      <c r="K70" s="185"/>
      <c r="V70" s="183">
        <f>SUM(V47:V69)</f>
        <v>20</v>
      </c>
      <c r="W70" s="183">
        <f>SUM(W47:W69)</f>
        <v>3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43647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43647</v>
      </c>
      <c r="D78" s="216" t="s">
        <v>23</v>
      </c>
      <c r="E78" s="256" t="s">
        <v>28</v>
      </c>
      <c r="F78" s="256">
        <v>201</v>
      </c>
      <c r="G78" s="256">
        <v>199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43648</v>
      </c>
      <c r="D79" s="196" t="s">
        <v>23</v>
      </c>
      <c r="E79" s="222" t="s">
        <v>28</v>
      </c>
      <c r="F79" s="222">
        <v>197.4</v>
      </c>
      <c r="G79" s="222">
        <v>196.9</v>
      </c>
      <c r="H79" s="222">
        <v>0.5</v>
      </c>
      <c r="I79" s="197">
        <v>5000</v>
      </c>
      <c r="J79" s="268">
        <f t="shared" ref="J79:J100" si="9">I79*H79</f>
        <v>2500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43649</v>
      </c>
      <c r="D80" s="196" t="s">
        <v>16</v>
      </c>
      <c r="E80" s="222" t="s">
        <v>28</v>
      </c>
      <c r="F80" s="222">
        <v>199.2</v>
      </c>
      <c r="G80" s="222">
        <v>198.2</v>
      </c>
      <c r="H80" s="222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4</v>
      </c>
      <c r="C81" s="195">
        <v>43650</v>
      </c>
      <c r="D81" s="196" t="s">
        <v>16</v>
      </c>
      <c r="E81" s="222" t="s">
        <v>28</v>
      </c>
      <c r="F81" s="222">
        <v>195.4</v>
      </c>
      <c r="G81" s="222">
        <v>195</v>
      </c>
      <c r="H81" s="222">
        <v>-0.4</v>
      </c>
      <c r="I81" s="197">
        <v>5000</v>
      </c>
      <c r="J81" s="268">
        <f t="shared" si="9"/>
        <v>-2000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5</v>
      </c>
      <c r="C82" s="195">
        <v>43651</v>
      </c>
      <c r="D82" s="196" t="s">
        <v>23</v>
      </c>
      <c r="E82" s="222" t="s">
        <v>29</v>
      </c>
      <c r="F82" s="222">
        <v>437.9</v>
      </c>
      <c r="G82" s="222">
        <v>437.9</v>
      </c>
      <c r="H82" s="222">
        <v>0</v>
      </c>
      <c r="I82" s="197">
        <v>1000</v>
      </c>
      <c r="J82" s="268">
        <f t="shared" si="9"/>
        <v>0</v>
      </c>
      <c r="K82" s="185"/>
      <c r="V82" s="183">
        <f t="shared" si="10"/>
        <v>0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43654</v>
      </c>
      <c r="D83" s="196" t="s">
        <v>23</v>
      </c>
      <c r="E83" s="222" t="s">
        <v>29</v>
      </c>
      <c r="F83" s="222">
        <v>441</v>
      </c>
      <c r="G83" s="222">
        <v>438</v>
      </c>
      <c r="H83" s="222">
        <v>3</v>
      </c>
      <c r="I83" s="197">
        <v>1000</v>
      </c>
      <c r="J83" s="268">
        <f t="shared" si="9"/>
        <v>3000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43655</v>
      </c>
      <c r="D84" s="196" t="s">
        <v>23</v>
      </c>
      <c r="E84" s="222" t="s">
        <v>29</v>
      </c>
      <c r="F84" s="222">
        <v>434</v>
      </c>
      <c r="G84" s="222">
        <v>431.5</v>
      </c>
      <c r="H84" s="274">
        <v>2.5</v>
      </c>
      <c r="I84" s="197">
        <v>1000</v>
      </c>
      <c r="J84" s="268">
        <f t="shared" si="9"/>
        <v>2500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43656</v>
      </c>
      <c r="D85" s="196" t="s">
        <v>16</v>
      </c>
      <c r="E85" s="222" t="s">
        <v>29</v>
      </c>
      <c r="F85" s="222">
        <v>437</v>
      </c>
      <c r="G85" s="222">
        <v>442</v>
      </c>
      <c r="H85" s="222">
        <v>5</v>
      </c>
      <c r="I85" s="197">
        <v>1000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43657</v>
      </c>
      <c r="D86" s="196" t="s">
        <v>23</v>
      </c>
      <c r="E86" s="222" t="s">
        <v>29</v>
      </c>
      <c r="F86" s="222">
        <v>441.5</v>
      </c>
      <c r="G86" s="222">
        <v>440</v>
      </c>
      <c r="H86" s="222">
        <v>1.5</v>
      </c>
      <c r="I86" s="197">
        <v>1000</v>
      </c>
      <c r="J86" s="268">
        <f t="shared" si="9"/>
        <v>1500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43658</v>
      </c>
      <c r="D87" s="196" t="s">
        <v>23</v>
      </c>
      <c r="E87" s="222" t="s">
        <v>29</v>
      </c>
      <c r="F87" s="222">
        <v>444</v>
      </c>
      <c r="G87" s="222">
        <v>441</v>
      </c>
      <c r="H87" s="222">
        <v>3</v>
      </c>
      <c r="I87" s="197">
        <v>1000</v>
      </c>
      <c r="J87" s="268">
        <f t="shared" si="9"/>
        <v>3000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43661</v>
      </c>
      <c r="D88" s="196" t="s">
        <v>23</v>
      </c>
      <c r="E88" s="222" t="s">
        <v>29</v>
      </c>
      <c r="F88" s="222">
        <v>444.5</v>
      </c>
      <c r="G88" s="222">
        <v>445.3</v>
      </c>
      <c r="H88" s="274">
        <v>-0.8</v>
      </c>
      <c r="I88" s="197">
        <v>1000</v>
      </c>
      <c r="J88" s="268">
        <f t="shared" si="9"/>
        <v>-800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12</v>
      </c>
      <c r="C89" s="195">
        <v>43662</v>
      </c>
      <c r="D89" s="196" t="s">
        <v>23</v>
      </c>
      <c r="E89" s="222" t="s">
        <v>29</v>
      </c>
      <c r="F89" s="222">
        <v>445.5</v>
      </c>
      <c r="G89" s="222">
        <v>448.5</v>
      </c>
      <c r="H89" s="274">
        <v>-3</v>
      </c>
      <c r="I89" s="197">
        <v>1000</v>
      </c>
      <c r="J89" s="268">
        <f t="shared" si="9"/>
        <v>-3000</v>
      </c>
      <c r="K89" s="185"/>
      <c r="V89" s="183">
        <f t="shared" si="10"/>
        <v>0</v>
      </c>
      <c r="W89" s="183">
        <f t="shared" si="11"/>
        <v>1</v>
      </c>
    </row>
    <row r="90" spans="1:23" x14ac:dyDescent="0.3">
      <c r="A90" s="184"/>
      <c r="B90" s="194">
        <v>13</v>
      </c>
      <c r="C90" s="195">
        <v>43663</v>
      </c>
      <c r="D90" s="196" t="s">
        <v>16</v>
      </c>
      <c r="E90" s="222" t="s">
        <v>28</v>
      </c>
      <c r="F90" s="222">
        <v>194.4</v>
      </c>
      <c r="G90" s="222">
        <v>195</v>
      </c>
      <c r="H90" s="274">
        <v>0.6</v>
      </c>
      <c r="I90" s="197">
        <v>5000</v>
      </c>
      <c r="J90" s="268">
        <f t="shared" si="9"/>
        <v>3000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43664</v>
      </c>
      <c r="D91" s="196" t="s">
        <v>23</v>
      </c>
      <c r="E91" s="222" t="s">
        <v>28</v>
      </c>
      <c r="F91" s="222">
        <v>195.8</v>
      </c>
      <c r="G91" s="222">
        <v>194.8</v>
      </c>
      <c r="H91" s="274">
        <v>-1</v>
      </c>
      <c r="I91" s="197">
        <v>5000</v>
      </c>
      <c r="J91" s="268">
        <f t="shared" si="9"/>
        <v>-5000</v>
      </c>
      <c r="K91" s="185"/>
      <c r="V91" s="183">
        <f t="shared" si="10"/>
        <v>0</v>
      </c>
      <c r="W91" s="183">
        <f t="shared" si="11"/>
        <v>1</v>
      </c>
    </row>
    <row r="92" spans="1:23" x14ac:dyDescent="0.3">
      <c r="A92" s="184"/>
      <c r="B92" s="194">
        <v>15</v>
      </c>
      <c r="C92" s="195">
        <v>43665</v>
      </c>
      <c r="D92" s="196" t="s">
        <v>16</v>
      </c>
      <c r="E92" s="222" t="s">
        <v>28</v>
      </c>
      <c r="F92" s="223">
        <v>192</v>
      </c>
      <c r="G92" s="222">
        <v>193.4</v>
      </c>
      <c r="H92" s="274">
        <v>1.4</v>
      </c>
      <c r="I92" s="197">
        <v>5000</v>
      </c>
      <c r="J92" s="268">
        <f t="shared" si="9"/>
        <v>7000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43668</v>
      </c>
      <c r="D93" s="196" t="s">
        <v>16</v>
      </c>
      <c r="E93" s="222" t="s">
        <v>28</v>
      </c>
      <c r="F93" s="222">
        <v>190.4</v>
      </c>
      <c r="G93" s="222">
        <v>192</v>
      </c>
      <c r="H93" s="274">
        <v>1.6</v>
      </c>
      <c r="I93" s="197">
        <v>5000</v>
      </c>
      <c r="J93" s="268">
        <f t="shared" si="9"/>
        <v>8000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43669</v>
      </c>
      <c r="D94" s="196" t="s">
        <v>16</v>
      </c>
      <c r="E94" s="222" t="s">
        <v>28</v>
      </c>
      <c r="F94" s="222">
        <v>190.9</v>
      </c>
      <c r="G94" s="222">
        <v>191.4</v>
      </c>
      <c r="H94" s="274">
        <v>0.5</v>
      </c>
      <c r="I94" s="197">
        <v>5000</v>
      </c>
      <c r="J94" s="268">
        <f t="shared" si="9"/>
        <v>2500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43670</v>
      </c>
      <c r="D95" s="196" t="s">
        <v>16</v>
      </c>
      <c r="E95" s="222" t="s">
        <v>28</v>
      </c>
      <c r="F95" s="222">
        <v>192.7</v>
      </c>
      <c r="G95" s="222">
        <v>194.7</v>
      </c>
      <c r="H95" s="274">
        <v>2</v>
      </c>
      <c r="I95" s="197">
        <v>5000</v>
      </c>
      <c r="J95" s="268">
        <f t="shared" si="9"/>
        <v>10000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43671</v>
      </c>
      <c r="D96" s="196" t="s">
        <v>16</v>
      </c>
      <c r="E96" s="222" t="s">
        <v>28</v>
      </c>
      <c r="F96" s="222">
        <v>192.6</v>
      </c>
      <c r="G96" s="222">
        <v>193.1</v>
      </c>
      <c r="H96" s="274">
        <v>0.5</v>
      </c>
      <c r="I96" s="197">
        <v>5000</v>
      </c>
      <c r="J96" s="268">
        <f t="shared" si="9"/>
        <v>2500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43672</v>
      </c>
      <c r="D97" s="196" t="s">
        <v>16</v>
      </c>
      <c r="E97" s="222" t="s">
        <v>28</v>
      </c>
      <c r="F97" s="222">
        <v>191</v>
      </c>
      <c r="G97" s="222">
        <v>190</v>
      </c>
      <c r="H97" s="274">
        <v>-1</v>
      </c>
      <c r="I97" s="197">
        <v>5000</v>
      </c>
      <c r="J97" s="268">
        <f t="shared" si="9"/>
        <v>-5000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21</v>
      </c>
      <c r="C98" s="195">
        <v>43675</v>
      </c>
      <c r="D98" s="196" t="s">
        <v>16</v>
      </c>
      <c r="E98" s="222" t="s">
        <v>28</v>
      </c>
      <c r="F98" s="222">
        <v>192.1</v>
      </c>
      <c r="G98" s="222">
        <v>194.1</v>
      </c>
      <c r="H98" s="274">
        <v>2</v>
      </c>
      <c r="I98" s="197">
        <v>5000</v>
      </c>
      <c r="J98" s="268">
        <f t="shared" si="9"/>
        <v>10000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>
        <v>43676</v>
      </c>
      <c r="D99" s="196" t="s">
        <v>16</v>
      </c>
      <c r="E99" s="222" t="s">
        <v>28</v>
      </c>
      <c r="F99" s="222">
        <v>194.4</v>
      </c>
      <c r="G99" s="222">
        <v>193.4</v>
      </c>
      <c r="H99" s="222">
        <v>-1</v>
      </c>
      <c r="I99" s="197">
        <v>5000</v>
      </c>
      <c r="J99" s="268">
        <f t="shared" si="9"/>
        <v>-5000</v>
      </c>
      <c r="K99" s="185"/>
      <c r="V99" s="183">
        <f t="shared" si="10"/>
        <v>0</v>
      </c>
      <c r="W99" s="183">
        <f t="shared" si="11"/>
        <v>1</v>
      </c>
    </row>
    <row r="100" spans="1:23" ht="15" thickBot="1" x14ac:dyDescent="0.35">
      <c r="A100" s="184"/>
      <c r="B100" s="219">
        <v>23</v>
      </c>
      <c r="C100" s="220">
        <v>43677</v>
      </c>
      <c r="D100" s="221" t="s">
        <v>16</v>
      </c>
      <c r="E100" s="221" t="s">
        <v>28</v>
      </c>
      <c r="F100" s="222">
        <v>192.1</v>
      </c>
      <c r="G100" s="222">
        <v>192.6</v>
      </c>
      <c r="H100" s="222">
        <v>0.5</v>
      </c>
      <c r="I100" s="211">
        <v>5000</v>
      </c>
      <c r="J100" s="272">
        <f t="shared" si="9"/>
        <v>2500</v>
      </c>
      <c r="K100" s="185"/>
      <c r="V100" s="183">
        <f t="shared" si="10"/>
        <v>1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47200</v>
      </c>
      <c r="K101" s="185"/>
      <c r="V101" s="183">
        <f>SUM(V78:V100)</f>
        <v>15</v>
      </c>
      <c r="W101" s="183">
        <f>SUM(W78:W100)</f>
        <v>7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4F00-000000000000}"/>
    <hyperlink ref="B70" r:id="rId2" xr:uid="{00000000-0004-0000-4F00-000001000000}"/>
    <hyperlink ref="M4:M5" location="'JULY 2019'!A1" display="BULLION" xr:uid="{00000000-0004-0000-4F00-000002000000}"/>
    <hyperlink ref="B101" r:id="rId3" xr:uid="{00000000-0004-0000-4F00-000003000000}"/>
    <hyperlink ref="M8:M9" location="'JULY 2019'!A86" display="BASE METAL" xr:uid="{00000000-0004-0000-4F00-000004000000}"/>
    <hyperlink ref="M1" location="MASTER!A1" display="Back" xr:uid="{00000000-0004-0000-4F00-000005000000}"/>
    <hyperlink ref="M6:M7" location="'JULY 2019'!A54" display="ENERGY" xr:uid="{00000000-0004-0000-4F00-000006000000}"/>
  </hyperlinks>
  <pageMargins left="0" right="0" top="0" bottom="0" header="0" footer="0"/>
  <pageSetup paperSize="9" orientation="portrait" r:id="rId4"/>
  <drawing r:id="rId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W102"/>
  <sheetViews>
    <sheetView topLeftCell="A49" workbookViewId="0">
      <selection activeCell="I72" sqref="I72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43678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19</v>
      </c>
      <c r="O4" s="355">
        <f>V39</f>
        <v>15</v>
      </c>
      <c r="P4" s="355">
        <f>W39</f>
        <v>4</v>
      </c>
      <c r="Q4" s="356">
        <f>N4-O4-P4</f>
        <v>0</v>
      </c>
      <c r="R4" s="343">
        <f>O4/N4</f>
        <v>0.78947368421052633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43679</v>
      </c>
      <c r="D6" s="192" t="s">
        <v>16</v>
      </c>
      <c r="E6" s="192" t="s">
        <v>24</v>
      </c>
      <c r="F6" s="193">
        <v>35900</v>
      </c>
      <c r="G6" s="193">
        <v>36100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COUNT(C47:C69)</f>
        <v>19</v>
      </c>
      <c r="O6" s="348">
        <f>V70</f>
        <v>11</v>
      </c>
      <c r="P6" s="348">
        <f>W70</f>
        <v>8</v>
      </c>
      <c r="Q6" s="349">
        <f>N6-O6-P6</f>
        <v>0</v>
      </c>
      <c r="R6" s="345">
        <f t="shared" ref="R6" si="0">O6/N6</f>
        <v>0.57894736842105265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43682</v>
      </c>
      <c r="D7" s="196" t="s">
        <v>16</v>
      </c>
      <c r="E7" s="196" t="s">
        <v>24</v>
      </c>
      <c r="F7" s="197">
        <v>36950</v>
      </c>
      <c r="G7" s="197">
        <v>37150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43683</v>
      </c>
      <c r="D8" s="196" t="s">
        <v>16</v>
      </c>
      <c r="E8" s="196" t="s">
        <v>24</v>
      </c>
      <c r="F8" s="197">
        <v>37120</v>
      </c>
      <c r="G8" s="197">
        <v>37320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COUNT(C78:C100)</f>
        <v>20</v>
      </c>
      <c r="O8" s="348">
        <f>V101</f>
        <v>12</v>
      </c>
      <c r="P8" s="348">
        <f>W101</f>
        <v>8</v>
      </c>
      <c r="Q8" s="349">
        <f>N8-O8-P8</f>
        <v>0</v>
      </c>
      <c r="R8" s="345">
        <f t="shared" ref="R8" si="4">O8/N8</f>
        <v>0.6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43684</v>
      </c>
      <c r="D9" s="196" t="s">
        <v>23</v>
      </c>
      <c r="E9" s="196" t="s">
        <v>24</v>
      </c>
      <c r="F9" s="197">
        <v>37680</v>
      </c>
      <c r="G9" s="197">
        <v>37780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43685</v>
      </c>
      <c r="D10" s="196" t="s">
        <v>23</v>
      </c>
      <c r="E10" s="196" t="s">
        <v>24</v>
      </c>
      <c r="F10" s="197">
        <v>37800</v>
      </c>
      <c r="G10" s="197">
        <v>37900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58</v>
      </c>
      <c r="O10" s="321">
        <f>SUM(O4:O9)</f>
        <v>38</v>
      </c>
      <c r="P10" s="321">
        <f>SUM(P4:P9)</f>
        <v>20</v>
      </c>
      <c r="Q10" s="341">
        <f>SUM(Q4:Q9)</f>
        <v>0</v>
      </c>
      <c r="R10" s="343">
        <f t="shared" ref="R10" si="5">O10/N10</f>
        <v>0.65517241379310343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43686</v>
      </c>
      <c r="D11" s="196" t="s">
        <v>16</v>
      </c>
      <c r="E11" s="196" t="s">
        <v>24</v>
      </c>
      <c r="F11" s="197">
        <v>37950</v>
      </c>
      <c r="G11" s="197">
        <v>38015</v>
      </c>
      <c r="H11" s="196">
        <v>65</v>
      </c>
      <c r="I11" s="197">
        <v>100</v>
      </c>
      <c r="J11" s="268">
        <f t="shared" si="1"/>
        <v>6500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43690</v>
      </c>
      <c r="D12" s="196" t="s">
        <v>16</v>
      </c>
      <c r="E12" s="196" t="s">
        <v>24</v>
      </c>
      <c r="F12" s="197">
        <v>38540</v>
      </c>
      <c r="G12" s="197">
        <v>38640</v>
      </c>
      <c r="H12" s="196">
        <v>100</v>
      </c>
      <c r="I12" s="197">
        <v>100</v>
      </c>
      <c r="J12" s="268">
        <f t="shared" si="1"/>
        <v>10000</v>
      </c>
      <c r="K12" s="185"/>
      <c r="M12" s="323" t="s">
        <v>878</v>
      </c>
      <c r="N12" s="324"/>
      <c r="O12" s="325"/>
      <c r="P12" s="332">
        <f>R10</f>
        <v>0.65517241379310343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43691</v>
      </c>
      <c r="D13" s="196" t="s">
        <v>16</v>
      </c>
      <c r="E13" s="196" t="s">
        <v>24</v>
      </c>
      <c r="F13" s="197">
        <v>37900</v>
      </c>
      <c r="G13" s="197">
        <v>38100</v>
      </c>
      <c r="H13" s="196">
        <v>200</v>
      </c>
      <c r="I13" s="197">
        <v>100</v>
      </c>
      <c r="J13" s="268">
        <f t="shared" si="1"/>
        <v>20000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43693</v>
      </c>
      <c r="D14" s="196" t="s">
        <v>23</v>
      </c>
      <c r="E14" s="196" t="s">
        <v>24</v>
      </c>
      <c r="F14" s="197">
        <v>37840</v>
      </c>
      <c r="G14" s="197">
        <v>37940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43696</v>
      </c>
      <c r="D15" s="196" t="s">
        <v>23</v>
      </c>
      <c r="E15" s="196" t="s">
        <v>24</v>
      </c>
      <c r="F15" s="197">
        <v>37670</v>
      </c>
      <c r="G15" s="197">
        <v>37620</v>
      </c>
      <c r="H15" s="196">
        <v>50</v>
      </c>
      <c r="I15" s="197">
        <v>100</v>
      </c>
      <c r="J15" s="268">
        <f t="shared" si="1"/>
        <v>5000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43697</v>
      </c>
      <c r="D16" s="196" t="s">
        <v>23</v>
      </c>
      <c r="E16" s="196" t="s">
        <v>24</v>
      </c>
      <c r="F16" s="197">
        <v>37980</v>
      </c>
      <c r="G16" s="197">
        <v>37891</v>
      </c>
      <c r="H16" s="196">
        <v>89</v>
      </c>
      <c r="I16" s="197">
        <v>100</v>
      </c>
      <c r="J16" s="268">
        <f t="shared" si="1"/>
        <v>8900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43698</v>
      </c>
      <c r="D17" s="196" t="s">
        <v>16</v>
      </c>
      <c r="E17" s="196" t="s">
        <v>24</v>
      </c>
      <c r="F17" s="197">
        <v>37840</v>
      </c>
      <c r="G17" s="197">
        <v>38040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43699</v>
      </c>
      <c r="D18" s="196" t="s">
        <v>16</v>
      </c>
      <c r="E18" s="196" t="s">
        <v>24</v>
      </c>
      <c r="F18" s="197">
        <v>38000</v>
      </c>
      <c r="G18" s="197">
        <v>38200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43700</v>
      </c>
      <c r="D19" s="196" t="s">
        <v>16</v>
      </c>
      <c r="E19" s="196" t="s">
        <v>24</v>
      </c>
      <c r="F19" s="197">
        <v>38000</v>
      </c>
      <c r="G19" s="197">
        <v>38160</v>
      </c>
      <c r="H19" s="196">
        <v>160</v>
      </c>
      <c r="I19" s="197">
        <v>100</v>
      </c>
      <c r="J19" s="268">
        <f t="shared" si="1"/>
        <v>16000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43703</v>
      </c>
      <c r="D20" s="196" t="s">
        <v>16</v>
      </c>
      <c r="E20" s="196" t="s">
        <v>24</v>
      </c>
      <c r="F20" s="197">
        <v>38940</v>
      </c>
      <c r="G20" s="197">
        <v>39040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43704</v>
      </c>
      <c r="D21" s="196" t="s">
        <v>16</v>
      </c>
      <c r="E21" s="196" t="s">
        <v>24</v>
      </c>
      <c r="F21" s="197">
        <v>38820</v>
      </c>
      <c r="G21" s="197">
        <v>38720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43705</v>
      </c>
      <c r="D22" s="196" t="s">
        <v>16</v>
      </c>
      <c r="E22" s="196" t="s">
        <v>24</v>
      </c>
      <c r="F22" s="197">
        <v>39130</v>
      </c>
      <c r="G22" s="197">
        <v>39280</v>
      </c>
      <c r="H22" s="196">
        <v>150</v>
      </c>
      <c r="I22" s="197">
        <v>100</v>
      </c>
      <c r="J22" s="268">
        <f t="shared" si="1"/>
        <v>15000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43706</v>
      </c>
      <c r="D23" s="196" t="s">
        <v>23</v>
      </c>
      <c r="E23" s="196" t="s">
        <v>24</v>
      </c>
      <c r="F23" s="197">
        <v>39100</v>
      </c>
      <c r="G23" s="197">
        <v>39020</v>
      </c>
      <c r="H23" s="196">
        <v>80</v>
      </c>
      <c r="I23" s="197">
        <v>100</v>
      </c>
      <c r="J23" s="268">
        <f t="shared" si="1"/>
        <v>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43707</v>
      </c>
      <c r="D24" s="196" t="s">
        <v>16</v>
      </c>
      <c r="E24" s="196" t="s">
        <v>24</v>
      </c>
      <c r="F24" s="197">
        <v>38680</v>
      </c>
      <c r="G24" s="197">
        <v>38810</v>
      </c>
      <c r="H24" s="196">
        <v>130</v>
      </c>
      <c r="I24" s="197">
        <v>100</v>
      </c>
      <c r="J24" s="268">
        <f t="shared" si="1"/>
        <v>13000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172400</v>
      </c>
      <c r="K39" s="185"/>
      <c r="V39" s="183">
        <f>SUM(V6:V38)</f>
        <v>15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43678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43679</v>
      </c>
      <c r="D47" s="192" t="s">
        <v>16</v>
      </c>
      <c r="E47" s="192" t="s">
        <v>25</v>
      </c>
      <c r="F47" s="193">
        <v>3825</v>
      </c>
      <c r="G47" s="193">
        <v>3855</v>
      </c>
      <c r="H47" s="192">
        <v>-30</v>
      </c>
      <c r="I47" s="193">
        <v>100</v>
      </c>
      <c r="J47" s="267">
        <f t="shared" ref="J47:J69" si="6">I47*H47</f>
        <v>-3000</v>
      </c>
      <c r="K47" s="185"/>
      <c r="V47" s="183">
        <f>IF($J47&gt;0,1,0)</f>
        <v>0</v>
      </c>
      <c r="W47" s="183">
        <f>IF($J47&lt;0,1,0)</f>
        <v>1</v>
      </c>
    </row>
    <row r="48" spans="1:23" x14ac:dyDescent="0.3">
      <c r="A48" s="184"/>
      <c r="B48" s="194">
        <v>2</v>
      </c>
      <c r="C48" s="195">
        <v>43682</v>
      </c>
      <c r="D48" s="196" t="s">
        <v>23</v>
      </c>
      <c r="E48" s="196" t="s">
        <v>25</v>
      </c>
      <c r="F48" s="197">
        <v>3875</v>
      </c>
      <c r="G48" s="197">
        <v>3905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43683</v>
      </c>
      <c r="D49" s="196" t="s">
        <v>23</v>
      </c>
      <c r="E49" s="196" t="s">
        <v>25</v>
      </c>
      <c r="F49" s="197">
        <v>3900</v>
      </c>
      <c r="G49" s="197">
        <v>3860</v>
      </c>
      <c r="H49" s="196">
        <v>40</v>
      </c>
      <c r="I49" s="197">
        <v>100</v>
      </c>
      <c r="J49" s="268">
        <f t="shared" si="6"/>
        <v>4000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43684</v>
      </c>
      <c r="D50" s="196" t="s">
        <v>23</v>
      </c>
      <c r="E50" s="196" t="s">
        <v>25</v>
      </c>
      <c r="F50" s="197">
        <v>3795</v>
      </c>
      <c r="G50" s="197">
        <v>3735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43685</v>
      </c>
      <c r="D51" s="196" t="s">
        <v>23</v>
      </c>
      <c r="E51" s="196" t="s">
        <v>25</v>
      </c>
      <c r="F51" s="197">
        <v>3685</v>
      </c>
      <c r="G51" s="197">
        <v>3715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43686</v>
      </c>
      <c r="D52" s="196" t="s">
        <v>23</v>
      </c>
      <c r="E52" s="196" t="s">
        <v>25</v>
      </c>
      <c r="F52" s="197">
        <v>3740</v>
      </c>
      <c r="G52" s="197">
        <v>3770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7</v>
      </c>
      <c r="C53" s="195">
        <v>43690</v>
      </c>
      <c r="D53" s="196" t="s">
        <v>23</v>
      </c>
      <c r="E53" s="196" t="s">
        <v>25</v>
      </c>
      <c r="F53" s="197">
        <v>3920</v>
      </c>
      <c r="G53" s="197">
        <v>3875</v>
      </c>
      <c r="H53" s="196">
        <v>45</v>
      </c>
      <c r="I53" s="197">
        <v>100</v>
      </c>
      <c r="J53" s="268">
        <f t="shared" si="6"/>
        <v>4500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43691</v>
      </c>
      <c r="D54" s="196" t="s">
        <v>23</v>
      </c>
      <c r="E54" s="196" t="s">
        <v>25</v>
      </c>
      <c r="F54" s="197">
        <v>4010</v>
      </c>
      <c r="G54" s="197">
        <v>3950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43693</v>
      </c>
      <c r="D55" s="196" t="s">
        <v>23</v>
      </c>
      <c r="E55" s="196" t="s">
        <v>25</v>
      </c>
      <c r="F55" s="197">
        <v>3950</v>
      </c>
      <c r="G55" s="197">
        <v>3890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43696</v>
      </c>
      <c r="D56" s="196" t="s">
        <v>23</v>
      </c>
      <c r="E56" s="196" t="s">
        <v>25</v>
      </c>
      <c r="F56" s="197">
        <v>3925</v>
      </c>
      <c r="G56" s="197">
        <v>3955</v>
      </c>
      <c r="H56" s="196">
        <v>-30</v>
      </c>
      <c r="I56" s="197">
        <v>100</v>
      </c>
      <c r="J56" s="268">
        <f t="shared" si="6"/>
        <v>-3000</v>
      </c>
      <c r="K56" s="185"/>
      <c r="V56" s="183">
        <f t="shared" si="7"/>
        <v>0</v>
      </c>
      <c r="W56" s="183">
        <f t="shared" si="8"/>
        <v>1</v>
      </c>
    </row>
    <row r="57" spans="1:23" x14ac:dyDescent="0.3">
      <c r="A57" s="184"/>
      <c r="B57" s="194">
        <v>11</v>
      </c>
      <c r="C57" s="195">
        <v>43697</v>
      </c>
      <c r="D57" s="196" t="s">
        <v>23</v>
      </c>
      <c r="E57" s="196" t="s">
        <v>25</v>
      </c>
      <c r="F57" s="197">
        <v>4030</v>
      </c>
      <c r="G57" s="197">
        <v>3970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43698</v>
      </c>
      <c r="D58" s="196" t="s">
        <v>23</v>
      </c>
      <c r="E58" s="196" t="s">
        <v>25</v>
      </c>
      <c r="F58" s="197">
        <v>4075</v>
      </c>
      <c r="G58" s="197">
        <v>4015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43699</v>
      </c>
      <c r="D59" s="196" t="s">
        <v>16</v>
      </c>
      <c r="E59" s="196" t="s">
        <v>25</v>
      </c>
      <c r="F59" s="197">
        <v>4005</v>
      </c>
      <c r="G59" s="197">
        <v>4065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43700</v>
      </c>
      <c r="D60" s="196" t="s">
        <v>23</v>
      </c>
      <c r="E60" s="196" t="s">
        <v>25</v>
      </c>
      <c r="F60" s="197">
        <v>3995</v>
      </c>
      <c r="G60" s="197">
        <v>3935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43703</v>
      </c>
      <c r="D61" s="196" t="s">
        <v>23</v>
      </c>
      <c r="E61" s="196" t="s">
        <v>25</v>
      </c>
      <c r="F61" s="197">
        <v>3945</v>
      </c>
      <c r="G61" s="197">
        <v>3975</v>
      </c>
      <c r="H61" s="196">
        <v>-30</v>
      </c>
      <c r="I61" s="197">
        <v>100</v>
      </c>
      <c r="J61" s="268">
        <f t="shared" si="6"/>
        <v>-3000</v>
      </c>
      <c r="K61" s="185"/>
      <c r="V61" s="183">
        <f t="shared" si="7"/>
        <v>0</v>
      </c>
      <c r="W61" s="183">
        <f t="shared" si="8"/>
        <v>1</v>
      </c>
    </row>
    <row r="62" spans="1:23" x14ac:dyDescent="0.3">
      <c r="A62" s="184"/>
      <c r="B62" s="194">
        <v>16</v>
      </c>
      <c r="C62" s="195">
        <v>43704</v>
      </c>
      <c r="D62" s="196" t="s">
        <v>16</v>
      </c>
      <c r="E62" s="196" t="s">
        <v>25</v>
      </c>
      <c r="F62" s="197">
        <v>3890</v>
      </c>
      <c r="G62" s="197">
        <v>3910</v>
      </c>
      <c r="H62" s="196">
        <v>20</v>
      </c>
      <c r="I62" s="197">
        <v>100</v>
      </c>
      <c r="J62" s="268">
        <f t="shared" si="6"/>
        <v>2000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43705</v>
      </c>
      <c r="D63" s="196" t="s">
        <v>23</v>
      </c>
      <c r="E63" s="196" t="s">
        <v>25</v>
      </c>
      <c r="F63" s="197">
        <v>4010</v>
      </c>
      <c r="G63" s="197">
        <v>4040</v>
      </c>
      <c r="H63" s="196">
        <v>-30</v>
      </c>
      <c r="I63" s="197">
        <v>100</v>
      </c>
      <c r="J63" s="268">
        <f t="shared" si="6"/>
        <v>-3000</v>
      </c>
      <c r="K63" s="185"/>
      <c r="V63" s="183">
        <f t="shared" si="7"/>
        <v>0</v>
      </c>
      <c r="W63" s="183">
        <f t="shared" si="8"/>
        <v>1</v>
      </c>
    </row>
    <row r="64" spans="1:23" x14ac:dyDescent="0.3">
      <c r="A64" s="255"/>
      <c r="B64" s="194">
        <v>18</v>
      </c>
      <c r="C64" s="195">
        <v>43706</v>
      </c>
      <c r="D64" s="196" t="s">
        <v>23</v>
      </c>
      <c r="E64" s="196" t="s">
        <v>25</v>
      </c>
      <c r="F64" s="197">
        <v>4045</v>
      </c>
      <c r="G64" s="197">
        <v>4015</v>
      </c>
      <c r="H64" s="196">
        <v>30</v>
      </c>
      <c r="I64" s="197">
        <v>100</v>
      </c>
      <c r="J64" s="268">
        <f t="shared" si="6"/>
        <v>3000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43707</v>
      </c>
      <c r="D65" s="196" t="s">
        <v>23</v>
      </c>
      <c r="E65" s="196" t="s">
        <v>25</v>
      </c>
      <c r="F65" s="197">
        <v>4005</v>
      </c>
      <c r="G65" s="197">
        <v>4035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31500</v>
      </c>
      <c r="K70" s="185"/>
      <c r="V70" s="183">
        <f>SUM(V47:V69)</f>
        <v>11</v>
      </c>
      <c r="W70" s="183">
        <f>SUM(W47:W69)</f>
        <v>8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43678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43679</v>
      </c>
      <c r="D78" s="216" t="s">
        <v>16</v>
      </c>
      <c r="E78" s="256" t="s">
        <v>28</v>
      </c>
      <c r="F78" s="256">
        <v>189.5</v>
      </c>
      <c r="G78" s="256">
        <v>190</v>
      </c>
      <c r="H78" s="256">
        <v>0.5</v>
      </c>
      <c r="I78" s="218">
        <v>5000</v>
      </c>
      <c r="J78" s="273">
        <f>I78*H78</f>
        <v>2500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43682</v>
      </c>
      <c r="D79" s="196" t="s">
        <v>16</v>
      </c>
      <c r="E79" s="222" t="s">
        <v>28</v>
      </c>
      <c r="F79" s="222">
        <v>189.8</v>
      </c>
      <c r="G79" s="222">
        <v>188.9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43683</v>
      </c>
      <c r="D80" s="196" t="s">
        <v>16</v>
      </c>
      <c r="E80" s="222" t="s">
        <v>28</v>
      </c>
      <c r="F80" s="222">
        <v>188.7</v>
      </c>
      <c r="G80" s="222">
        <v>188.2</v>
      </c>
      <c r="H80" s="222">
        <v>-0.5</v>
      </c>
      <c r="I80" s="197">
        <v>5000</v>
      </c>
      <c r="J80" s="268">
        <f t="shared" si="9"/>
        <v>-2500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4</v>
      </c>
      <c r="C81" s="195">
        <v>43684</v>
      </c>
      <c r="D81" s="196" t="s">
        <v>23</v>
      </c>
      <c r="E81" s="222" t="s">
        <v>28</v>
      </c>
      <c r="F81" s="222">
        <v>185.7</v>
      </c>
      <c r="G81" s="222">
        <v>184.7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43685</v>
      </c>
      <c r="D82" s="196" t="s">
        <v>16</v>
      </c>
      <c r="E82" s="222" t="s">
        <v>28</v>
      </c>
      <c r="F82" s="222">
        <v>183.9</v>
      </c>
      <c r="G82" s="222">
        <v>185.9</v>
      </c>
      <c r="H82" s="222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43686</v>
      </c>
      <c r="D83" s="196" t="s">
        <v>16</v>
      </c>
      <c r="E83" s="222" t="s">
        <v>28</v>
      </c>
      <c r="F83" s="222">
        <v>184.5</v>
      </c>
      <c r="G83" s="222">
        <v>183.5</v>
      </c>
      <c r="H83" s="222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7</v>
      </c>
      <c r="C84" s="195">
        <v>43690</v>
      </c>
      <c r="D84" s="196" t="s">
        <v>23</v>
      </c>
      <c r="E84" s="222" t="s">
        <v>28</v>
      </c>
      <c r="F84" s="222">
        <v>185.5</v>
      </c>
      <c r="G84" s="222">
        <v>184.8</v>
      </c>
      <c r="H84" s="274">
        <v>0.7</v>
      </c>
      <c r="I84" s="197">
        <v>5000</v>
      </c>
      <c r="J84" s="268">
        <f t="shared" si="9"/>
        <v>3500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43691</v>
      </c>
      <c r="D85" s="196" t="s">
        <v>16</v>
      </c>
      <c r="E85" s="222" t="s">
        <v>28</v>
      </c>
      <c r="F85" s="222">
        <v>185.7</v>
      </c>
      <c r="G85" s="222">
        <v>184.7</v>
      </c>
      <c r="H85" s="222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9</v>
      </c>
      <c r="C86" s="195">
        <v>43693</v>
      </c>
      <c r="D86" s="196" t="s">
        <v>16</v>
      </c>
      <c r="E86" s="222" t="s">
        <v>28</v>
      </c>
      <c r="F86" s="222">
        <v>184.1</v>
      </c>
      <c r="G86" s="222">
        <v>185.1</v>
      </c>
      <c r="H86" s="222">
        <v>1</v>
      </c>
      <c r="I86" s="197">
        <v>5000</v>
      </c>
      <c r="J86" s="268">
        <f t="shared" si="9"/>
        <v>5000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43694</v>
      </c>
      <c r="D87" s="196" t="s">
        <v>23</v>
      </c>
      <c r="E87" s="222" t="s">
        <v>28</v>
      </c>
      <c r="F87" s="222">
        <v>183</v>
      </c>
      <c r="G87" s="222">
        <v>182.4</v>
      </c>
      <c r="H87" s="222">
        <v>0.6</v>
      </c>
      <c r="I87" s="197">
        <v>5000</v>
      </c>
      <c r="J87" s="268">
        <f t="shared" si="9"/>
        <v>3000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43696</v>
      </c>
      <c r="D88" s="196" t="s">
        <v>23</v>
      </c>
      <c r="E88" s="222" t="s">
        <v>28</v>
      </c>
      <c r="F88" s="222">
        <v>183</v>
      </c>
      <c r="G88" s="222">
        <v>184.4</v>
      </c>
      <c r="H88" s="274">
        <v>0.6</v>
      </c>
      <c r="I88" s="197">
        <v>5000</v>
      </c>
      <c r="J88" s="268">
        <f t="shared" si="9"/>
        <v>3000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43697</v>
      </c>
      <c r="D89" s="196" t="s">
        <v>16</v>
      </c>
      <c r="E89" s="222" t="s">
        <v>28</v>
      </c>
      <c r="F89" s="222">
        <v>183.3</v>
      </c>
      <c r="G89" s="222">
        <v>182.3</v>
      </c>
      <c r="H89" s="274">
        <v>-1</v>
      </c>
      <c r="I89" s="197">
        <v>5000</v>
      </c>
      <c r="J89" s="268">
        <f t="shared" si="9"/>
        <v>-5000</v>
      </c>
      <c r="K89" s="185"/>
      <c r="V89" s="183">
        <f t="shared" si="10"/>
        <v>0</v>
      </c>
      <c r="W89" s="183">
        <f t="shared" si="11"/>
        <v>1</v>
      </c>
    </row>
    <row r="90" spans="1:23" x14ac:dyDescent="0.3">
      <c r="A90" s="184"/>
      <c r="B90" s="194">
        <v>13</v>
      </c>
      <c r="C90" s="195">
        <v>43698</v>
      </c>
      <c r="D90" s="196" t="s">
        <v>23</v>
      </c>
      <c r="E90" s="222" t="s">
        <v>28</v>
      </c>
      <c r="F90" s="222">
        <v>184.1</v>
      </c>
      <c r="G90" s="222">
        <v>185.1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43699</v>
      </c>
      <c r="D91" s="196" t="s">
        <v>23</v>
      </c>
      <c r="E91" s="222" t="s">
        <v>28</v>
      </c>
      <c r="F91" s="222">
        <v>185.2</v>
      </c>
      <c r="G91" s="222">
        <v>184.2</v>
      </c>
      <c r="H91" s="274">
        <v>1</v>
      </c>
      <c r="I91" s="197">
        <v>5000</v>
      </c>
      <c r="J91" s="268">
        <f t="shared" si="9"/>
        <v>5000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43700</v>
      </c>
      <c r="D92" s="196" t="s">
        <v>16</v>
      </c>
      <c r="E92" s="222" t="s">
        <v>28</v>
      </c>
      <c r="F92" s="223">
        <v>184.7</v>
      </c>
      <c r="G92" s="222">
        <v>185.2</v>
      </c>
      <c r="H92" s="274">
        <v>0.5</v>
      </c>
      <c r="I92" s="197">
        <v>5000</v>
      </c>
      <c r="J92" s="268">
        <f t="shared" si="9"/>
        <v>2500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43703</v>
      </c>
      <c r="D93" s="196" t="s">
        <v>16</v>
      </c>
      <c r="E93" s="222" t="s">
        <v>28</v>
      </c>
      <c r="F93" s="222">
        <v>181.3</v>
      </c>
      <c r="G93" s="222">
        <v>183.3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43704</v>
      </c>
      <c r="D94" s="196" t="s">
        <v>16</v>
      </c>
      <c r="E94" s="222" t="s">
        <v>28</v>
      </c>
      <c r="F94" s="222">
        <v>183.6</v>
      </c>
      <c r="G94" s="222">
        <v>184.15</v>
      </c>
      <c r="H94" s="274">
        <v>0.55000000000000004</v>
      </c>
      <c r="I94" s="197">
        <v>5000</v>
      </c>
      <c r="J94" s="268">
        <f t="shared" si="9"/>
        <v>2750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43705</v>
      </c>
      <c r="D95" s="196" t="s">
        <v>16</v>
      </c>
      <c r="E95" s="222" t="s">
        <v>28</v>
      </c>
      <c r="F95" s="222">
        <v>185.4</v>
      </c>
      <c r="G95" s="222">
        <v>184.4</v>
      </c>
      <c r="H95" s="274">
        <v>-1</v>
      </c>
      <c r="I95" s="197">
        <v>5000</v>
      </c>
      <c r="J95" s="268">
        <f t="shared" si="9"/>
        <v>-5000</v>
      </c>
      <c r="K95" s="185"/>
      <c r="V95" s="183">
        <f t="shared" si="10"/>
        <v>0</v>
      </c>
      <c r="W95" s="183">
        <f t="shared" si="11"/>
        <v>1</v>
      </c>
    </row>
    <row r="96" spans="1:23" x14ac:dyDescent="0.3">
      <c r="A96" s="184"/>
      <c r="B96" s="194">
        <v>19</v>
      </c>
      <c r="C96" s="195">
        <v>43706</v>
      </c>
      <c r="D96" s="196" t="s">
        <v>23</v>
      </c>
      <c r="E96" s="222" t="s">
        <v>28</v>
      </c>
      <c r="F96" s="222">
        <v>184.7</v>
      </c>
      <c r="G96" s="222">
        <v>183.2</v>
      </c>
      <c r="H96" s="274">
        <v>1.5</v>
      </c>
      <c r="I96" s="197">
        <v>5000</v>
      </c>
      <c r="J96" s="268">
        <f t="shared" si="9"/>
        <v>7500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43707</v>
      </c>
      <c r="D97" s="196" t="s">
        <v>23</v>
      </c>
      <c r="E97" s="222" t="s">
        <v>28</v>
      </c>
      <c r="F97" s="222">
        <v>182</v>
      </c>
      <c r="G97" s="222">
        <v>183</v>
      </c>
      <c r="H97" s="274">
        <v>-1</v>
      </c>
      <c r="I97" s="197">
        <v>5000</v>
      </c>
      <c r="J97" s="268">
        <f t="shared" si="9"/>
        <v>-5000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22250</v>
      </c>
      <c r="K101" s="185"/>
      <c r="V101" s="183">
        <f>SUM(V78:V100)</f>
        <v>12</v>
      </c>
      <c r="W101" s="183">
        <f>SUM(W78:W100)</f>
        <v>8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000-000000000000}"/>
    <hyperlink ref="B70" r:id="rId2" xr:uid="{00000000-0004-0000-5000-000001000000}"/>
    <hyperlink ref="M4:M5" location="'AUGUST 2019'!A1" display="BULLION" xr:uid="{00000000-0004-0000-5000-000002000000}"/>
    <hyperlink ref="B101" r:id="rId3" xr:uid="{00000000-0004-0000-5000-000003000000}"/>
    <hyperlink ref="M8:M9" location="'AUGUST 2019'!A86" display="BASE METAL" xr:uid="{00000000-0004-0000-5000-000004000000}"/>
    <hyperlink ref="M1" location="MASTER!A1" display="Back" xr:uid="{00000000-0004-0000-5000-000005000000}"/>
    <hyperlink ref="M6:M7" location="'AUGUST 2019'!A54" display="ENERGY" xr:uid="{00000000-0004-0000-5000-000006000000}"/>
  </hyperlinks>
  <pageMargins left="0" right="0" top="0" bottom="0" header="0" footer="0"/>
  <pageSetup paperSize="9" orientation="portrait" r:id="rId4"/>
  <drawing r:id="rId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W102"/>
  <sheetViews>
    <sheetView topLeftCell="A34" workbookViewId="0">
      <selection activeCell="A54" sqref="A54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43709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20</v>
      </c>
      <c r="O4" s="355">
        <f>V39</f>
        <v>16</v>
      </c>
      <c r="P4" s="355">
        <f>W39</f>
        <v>4</v>
      </c>
      <c r="Q4" s="356">
        <f>N4-O4-P4</f>
        <v>0</v>
      </c>
      <c r="R4" s="343">
        <f>O4/N4</f>
        <v>0.8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43711</v>
      </c>
      <c r="D6" s="192" t="s">
        <v>16</v>
      </c>
      <c r="E6" s="192" t="s">
        <v>24</v>
      </c>
      <c r="F6" s="193">
        <v>39150</v>
      </c>
      <c r="G6" s="193">
        <v>39350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COUNT(C47:C69)</f>
        <v>19</v>
      </c>
      <c r="O6" s="348">
        <f>V70</f>
        <v>13</v>
      </c>
      <c r="P6" s="348">
        <f>W70</f>
        <v>6</v>
      </c>
      <c r="Q6" s="349">
        <f>N6-O6-P6</f>
        <v>0</v>
      </c>
      <c r="R6" s="345">
        <f t="shared" ref="R6" si="0">O6/N6</f>
        <v>0.68421052631578949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43712</v>
      </c>
      <c r="D7" s="196" t="s">
        <v>16</v>
      </c>
      <c r="E7" s="196" t="s">
        <v>24</v>
      </c>
      <c r="F7" s="197">
        <v>39420</v>
      </c>
      <c r="G7" s="197">
        <v>39620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43713</v>
      </c>
      <c r="D8" s="196" t="s">
        <v>23</v>
      </c>
      <c r="E8" s="196" t="s">
        <v>24</v>
      </c>
      <c r="F8" s="197">
        <v>39420</v>
      </c>
      <c r="G8" s="197">
        <v>39220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COUNT(C78:C100)</f>
        <v>19</v>
      </c>
      <c r="O8" s="348">
        <f>V101</f>
        <v>16</v>
      </c>
      <c r="P8" s="348">
        <f>W101</f>
        <v>3</v>
      </c>
      <c r="Q8" s="349">
        <f>N8-O8-P8</f>
        <v>0</v>
      </c>
      <c r="R8" s="345">
        <f t="shared" ref="R8" si="4">O8/N8</f>
        <v>0.84210526315789469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43714</v>
      </c>
      <c r="D9" s="196" t="s">
        <v>23</v>
      </c>
      <c r="E9" s="196" t="s">
        <v>24</v>
      </c>
      <c r="F9" s="197">
        <v>38430</v>
      </c>
      <c r="G9" s="197">
        <v>38530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43717</v>
      </c>
      <c r="D10" s="196" t="s">
        <v>16</v>
      </c>
      <c r="E10" s="196" t="s">
        <v>24</v>
      </c>
      <c r="F10" s="197">
        <v>38500</v>
      </c>
      <c r="G10" s="197">
        <v>38660</v>
      </c>
      <c r="H10" s="196">
        <v>160</v>
      </c>
      <c r="I10" s="197">
        <v>100</v>
      </c>
      <c r="J10" s="268">
        <f t="shared" si="1"/>
        <v>16000</v>
      </c>
      <c r="K10" s="185"/>
      <c r="M10" s="319" t="s">
        <v>300</v>
      </c>
      <c r="N10" s="321">
        <f>SUM(N4:N9)</f>
        <v>58</v>
      </c>
      <c r="O10" s="321">
        <f>SUM(O4:O9)</f>
        <v>45</v>
      </c>
      <c r="P10" s="321">
        <f>SUM(P4:P9)</f>
        <v>13</v>
      </c>
      <c r="Q10" s="341">
        <f>SUM(Q4:Q9)</f>
        <v>0</v>
      </c>
      <c r="R10" s="343">
        <f t="shared" ref="R10" si="5">O10/N10</f>
        <v>0.77586206896551724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43717</v>
      </c>
      <c r="D11" s="196" t="s">
        <v>16</v>
      </c>
      <c r="E11" s="196" t="s">
        <v>22</v>
      </c>
      <c r="F11" s="197">
        <v>47850</v>
      </c>
      <c r="G11" s="197">
        <v>48050</v>
      </c>
      <c r="H11" s="196">
        <v>100</v>
      </c>
      <c r="I11" s="197">
        <v>100</v>
      </c>
      <c r="J11" s="268">
        <f t="shared" si="1"/>
        <v>10000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43719</v>
      </c>
      <c r="D12" s="196" t="s">
        <v>23</v>
      </c>
      <c r="E12" s="196" t="s">
        <v>24</v>
      </c>
      <c r="F12" s="197">
        <v>38120</v>
      </c>
      <c r="G12" s="197">
        <v>38020</v>
      </c>
      <c r="H12" s="196">
        <v>100</v>
      </c>
      <c r="I12" s="197">
        <v>100</v>
      </c>
      <c r="J12" s="268">
        <f t="shared" si="1"/>
        <v>10000</v>
      </c>
      <c r="K12" s="185"/>
      <c r="M12" s="323" t="s">
        <v>878</v>
      </c>
      <c r="N12" s="324"/>
      <c r="O12" s="325"/>
      <c r="P12" s="332">
        <f>R10</f>
        <v>0.77586206896551724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43720</v>
      </c>
      <c r="D13" s="196" t="s">
        <v>16</v>
      </c>
      <c r="E13" s="196" t="s">
        <v>24</v>
      </c>
      <c r="F13" s="197">
        <v>37910</v>
      </c>
      <c r="G13" s="197">
        <v>38060</v>
      </c>
      <c r="H13" s="196">
        <v>150</v>
      </c>
      <c r="I13" s="197">
        <v>100</v>
      </c>
      <c r="J13" s="268">
        <f t="shared" si="1"/>
        <v>15000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43721</v>
      </c>
      <c r="D14" s="196" t="s">
        <v>16</v>
      </c>
      <c r="E14" s="196" t="s">
        <v>24</v>
      </c>
      <c r="F14" s="197">
        <v>37770</v>
      </c>
      <c r="G14" s="197">
        <v>37870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43724</v>
      </c>
      <c r="D15" s="196" t="s">
        <v>16</v>
      </c>
      <c r="E15" s="196" t="s">
        <v>24</v>
      </c>
      <c r="F15" s="197">
        <v>37980</v>
      </c>
      <c r="G15" s="197">
        <v>38080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43725</v>
      </c>
      <c r="D16" s="196" t="s">
        <v>16</v>
      </c>
      <c r="E16" s="196" t="s">
        <v>24</v>
      </c>
      <c r="F16" s="197">
        <v>37980</v>
      </c>
      <c r="G16" s="197">
        <v>38175</v>
      </c>
      <c r="H16" s="196">
        <v>195</v>
      </c>
      <c r="I16" s="197">
        <v>100</v>
      </c>
      <c r="J16" s="268">
        <f t="shared" si="1"/>
        <v>19500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43726</v>
      </c>
      <c r="D17" s="196" t="s">
        <v>16</v>
      </c>
      <c r="E17" s="196" t="s">
        <v>24</v>
      </c>
      <c r="F17" s="197">
        <v>37820</v>
      </c>
      <c r="G17" s="197">
        <v>37750</v>
      </c>
      <c r="H17" s="196">
        <v>70</v>
      </c>
      <c r="I17" s="197">
        <v>100</v>
      </c>
      <c r="J17" s="268">
        <f t="shared" si="1"/>
        <v>7000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43727</v>
      </c>
      <c r="D18" s="196" t="s">
        <v>23</v>
      </c>
      <c r="E18" s="196" t="s">
        <v>24</v>
      </c>
      <c r="F18" s="197">
        <v>37650</v>
      </c>
      <c r="G18" s="197">
        <v>37750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43728</v>
      </c>
      <c r="D19" s="196" t="s">
        <v>16</v>
      </c>
      <c r="E19" s="196" t="s">
        <v>24</v>
      </c>
      <c r="F19" s="197">
        <v>37600</v>
      </c>
      <c r="G19" s="197">
        <v>37455</v>
      </c>
      <c r="H19" s="196">
        <v>145</v>
      </c>
      <c r="I19" s="197">
        <v>100</v>
      </c>
      <c r="J19" s="268">
        <f t="shared" si="1"/>
        <v>14500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43731</v>
      </c>
      <c r="D20" s="196" t="s">
        <v>16</v>
      </c>
      <c r="E20" s="196" t="s">
        <v>24</v>
      </c>
      <c r="F20" s="197">
        <v>37820</v>
      </c>
      <c r="G20" s="197">
        <v>37970</v>
      </c>
      <c r="H20" s="196">
        <v>150</v>
      </c>
      <c r="I20" s="197">
        <v>100</v>
      </c>
      <c r="J20" s="268">
        <f t="shared" si="1"/>
        <v>15000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43732</v>
      </c>
      <c r="D21" s="196" t="s">
        <v>16</v>
      </c>
      <c r="E21" s="196" t="s">
        <v>24</v>
      </c>
      <c r="F21" s="197">
        <v>37840</v>
      </c>
      <c r="G21" s="197">
        <v>38040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43733</v>
      </c>
      <c r="D22" s="196" t="s">
        <v>16</v>
      </c>
      <c r="E22" s="196" t="s">
        <v>24</v>
      </c>
      <c r="F22" s="197">
        <v>38110</v>
      </c>
      <c r="G22" s="197">
        <v>38010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43734</v>
      </c>
      <c r="D23" s="196" t="s">
        <v>16</v>
      </c>
      <c r="E23" s="196" t="s">
        <v>24</v>
      </c>
      <c r="F23" s="197">
        <v>37600</v>
      </c>
      <c r="G23" s="197">
        <v>37660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43735</v>
      </c>
      <c r="D24" s="196" t="s">
        <v>23</v>
      </c>
      <c r="E24" s="196" t="s">
        <v>24</v>
      </c>
      <c r="F24" s="197">
        <v>37500</v>
      </c>
      <c r="G24" s="197">
        <v>37400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43738</v>
      </c>
      <c r="D25" s="196" t="s">
        <v>16</v>
      </c>
      <c r="E25" s="196" t="s">
        <v>24</v>
      </c>
      <c r="F25" s="197">
        <v>37460</v>
      </c>
      <c r="G25" s="197">
        <v>37360</v>
      </c>
      <c r="H25" s="196">
        <v>-100</v>
      </c>
      <c r="I25" s="197">
        <v>100</v>
      </c>
      <c r="J25" s="268">
        <f t="shared" si="1"/>
        <v>-10000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183000</v>
      </c>
      <c r="K39" s="185"/>
      <c r="V39" s="183">
        <f>SUM(V6:V38)</f>
        <v>16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43709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43711</v>
      </c>
      <c r="D47" s="192" t="s">
        <v>23</v>
      </c>
      <c r="E47" s="192" t="s">
        <v>25</v>
      </c>
      <c r="F47" s="193">
        <v>3935</v>
      </c>
      <c r="G47" s="193">
        <v>3875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43712</v>
      </c>
      <c r="D48" s="196" t="s">
        <v>23</v>
      </c>
      <c r="E48" s="196" t="s">
        <v>25</v>
      </c>
      <c r="F48" s="197">
        <v>3910</v>
      </c>
      <c r="G48" s="197">
        <v>3940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43713</v>
      </c>
      <c r="D49" s="196" t="s">
        <v>16</v>
      </c>
      <c r="E49" s="196" t="s">
        <v>25</v>
      </c>
      <c r="F49" s="197">
        <v>4045</v>
      </c>
      <c r="G49" s="197">
        <v>4105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43714</v>
      </c>
      <c r="D50" s="196" t="s">
        <v>16</v>
      </c>
      <c r="E50" s="196" t="s">
        <v>25</v>
      </c>
      <c r="F50" s="197">
        <v>4040</v>
      </c>
      <c r="G50" s="197">
        <v>4010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43717</v>
      </c>
      <c r="D51" s="196" t="s">
        <v>23</v>
      </c>
      <c r="E51" s="196" t="s">
        <v>25</v>
      </c>
      <c r="F51" s="197">
        <v>4090</v>
      </c>
      <c r="G51" s="197">
        <v>4100</v>
      </c>
      <c r="H51" s="196">
        <v>-10</v>
      </c>
      <c r="I51" s="197">
        <v>100</v>
      </c>
      <c r="J51" s="268">
        <f t="shared" si="6"/>
        <v>-1000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43719</v>
      </c>
      <c r="D52" s="196" t="s">
        <v>23</v>
      </c>
      <c r="E52" s="196" t="s">
        <v>25</v>
      </c>
      <c r="F52" s="197">
        <v>4160</v>
      </c>
      <c r="G52" s="197">
        <v>4100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43720</v>
      </c>
      <c r="D53" s="196" t="s">
        <v>23</v>
      </c>
      <c r="E53" s="196" t="s">
        <v>25</v>
      </c>
      <c r="F53" s="197">
        <v>3970</v>
      </c>
      <c r="G53" s="197">
        <v>3925</v>
      </c>
      <c r="H53" s="196">
        <v>45</v>
      </c>
      <c r="I53" s="197">
        <v>100</v>
      </c>
      <c r="J53" s="268">
        <f t="shared" si="6"/>
        <v>4500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43721</v>
      </c>
      <c r="D54" s="196" t="s">
        <v>16</v>
      </c>
      <c r="E54" s="196" t="s">
        <v>25</v>
      </c>
      <c r="F54" s="197">
        <v>3920</v>
      </c>
      <c r="G54" s="197">
        <v>3950</v>
      </c>
      <c r="H54" s="196">
        <v>30</v>
      </c>
      <c r="I54" s="197">
        <v>100</v>
      </c>
      <c r="J54" s="268">
        <f t="shared" si="6"/>
        <v>3000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43724</v>
      </c>
      <c r="D55" s="196" t="s">
        <v>16</v>
      </c>
      <c r="E55" s="196" t="s">
        <v>25</v>
      </c>
      <c r="F55" s="197">
        <v>4270</v>
      </c>
      <c r="G55" s="197">
        <v>4240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10</v>
      </c>
      <c r="C56" s="195">
        <v>43725</v>
      </c>
      <c r="D56" s="196" t="s">
        <v>23</v>
      </c>
      <c r="E56" s="196" t="s">
        <v>25</v>
      </c>
      <c r="F56" s="197">
        <v>4445</v>
      </c>
      <c r="G56" s="197">
        <v>4475</v>
      </c>
      <c r="H56" s="196">
        <v>-30</v>
      </c>
      <c r="I56" s="197">
        <v>100</v>
      </c>
      <c r="J56" s="268">
        <f t="shared" si="6"/>
        <v>-3000</v>
      </c>
      <c r="K56" s="185"/>
      <c r="V56" s="183">
        <f t="shared" si="7"/>
        <v>0</v>
      </c>
      <c r="W56" s="183">
        <f t="shared" si="8"/>
        <v>1</v>
      </c>
    </row>
    <row r="57" spans="1:23" x14ac:dyDescent="0.3">
      <c r="A57" s="184"/>
      <c r="B57" s="194">
        <v>11</v>
      </c>
      <c r="C57" s="195">
        <v>43726</v>
      </c>
      <c r="D57" s="196" t="s">
        <v>23</v>
      </c>
      <c r="E57" s="196" t="s">
        <v>25</v>
      </c>
      <c r="F57" s="197">
        <v>4175</v>
      </c>
      <c r="G57" s="197">
        <v>4115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43727</v>
      </c>
      <c r="D58" s="196" t="s">
        <v>23</v>
      </c>
      <c r="E58" s="196" t="s">
        <v>25</v>
      </c>
      <c r="F58" s="197">
        <v>4225</v>
      </c>
      <c r="G58" s="197">
        <v>4165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43728</v>
      </c>
      <c r="D59" s="196" t="s">
        <v>23</v>
      </c>
      <c r="E59" s="196" t="s">
        <v>25</v>
      </c>
      <c r="F59" s="197">
        <v>4180</v>
      </c>
      <c r="G59" s="197">
        <v>4210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43731</v>
      </c>
      <c r="D60" s="196" t="s">
        <v>23</v>
      </c>
      <c r="E60" s="196" t="s">
        <v>25</v>
      </c>
      <c r="F60" s="197">
        <v>4120</v>
      </c>
      <c r="G60" s="197">
        <v>4090</v>
      </c>
      <c r="H60" s="196">
        <v>30</v>
      </c>
      <c r="I60" s="197">
        <v>100</v>
      </c>
      <c r="J60" s="268">
        <f t="shared" si="6"/>
        <v>3000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43732</v>
      </c>
      <c r="D61" s="196" t="s">
        <v>23</v>
      </c>
      <c r="E61" s="196" t="s">
        <v>25</v>
      </c>
      <c r="F61" s="197">
        <v>4140</v>
      </c>
      <c r="G61" s="197">
        <v>4081</v>
      </c>
      <c r="H61" s="196">
        <v>59</v>
      </c>
      <c r="I61" s="197">
        <v>100</v>
      </c>
      <c r="J61" s="268">
        <f t="shared" si="6"/>
        <v>5900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43733</v>
      </c>
      <c r="D62" s="196" t="s">
        <v>23</v>
      </c>
      <c r="E62" s="196" t="s">
        <v>25</v>
      </c>
      <c r="F62" s="197">
        <v>4030</v>
      </c>
      <c r="G62" s="197">
        <v>3970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43734</v>
      </c>
      <c r="D63" s="196" t="s">
        <v>23</v>
      </c>
      <c r="E63" s="196" t="s">
        <v>25</v>
      </c>
      <c r="F63" s="197">
        <v>4025</v>
      </c>
      <c r="G63" s="197">
        <v>3965</v>
      </c>
      <c r="H63" s="196">
        <v>60</v>
      </c>
      <c r="I63" s="197">
        <v>100</v>
      </c>
      <c r="J63" s="268">
        <f t="shared" si="6"/>
        <v>6000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43735</v>
      </c>
      <c r="D64" s="196" t="s">
        <v>23</v>
      </c>
      <c r="E64" s="196" t="s">
        <v>25</v>
      </c>
      <c r="F64" s="197">
        <v>4000</v>
      </c>
      <c r="G64" s="197">
        <v>3940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43738</v>
      </c>
      <c r="D65" s="196" t="s">
        <v>23</v>
      </c>
      <c r="E65" s="196" t="s">
        <v>25</v>
      </c>
      <c r="F65" s="197">
        <v>3920</v>
      </c>
      <c r="G65" s="197">
        <v>3860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54400</v>
      </c>
      <c r="K70" s="185"/>
      <c r="V70" s="183">
        <f>SUM(V47:V69)</f>
        <v>13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43709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43711</v>
      </c>
      <c r="D78" s="216" t="s">
        <v>23</v>
      </c>
      <c r="E78" s="256" t="s">
        <v>28</v>
      </c>
      <c r="F78" s="256">
        <v>183.6</v>
      </c>
      <c r="G78" s="256">
        <v>181.6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43712</v>
      </c>
      <c r="D79" s="196" t="s">
        <v>23</v>
      </c>
      <c r="E79" s="222" t="s">
        <v>28</v>
      </c>
      <c r="F79" s="222">
        <v>182.6</v>
      </c>
      <c r="G79" s="222">
        <v>183.6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43713</v>
      </c>
      <c r="D80" s="196" t="s">
        <v>16</v>
      </c>
      <c r="E80" s="222" t="s">
        <v>28</v>
      </c>
      <c r="F80" s="222">
        <v>188.7</v>
      </c>
      <c r="G80" s="222">
        <v>189.45</v>
      </c>
      <c r="H80" s="222">
        <v>0.75</v>
      </c>
      <c r="I80" s="197">
        <v>5000</v>
      </c>
      <c r="J80" s="268">
        <f t="shared" si="9"/>
        <v>3750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43714</v>
      </c>
      <c r="D81" s="196" t="s">
        <v>23</v>
      </c>
      <c r="E81" s="222" t="s">
        <v>28</v>
      </c>
      <c r="F81" s="222">
        <v>185</v>
      </c>
      <c r="G81" s="222">
        <v>184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43717</v>
      </c>
      <c r="D82" s="196" t="s">
        <v>16</v>
      </c>
      <c r="E82" s="222" t="s">
        <v>28</v>
      </c>
      <c r="F82" s="222">
        <v>185</v>
      </c>
      <c r="G82" s="222">
        <v>185.8</v>
      </c>
      <c r="H82" s="222">
        <v>0.8</v>
      </c>
      <c r="I82" s="197">
        <v>5000</v>
      </c>
      <c r="J82" s="268">
        <f t="shared" si="9"/>
        <v>4000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43719</v>
      </c>
      <c r="D83" s="196" t="s">
        <v>16</v>
      </c>
      <c r="E83" s="222" t="s">
        <v>28</v>
      </c>
      <c r="F83" s="222">
        <v>188.5</v>
      </c>
      <c r="G83" s="222">
        <v>189</v>
      </c>
      <c r="H83" s="222">
        <v>0.5</v>
      </c>
      <c r="I83" s="197">
        <v>5000</v>
      </c>
      <c r="J83" s="268">
        <f t="shared" si="9"/>
        <v>2500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43720</v>
      </c>
      <c r="D84" s="196" t="s">
        <v>16</v>
      </c>
      <c r="E84" s="222" t="s">
        <v>28</v>
      </c>
      <c r="F84" s="222">
        <v>187</v>
      </c>
      <c r="G84" s="222">
        <v>186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8</v>
      </c>
      <c r="C85" s="195">
        <v>43721</v>
      </c>
      <c r="D85" s="196" t="s">
        <v>16</v>
      </c>
      <c r="E85" s="222" t="s">
        <v>28</v>
      </c>
      <c r="F85" s="222">
        <v>186.6</v>
      </c>
      <c r="G85" s="222">
        <v>188.1</v>
      </c>
      <c r="H85" s="222">
        <v>1.5</v>
      </c>
      <c r="I85" s="197">
        <v>5000</v>
      </c>
      <c r="J85" s="268">
        <f t="shared" si="9"/>
        <v>7500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43724</v>
      </c>
      <c r="D86" s="196" t="s">
        <v>16</v>
      </c>
      <c r="E86" s="222" t="s">
        <v>28</v>
      </c>
      <c r="F86" s="222">
        <v>189.1</v>
      </c>
      <c r="G86" s="222">
        <v>188.1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43725</v>
      </c>
      <c r="D87" s="196" t="s">
        <v>23</v>
      </c>
      <c r="E87" s="222" t="s">
        <v>28</v>
      </c>
      <c r="F87" s="222">
        <v>185.2</v>
      </c>
      <c r="G87" s="222">
        <v>184.7</v>
      </c>
      <c r="H87" s="222">
        <v>0.5</v>
      </c>
      <c r="I87" s="197">
        <v>5000</v>
      </c>
      <c r="J87" s="268">
        <f t="shared" si="9"/>
        <v>2500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43726</v>
      </c>
      <c r="D88" s="196" t="s">
        <v>23</v>
      </c>
      <c r="E88" s="222" t="s">
        <v>28</v>
      </c>
      <c r="F88" s="222">
        <v>184.3</v>
      </c>
      <c r="G88" s="222">
        <v>183.5</v>
      </c>
      <c r="H88" s="274">
        <v>0.8</v>
      </c>
      <c r="I88" s="197">
        <v>5000</v>
      </c>
      <c r="J88" s="268">
        <f t="shared" si="9"/>
        <v>4000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43727</v>
      </c>
      <c r="D89" s="196" t="s">
        <v>16</v>
      </c>
      <c r="E89" s="222" t="s">
        <v>28</v>
      </c>
      <c r="F89" s="222">
        <v>184</v>
      </c>
      <c r="G89" s="222">
        <v>184.5</v>
      </c>
      <c r="H89" s="274">
        <v>0.5</v>
      </c>
      <c r="I89" s="197">
        <v>5000</v>
      </c>
      <c r="J89" s="268">
        <f t="shared" si="9"/>
        <v>2500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43728</v>
      </c>
      <c r="D90" s="196" t="s">
        <v>16</v>
      </c>
      <c r="E90" s="222" t="s">
        <v>28</v>
      </c>
      <c r="F90" s="222">
        <v>184</v>
      </c>
      <c r="G90" s="222">
        <v>184.2</v>
      </c>
      <c r="H90" s="274">
        <v>0.2</v>
      </c>
      <c r="I90" s="197">
        <v>5000</v>
      </c>
      <c r="J90" s="268">
        <f t="shared" si="9"/>
        <v>1000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43731</v>
      </c>
      <c r="D91" s="196" t="s">
        <v>16</v>
      </c>
      <c r="E91" s="222" t="s">
        <v>28</v>
      </c>
      <c r="F91" s="222">
        <v>182.7</v>
      </c>
      <c r="G91" s="222">
        <v>183.1</v>
      </c>
      <c r="H91" s="274">
        <v>0.5</v>
      </c>
      <c r="I91" s="197">
        <v>5000</v>
      </c>
      <c r="J91" s="268">
        <f t="shared" si="9"/>
        <v>2500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43732</v>
      </c>
      <c r="D92" s="196" t="s">
        <v>16</v>
      </c>
      <c r="E92" s="222" t="s">
        <v>28</v>
      </c>
      <c r="F92" s="223">
        <v>182.7</v>
      </c>
      <c r="G92" s="222">
        <v>181.7</v>
      </c>
      <c r="H92" s="274">
        <v>1</v>
      </c>
      <c r="I92" s="197">
        <v>5000</v>
      </c>
      <c r="J92" s="268">
        <f t="shared" si="9"/>
        <v>5000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43733</v>
      </c>
      <c r="D93" s="196" t="s">
        <v>23</v>
      </c>
      <c r="E93" s="222" t="s">
        <v>28</v>
      </c>
      <c r="F93" s="222">
        <v>178.7</v>
      </c>
      <c r="G93" s="222">
        <v>178.2</v>
      </c>
      <c r="H93" s="274">
        <v>0.5</v>
      </c>
      <c r="I93" s="197">
        <v>5000</v>
      </c>
      <c r="J93" s="268">
        <f t="shared" si="9"/>
        <v>2500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43734</v>
      </c>
      <c r="D94" s="196" t="s">
        <v>16</v>
      </c>
      <c r="E94" s="222" t="s">
        <v>28</v>
      </c>
      <c r="F94" s="222">
        <v>183.5</v>
      </c>
      <c r="G94" s="222">
        <v>184.5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43735</v>
      </c>
      <c r="D95" s="196" t="s">
        <v>23</v>
      </c>
      <c r="E95" s="222" t="s">
        <v>28</v>
      </c>
      <c r="F95" s="222">
        <v>182.5</v>
      </c>
      <c r="G95" s="222">
        <v>181.5</v>
      </c>
      <c r="H95" s="274">
        <v>1</v>
      </c>
      <c r="I95" s="197">
        <v>5000</v>
      </c>
      <c r="J95" s="268">
        <f t="shared" si="9"/>
        <v>5000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43738</v>
      </c>
      <c r="D96" s="196" t="s">
        <v>16</v>
      </c>
      <c r="E96" s="222" t="s">
        <v>28</v>
      </c>
      <c r="F96" s="222">
        <v>182.4</v>
      </c>
      <c r="G96" s="222">
        <v>184.4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57750</v>
      </c>
      <c r="K101" s="185"/>
      <c r="V101" s="183">
        <f>SUM(V78:V100)</f>
        <v>16</v>
      </c>
      <c r="W101" s="183">
        <f>SUM(W78:W100)</f>
        <v>3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100-000000000000}"/>
    <hyperlink ref="B70" r:id="rId2" xr:uid="{00000000-0004-0000-5100-000001000000}"/>
    <hyperlink ref="M4:M5" location="'SEP 2019'!A1" display="BULLION" xr:uid="{00000000-0004-0000-5100-000002000000}"/>
    <hyperlink ref="B101" r:id="rId3" xr:uid="{00000000-0004-0000-5100-000003000000}"/>
    <hyperlink ref="M8:M9" location="'SEP 2019'!A86" display="BASE METAL" xr:uid="{00000000-0004-0000-5100-000004000000}"/>
    <hyperlink ref="M1" location="MASTER!A1" display="Back" xr:uid="{00000000-0004-0000-5100-000005000000}"/>
    <hyperlink ref="M6:M7" location="'SEP 2019'!A54" display="ENERGY" xr:uid="{00000000-0004-0000-5100-000006000000}"/>
  </hyperlinks>
  <pageMargins left="0" right="0" top="0" bottom="0" header="0" footer="0"/>
  <pageSetup paperSize="9" orientation="portrait" r:id="rId4"/>
  <drawing r:id="rId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W102"/>
  <sheetViews>
    <sheetView topLeftCell="A13" workbookViewId="0">
      <selection activeCell="C23" sqref="C2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43739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17</v>
      </c>
      <c r="O4" s="355">
        <f>V39</f>
        <v>13</v>
      </c>
      <c r="P4" s="355">
        <f>W39</f>
        <v>4</v>
      </c>
      <c r="Q4" s="356">
        <f>N4-O4-P4</f>
        <v>0</v>
      </c>
      <c r="R4" s="343">
        <f>O4/N4</f>
        <v>0.76470588235294112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43739</v>
      </c>
      <c r="D6" s="192" t="s">
        <v>16</v>
      </c>
      <c r="E6" s="192" t="s">
        <v>24</v>
      </c>
      <c r="F6" s="193">
        <v>37520</v>
      </c>
      <c r="G6" s="193">
        <v>37720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COUNT(C47:C69)</f>
        <v>16</v>
      </c>
      <c r="O6" s="348">
        <f>V70</f>
        <v>11</v>
      </c>
      <c r="P6" s="348">
        <f>W70</f>
        <v>5</v>
      </c>
      <c r="Q6" s="349">
        <f>N6-O6-P6</f>
        <v>0</v>
      </c>
      <c r="R6" s="345">
        <f t="shared" ref="R6" si="0">O6/N6</f>
        <v>0.6875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43741</v>
      </c>
      <c r="D7" s="196" t="s">
        <v>16</v>
      </c>
      <c r="E7" s="196" t="s">
        <v>24</v>
      </c>
      <c r="F7" s="197">
        <v>38280</v>
      </c>
      <c r="G7" s="197">
        <v>38480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43742</v>
      </c>
      <c r="D8" s="196" t="s">
        <v>23</v>
      </c>
      <c r="E8" s="196" t="s">
        <v>24</v>
      </c>
      <c r="F8" s="197">
        <v>38460</v>
      </c>
      <c r="G8" s="197">
        <v>38360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COUNT(C78:C100)</f>
        <v>16</v>
      </c>
      <c r="O8" s="348">
        <f>V101</f>
        <v>12</v>
      </c>
      <c r="P8" s="348">
        <f>W101</f>
        <v>4</v>
      </c>
      <c r="Q8" s="349">
        <f>N8-O8-P8</f>
        <v>0</v>
      </c>
      <c r="R8" s="345">
        <f t="shared" ref="R8" si="4">O8/N8</f>
        <v>0.75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43743</v>
      </c>
      <c r="D9" s="196" t="s">
        <v>23</v>
      </c>
      <c r="E9" s="196" t="s">
        <v>24</v>
      </c>
      <c r="F9" s="197">
        <v>38320</v>
      </c>
      <c r="G9" s="197">
        <v>38220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43747</v>
      </c>
      <c r="D10" s="196" t="s">
        <v>23</v>
      </c>
      <c r="E10" s="196" t="s">
        <v>24</v>
      </c>
      <c r="F10" s="197">
        <v>38470</v>
      </c>
      <c r="G10" s="197">
        <v>38300</v>
      </c>
      <c r="H10" s="196">
        <v>170</v>
      </c>
      <c r="I10" s="197">
        <v>100</v>
      </c>
      <c r="J10" s="268">
        <f t="shared" si="1"/>
        <v>17000</v>
      </c>
      <c r="K10" s="185"/>
      <c r="M10" s="319" t="s">
        <v>300</v>
      </c>
      <c r="N10" s="321">
        <f>SUM(N4:N9)</f>
        <v>49</v>
      </c>
      <c r="O10" s="321">
        <f>SUM(O4:O9)</f>
        <v>36</v>
      </c>
      <c r="P10" s="321">
        <f>SUM(P4:P9)</f>
        <v>13</v>
      </c>
      <c r="Q10" s="341">
        <f>SUM(Q4:Q9)</f>
        <v>0</v>
      </c>
      <c r="R10" s="343">
        <f t="shared" ref="R10" si="5">O10/N10</f>
        <v>0.73469387755102045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43748</v>
      </c>
      <c r="D11" s="196" t="s">
        <v>23</v>
      </c>
      <c r="E11" s="196" t="s">
        <v>24</v>
      </c>
      <c r="F11" s="197">
        <v>38420</v>
      </c>
      <c r="G11" s="197">
        <v>38520</v>
      </c>
      <c r="H11" s="196">
        <v>100</v>
      </c>
      <c r="I11" s="197">
        <v>100</v>
      </c>
      <c r="J11" s="268">
        <f t="shared" si="1"/>
        <v>10000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43749</v>
      </c>
      <c r="D12" s="196" t="s">
        <v>23</v>
      </c>
      <c r="E12" s="196" t="s">
        <v>24</v>
      </c>
      <c r="F12" s="197">
        <v>38220</v>
      </c>
      <c r="G12" s="197">
        <v>38020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0.73469387755102045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43752</v>
      </c>
      <c r="D13" s="196" t="s">
        <v>23</v>
      </c>
      <c r="E13" s="196" t="s">
        <v>24</v>
      </c>
      <c r="F13" s="197">
        <v>38010</v>
      </c>
      <c r="G13" s="197">
        <v>38110</v>
      </c>
      <c r="H13" s="196">
        <v>-100</v>
      </c>
      <c r="I13" s="197">
        <v>100</v>
      </c>
      <c r="J13" s="268">
        <f t="shared" si="1"/>
        <v>-10000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43753</v>
      </c>
      <c r="D14" s="196" t="s">
        <v>23</v>
      </c>
      <c r="E14" s="196" t="s">
        <v>24</v>
      </c>
      <c r="F14" s="197">
        <v>38320</v>
      </c>
      <c r="G14" s="197">
        <v>38420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43754</v>
      </c>
      <c r="D15" s="196" t="s">
        <v>23</v>
      </c>
      <c r="E15" s="196" t="s">
        <v>24</v>
      </c>
      <c r="F15" s="197">
        <v>38040</v>
      </c>
      <c r="G15" s="197">
        <v>37940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43755</v>
      </c>
      <c r="D16" s="196" t="s">
        <v>23</v>
      </c>
      <c r="E16" s="196" t="s">
        <v>24</v>
      </c>
      <c r="F16" s="197">
        <v>38040</v>
      </c>
      <c r="G16" s="197">
        <v>38140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43756</v>
      </c>
      <c r="D17" s="196" t="s">
        <v>16</v>
      </c>
      <c r="E17" s="196" t="s">
        <v>24</v>
      </c>
      <c r="F17" s="197">
        <v>38020</v>
      </c>
      <c r="G17" s="197">
        <v>38120</v>
      </c>
      <c r="H17" s="196">
        <v>100</v>
      </c>
      <c r="I17" s="197">
        <v>100</v>
      </c>
      <c r="J17" s="268">
        <f t="shared" si="1"/>
        <v>10000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43756</v>
      </c>
      <c r="D18" s="196" t="s">
        <v>16</v>
      </c>
      <c r="E18" s="196" t="s">
        <v>22</v>
      </c>
      <c r="F18" s="197">
        <v>45300</v>
      </c>
      <c r="G18" s="197">
        <v>45500</v>
      </c>
      <c r="H18" s="196">
        <v>200</v>
      </c>
      <c r="I18" s="197">
        <v>30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43760</v>
      </c>
      <c r="D19" s="196" t="s">
        <v>16</v>
      </c>
      <c r="E19" s="196" t="s">
        <v>24</v>
      </c>
      <c r="F19" s="197">
        <v>37870</v>
      </c>
      <c r="G19" s="197">
        <v>37940</v>
      </c>
      <c r="H19" s="196">
        <v>70</v>
      </c>
      <c r="I19" s="197">
        <v>100</v>
      </c>
      <c r="J19" s="268">
        <f t="shared" si="1"/>
        <v>7000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43761</v>
      </c>
      <c r="D20" s="196" t="s">
        <v>16</v>
      </c>
      <c r="E20" s="196" t="s">
        <v>24</v>
      </c>
      <c r="F20" s="197">
        <v>38020</v>
      </c>
      <c r="G20" s="197">
        <v>38080</v>
      </c>
      <c r="H20" s="196"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43762</v>
      </c>
      <c r="D21" s="196" t="s">
        <v>16</v>
      </c>
      <c r="E21" s="196" t="s">
        <v>24</v>
      </c>
      <c r="F21" s="197">
        <v>38060</v>
      </c>
      <c r="G21" s="197">
        <v>38260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43763</v>
      </c>
      <c r="D22" s="196" t="s">
        <v>23</v>
      </c>
      <c r="E22" s="196" t="s">
        <v>24</v>
      </c>
      <c r="F22" s="197">
        <v>38380</v>
      </c>
      <c r="G22" s="197">
        <v>38480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/>
      <c r="D23" s="196"/>
      <c r="E23" s="196"/>
      <c r="F23" s="197"/>
      <c r="G23" s="197"/>
      <c r="H23" s="196"/>
      <c r="I23" s="197"/>
      <c r="J23" s="268">
        <f t="shared" si="1"/>
        <v>0</v>
      </c>
      <c r="K23" s="185"/>
      <c r="V23" s="183">
        <f t="shared" si="2"/>
        <v>0</v>
      </c>
      <c r="W23" s="183">
        <f t="shared" si="3"/>
        <v>0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126000</v>
      </c>
      <c r="K39" s="185"/>
      <c r="V39" s="183">
        <f>SUM(V6:V38)</f>
        <v>13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43739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43739</v>
      </c>
      <c r="D47" s="192" t="s">
        <v>23</v>
      </c>
      <c r="E47" s="192" t="s">
        <v>25</v>
      </c>
      <c r="F47" s="193">
        <v>3900</v>
      </c>
      <c r="G47" s="193">
        <v>3840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43741</v>
      </c>
      <c r="D48" s="196" t="s">
        <v>16</v>
      </c>
      <c r="E48" s="196" t="s">
        <v>25</v>
      </c>
      <c r="F48" s="197">
        <v>3740</v>
      </c>
      <c r="G48" s="197">
        <v>3710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43742</v>
      </c>
      <c r="D49" s="196" t="s">
        <v>23</v>
      </c>
      <c r="E49" s="196" t="s">
        <v>25</v>
      </c>
      <c r="F49" s="197">
        <v>3755</v>
      </c>
      <c r="G49" s="197">
        <v>3725</v>
      </c>
      <c r="H49" s="196">
        <v>30</v>
      </c>
      <c r="I49" s="197">
        <v>100</v>
      </c>
      <c r="J49" s="268">
        <f t="shared" si="6"/>
        <v>3000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43743</v>
      </c>
      <c r="D50" s="196" t="s">
        <v>23</v>
      </c>
      <c r="E50" s="196" t="s">
        <v>25</v>
      </c>
      <c r="F50" s="197">
        <v>3785</v>
      </c>
      <c r="G50" s="197">
        <v>3815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43747</v>
      </c>
      <c r="D51" s="196" t="s">
        <v>23</v>
      </c>
      <c r="E51" s="196" t="s">
        <v>25</v>
      </c>
      <c r="F51" s="197">
        <v>3740</v>
      </c>
      <c r="G51" s="197">
        <v>3770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43748</v>
      </c>
      <c r="D52" s="196" t="s">
        <v>23</v>
      </c>
      <c r="E52" s="196" t="s">
        <v>25</v>
      </c>
      <c r="F52" s="197">
        <v>3730</v>
      </c>
      <c r="G52" s="197">
        <v>3760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7</v>
      </c>
      <c r="C53" s="195">
        <v>43749</v>
      </c>
      <c r="D53" s="196" t="s">
        <v>23</v>
      </c>
      <c r="E53" s="196" t="s">
        <v>25</v>
      </c>
      <c r="F53" s="197">
        <v>3840</v>
      </c>
      <c r="G53" s="197">
        <v>3830</v>
      </c>
      <c r="H53" s="196">
        <v>10</v>
      </c>
      <c r="I53" s="197">
        <v>100</v>
      </c>
      <c r="J53" s="268">
        <f t="shared" si="6"/>
        <v>1000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43752</v>
      </c>
      <c r="D54" s="196" t="s">
        <v>23</v>
      </c>
      <c r="E54" s="196" t="s">
        <v>25</v>
      </c>
      <c r="F54" s="197">
        <v>3830</v>
      </c>
      <c r="G54" s="197">
        <v>3770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43753</v>
      </c>
      <c r="D55" s="196" t="s">
        <v>16</v>
      </c>
      <c r="E55" s="196" t="s">
        <v>25</v>
      </c>
      <c r="F55" s="197">
        <v>3800</v>
      </c>
      <c r="G55" s="197">
        <v>3840</v>
      </c>
      <c r="H55" s="196">
        <v>40</v>
      </c>
      <c r="I55" s="197">
        <v>100</v>
      </c>
      <c r="J55" s="268">
        <f t="shared" si="6"/>
        <v>4000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43754</v>
      </c>
      <c r="D56" s="196" t="s">
        <v>16</v>
      </c>
      <c r="E56" s="196" t="s">
        <v>25</v>
      </c>
      <c r="F56" s="197">
        <v>3790</v>
      </c>
      <c r="G56" s="197">
        <v>3830</v>
      </c>
      <c r="H56" s="196">
        <v>40</v>
      </c>
      <c r="I56" s="197">
        <v>100</v>
      </c>
      <c r="J56" s="268">
        <f t="shared" si="6"/>
        <v>4000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43755</v>
      </c>
      <c r="D57" s="196" t="s">
        <v>16</v>
      </c>
      <c r="E57" s="196" t="s">
        <v>25</v>
      </c>
      <c r="F57" s="197">
        <v>3775</v>
      </c>
      <c r="G57" s="197">
        <v>3745</v>
      </c>
      <c r="H57" s="196">
        <v>-30</v>
      </c>
      <c r="I57" s="197">
        <v>100</v>
      </c>
      <c r="J57" s="268">
        <f t="shared" si="6"/>
        <v>-3000</v>
      </c>
      <c r="K57" s="185"/>
      <c r="V57" s="183">
        <f t="shared" si="7"/>
        <v>0</v>
      </c>
      <c r="W57" s="183">
        <f t="shared" si="8"/>
        <v>1</v>
      </c>
    </row>
    <row r="58" spans="1:23" x14ac:dyDescent="0.3">
      <c r="A58" s="184"/>
      <c r="B58" s="194">
        <v>12</v>
      </c>
      <c r="C58" s="195">
        <v>43756</v>
      </c>
      <c r="D58" s="196" t="s">
        <v>23</v>
      </c>
      <c r="E58" s="196" t="s">
        <v>25</v>
      </c>
      <c r="F58" s="197">
        <v>3885</v>
      </c>
      <c r="G58" s="197">
        <v>3825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43760</v>
      </c>
      <c r="D59" s="196" t="s">
        <v>16</v>
      </c>
      <c r="E59" s="196" t="s">
        <v>25</v>
      </c>
      <c r="F59" s="197">
        <v>3800</v>
      </c>
      <c r="G59" s="197">
        <v>3860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43761</v>
      </c>
      <c r="D60" s="196" t="s">
        <v>23</v>
      </c>
      <c r="E60" s="196" t="s">
        <v>25</v>
      </c>
      <c r="F60" s="197">
        <v>3840</v>
      </c>
      <c r="G60" s="197">
        <v>3816</v>
      </c>
      <c r="H60" s="196">
        <v>24</v>
      </c>
      <c r="I60" s="197">
        <v>100</v>
      </c>
      <c r="J60" s="268">
        <f t="shared" si="6"/>
        <v>2400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43762</v>
      </c>
      <c r="D61" s="196" t="s">
        <v>23</v>
      </c>
      <c r="E61" s="196" t="s">
        <v>25</v>
      </c>
      <c r="F61" s="197">
        <v>3960</v>
      </c>
      <c r="G61" s="197">
        <v>3940</v>
      </c>
      <c r="H61" s="196">
        <v>20</v>
      </c>
      <c r="I61" s="197">
        <v>100</v>
      </c>
      <c r="J61" s="268">
        <f t="shared" si="6"/>
        <v>2000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43763</v>
      </c>
      <c r="D62" s="196" t="s">
        <v>23</v>
      </c>
      <c r="E62" s="196" t="s">
        <v>25</v>
      </c>
      <c r="F62" s="197">
        <v>3990</v>
      </c>
      <c r="G62" s="197">
        <v>3930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/>
      <c r="D63" s="196"/>
      <c r="E63" s="196"/>
      <c r="F63" s="197"/>
      <c r="G63" s="197"/>
      <c r="H63" s="196"/>
      <c r="I63" s="197"/>
      <c r="J63" s="268">
        <f t="shared" si="6"/>
        <v>0</v>
      </c>
      <c r="K63" s="185"/>
      <c r="V63" s="183">
        <f t="shared" si="7"/>
        <v>0</v>
      </c>
      <c r="W63" s="183">
        <f t="shared" si="8"/>
        <v>0</v>
      </c>
    </row>
    <row r="64" spans="1:23" x14ac:dyDescent="0.3">
      <c r="A64" s="255"/>
      <c r="B64" s="194">
        <v>18</v>
      </c>
      <c r="C64" s="195"/>
      <c r="D64" s="196"/>
      <c r="E64" s="196"/>
      <c r="F64" s="197"/>
      <c r="G64" s="197"/>
      <c r="H64" s="196"/>
      <c r="I64" s="197"/>
      <c r="J64" s="268">
        <f t="shared" si="6"/>
        <v>0</v>
      </c>
      <c r="K64" s="185"/>
      <c r="V64" s="183">
        <f t="shared" si="7"/>
        <v>0</v>
      </c>
      <c r="W64" s="183">
        <f t="shared" si="8"/>
        <v>0</v>
      </c>
    </row>
    <row r="65" spans="1:23" x14ac:dyDescent="0.3">
      <c r="A65" s="184"/>
      <c r="B65" s="194">
        <v>19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31400</v>
      </c>
      <c r="K70" s="185"/>
      <c r="V70" s="183">
        <f>SUM(V47:V69)</f>
        <v>11</v>
      </c>
      <c r="W70" s="183">
        <f>SUM(W47:W69)</f>
        <v>5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43739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43739</v>
      </c>
      <c r="D78" s="216" t="s">
        <v>23</v>
      </c>
      <c r="E78" s="256" t="s">
        <v>28</v>
      </c>
      <c r="F78" s="256">
        <v>185.2</v>
      </c>
      <c r="G78" s="256">
        <v>183.2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43741</v>
      </c>
      <c r="D79" s="196" t="s">
        <v>23</v>
      </c>
      <c r="E79" s="222" t="s">
        <v>28</v>
      </c>
      <c r="F79" s="222">
        <v>180.8</v>
      </c>
      <c r="G79" s="222">
        <v>179.1</v>
      </c>
      <c r="H79" s="222">
        <v>1.7</v>
      </c>
      <c r="I79" s="197">
        <v>5000</v>
      </c>
      <c r="J79" s="268">
        <f t="shared" ref="J79:J100" si="9">I79*H79</f>
        <v>8500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43742</v>
      </c>
      <c r="D80" s="196" t="s">
        <v>16</v>
      </c>
      <c r="E80" s="222" t="s">
        <v>28</v>
      </c>
      <c r="F80" s="222">
        <v>182</v>
      </c>
      <c r="G80" s="222">
        <v>181</v>
      </c>
      <c r="H80" s="222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4</v>
      </c>
      <c r="C81" s="195">
        <v>43743</v>
      </c>
      <c r="D81" s="196" t="s">
        <v>23</v>
      </c>
      <c r="E81" s="222" t="s">
        <v>28</v>
      </c>
      <c r="F81" s="222">
        <v>181.9</v>
      </c>
      <c r="G81" s="222">
        <v>180.3</v>
      </c>
      <c r="H81" s="222">
        <v>1.6</v>
      </c>
      <c r="I81" s="197">
        <v>5000</v>
      </c>
      <c r="J81" s="268">
        <f t="shared" si="9"/>
        <v>8000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43747</v>
      </c>
      <c r="D82" s="196" t="s">
        <v>16</v>
      </c>
      <c r="E82" s="222" t="s">
        <v>28</v>
      </c>
      <c r="F82" s="222">
        <v>180.8</v>
      </c>
      <c r="G82" s="222">
        <v>182.4</v>
      </c>
      <c r="H82" s="222">
        <v>1.6</v>
      </c>
      <c r="I82" s="197">
        <v>5000</v>
      </c>
      <c r="J82" s="268">
        <f t="shared" si="9"/>
        <v>8000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43748</v>
      </c>
      <c r="D83" s="196" t="s">
        <v>23</v>
      </c>
      <c r="E83" s="222" t="s">
        <v>28</v>
      </c>
      <c r="F83" s="222">
        <v>184.4</v>
      </c>
      <c r="G83" s="222">
        <v>184</v>
      </c>
      <c r="H83" s="222">
        <v>0.4</v>
      </c>
      <c r="I83" s="197">
        <v>5000</v>
      </c>
      <c r="J83" s="268">
        <f t="shared" si="9"/>
        <v>2000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43749</v>
      </c>
      <c r="D84" s="196" t="s">
        <v>16</v>
      </c>
      <c r="E84" s="222" t="s">
        <v>28</v>
      </c>
      <c r="F84" s="222">
        <v>186</v>
      </c>
      <c r="G84" s="222">
        <v>188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43752</v>
      </c>
      <c r="D85" s="196" t="s">
        <v>23</v>
      </c>
      <c r="E85" s="222" t="s">
        <v>28</v>
      </c>
      <c r="F85" s="222">
        <v>186</v>
      </c>
      <c r="G85" s="222">
        <v>187</v>
      </c>
      <c r="H85" s="222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9</v>
      </c>
      <c r="C86" s="195">
        <v>43753</v>
      </c>
      <c r="D86" s="196" t="s">
        <v>16</v>
      </c>
      <c r="E86" s="222" t="s">
        <v>28</v>
      </c>
      <c r="F86" s="222">
        <v>187.6</v>
      </c>
      <c r="G86" s="222">
        <v>186.6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43754</v>
      </c>
      <c r="D87" s="196" t="s">
        <v>16</v>
      </c>
      <c r="E87" s="222" t="s">
        <v>28</v>
      </c>
      <c r="F87" s="222">
        <v>185.8</v>
      </c>
      <c r="G87" s="222">
        <v>186.2</v>
      </c>
      <c r="H87" s="222">
        <v>0.4</v>
      </c>
      <c r="I87" s="197">
        <v>5000</v>
      </c>
      <c r="J87" s="268">
        <f t="shared" si="9"/>
        <v>2000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43755</v>
      </c>
      <c r="D88" s="196" t="s">
        <v>16</v>
      </c>
      <c r="E88" s="222" t="s">
        <v>29</v>
      </c>
      <c r="F88" s="222">
        <v>439</v>
      </c>
      <c r="G88" s="222">
        <v>439.9</v>
      </c>
      <c r="H88" s="274">
        <v>0.9</v>
      </c>
      <c r="I88" s="197">
        <v>1000</v>
      </c>
      <c r="J88" s="268">
        <f t="shared" si="9"/>
        <v>900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43756</v>
      </c>
      <c r="D89" s="196" t="s">
        <v>23</v>
      </c>
      <c r="E89" s="222" t="s">
        <v>28</v>
      </c>
      <c r="F89" s="222">
        <v>185.4</v>
      </c>
      <c r="G89" s="222">
        <v>185</v>
      </c>
      <c r="H89" s="274">
        <v>0.4</v>
      </c>
      <c r="I89" s="197">
        <v>5000</v>
      </c>
      <c r="J89" s="268">
        <f t="shared" si="9"/>
        <v>2000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43760</v>
      </c>
      <c r="D90" s="196" t="s">
        <v>16</v>
      </c>
      <c r="E90" s="222" t="s">
        <v>28</v>
      </c>
      <c r="F90" s="222">
        <v>185.7</v>
      </c>
      <c r="G90" s="222">
        <v>184.7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43761</v>
      </c>
      <c r="D91" s="196" t="s">
        <v>16</v>
      </c>
      <c r="E91" s="222" t="s">
        <v>28</v>
      </c>
      <c r="F91" s="222">
        <v>184.8</v>
      </c>
      <c r="G91" s="222">
        <v>185.8</v>
      </c>
      <c r="H91" s="274">
        <v>1</v>
      </c>
      <c r="I91" s="197">
        <v>5000</v>
      </c>
      <c r="J91" s="268">
        <f t="shared" si="9"/>
        <v>5000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43762</v>
      </c>
      <c r="D92" s="196" t="s">
        <v>16</v>
      </c>
      <c r="E92" s="222" t="s">
        <v>28</v>
      </c>
      <c r="F92" s="223">
        <v>186</v>
      </c>
      <c r="G92" s="222">
        <v>186.4</v>
      </c>
      <c r="H92" s="274">
        <v>0.4</v>
      </c>
      <c r="I92" s="197">
        <v>5000</v>
      </c>
      <c r="J92" s="268">
        <f t="shared" si="9"/>
        <v>2000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43763</v>
      </c>
      <c r="D93" s="196" t="s">
        <v>23</v>
      </c>
      <c r="E93" s="222" t="s">
        <v>28</v>
      </c>
      <c r="F93" s="222">
        <v>184.8</v>
      </c>
      <c r="G93" s="222">
        <v>184.4</v>
      </c>
      <c r="H93" s="274">
        <v>0.4</v>
      </c>
      <c r="I93" s="197">
        <v>5000</v>
      </c>
      <c r="J93" s="268">
        <f t="shared" si="9"/>
        <v>2000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/>
      <c r="D94" s="196"/>
      <c r="E94" s="222"/>
      <c r="F94" s="222"/>
      <c r="G94" s="222"/>
      <c r="H94" s="274"/>
      <c r="I94" s="197"/>
      <c r="J94" s="268">
        <f t="shared" si="9"/>
        <v>0</v>
      </c>
      <c r="K94" s="185"/>
      <c r="V94" s="183">
        <f t="shared" si="10"/>
        <v>0</v>
      </c>
      <c r="W94" s="183">
        <f t="shared" si="11"/>
        <v>0</v>
      </c>
    </row>
    <row r="95" spans="1:23" x14ac:dyDescent="0.3">
      <c r="A95" s="184"/>
      <c r="B95" s="194">
        <v>18</v>
      </c>
      <c r="C95" s="195"/>
      <c r="D95" s="196"/>
      <c r="E95" s="222"/>
      <c r="F95" s="222"/>
      <c r="G95" s="222"/>
      <c r="H95" s="274"/>
      <c r="I95" s="197"/>
      <c r="J95" s="268">
        <f t="shared" si="9"/>
        <v>0</v>
      </c>
      <c r="K95" s="185"/>
      <c r="V95" s="183">
        <f t="shared" si="10"/>
        <v>0</v>
      </c>
      <c r="W95" s="183">
        <f t="shared" si="11"/>
        <v>0</v>
      </c>
    </row>
    <row r="96" spans="1:23" x14ac:dyDescent="0.3">
      <c r="A96" s="184"/>
      <c r="B96" s="194">
        <v>19</v>
      </c>
      <c r="C96" s="195"/>
      <c r="D96" s="196"/>
      <c r="E96" s="222"/>
      <c r="F96" s="222"/>
      <c r="G96" s="222"/>
      <c r="H96" s="274"/>
      <c r="I96" s="197"/>
      <c r="J96" s="268">
        <f t="shared" si="9"/>
        <v>0</v>
      </c>
      <c r="K96" s="185"/>
      <c r="V96" s="183">
        <f t="shared" si="10"/>
        <v>0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40400</v>
      </c>
      <c r="K101" s="185"/>
      <c r="V101" s="183">
        <f>SUM(V78:V100)</f>
        <v>12</v>
      </c>
      <c r="W101" s="183">
        <f>SUM(W78:W100)</f>
        <v>4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200-000000000000}"/>
    <hyperlink ref="B70" r:id="rId2" xr:uid="{00000000-0004-0000-5200-000001000000}"/>
    <hyperlink ref="M4:M5" location="'OCT 2019'!A1" display="BULLION" xr:uid="{00000000-0004-0000-5200-000002000000}"/>
    <hyperlink ref="B101" r:id="rId3" xr:uid="{00000000-0004-0000-5200-000003000000}"/>
    <hyperlink ref="M8:M9" location="'OCT 2019'!A86" display="BASE METAL" xr:uid="{00000000-0004-0000-5200-000004000000}"/>
    <hyperlink ref="M1" location="MASTER!A1" display="Back" xr:uid="{00000000-0004-0000-5200-000005000000}"/>
    <hyperlink ref="M6:M7" location="'OCT 2019'!A54" display="ENERGY" xr:uid="{00000000-0004-0000-5200-000006000000}"/>
  </hyperlinks>
  <pageMargins left="0" right="0" top="0" bottom="0" header="0" footer="0"/>
  <pageSetup paperSize="9" orientation="portrait" r:id="rId4"/>
  <drawing r:id="rId5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43770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19</v>
      </c>
      <c r="O4" s="355">
        <f>V39</f>
        <v>14</v>
      </c>
      <c r="P4" s="355">
        <f>W39</f>
        <v>5</v>
      </c>
      <c r="Q4" s="356">
        <f>N4-O4-P4</f>
        <v>0</v>
      </c>
      <c r="R4" s="343">
        <f>O4/N4</f>
        <v>0.73684210526315785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43773</v>
      </c>
      <c r="D6" s="192" t="s">
        <v>16</v>
      </c>
      <c r="E6" s="192" t="s">
        <v>24</v>
      </c>
      <c r="F6" s="193">
        <v>38400</v>
      </c>
      <c r="G6" s="193">
        <v>38500</v>
      </c>
      <c r="H6" s="192">
        <v>100</v>
      </c>
      <c r="I6" s="193">
        <v>100</v>
      </c>
      <c r="J6" s="267">
        <f>H6*I6</f>
        <v>10000</v>
      </c>
      <c r="K6" s="185"/>
      <c r="M6" s="364" t="s">
        <v>258</v>
      </c>
      <c r="N6" s="347">
        <f>COUNT(C47:C69)</f>
        <v>19</v>
      </c>
      <c r="O6" s="348">
        <f>V70</f>
        <v>13</v>
      </c>
      <c r="P6" s="348">
        <f>W70</f>
        <v>6</v>
      </c>
      <c r="Q6" s="349">
        <f>N6-O6-P6</f>
        <v>0</v>
      </c>
      <c r="R6" s="345">
        <f t="shared" ref="R6" si="0">O6/N6</f>
        <v>0.68421052631578949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43774</v>
      </c>
      <c r="D7" s="196" t="s">
        <v>16</v>
      </c>
      <c r="E7" s="196" t="s">
        <v>24</v>
      </c>
      <c r="F7" s="197">
        <v>38400</v>
      </c>
      <c r="G7" s="197">
        <v>38360</v>
      </c>
      <c r="H7" s="196">
        <v>40</v>
      </c>
      <c r="I7" s="197">
        <v>100</v>
      </c>
      <c r="J7" s="268">
        <f t="shared" ref="J7:J38" si="1">H7*I7</f>
        <v>4000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43775</v>
      </c>
      <c r="D8" s="196" t="s">
        <v>23</v>
      </c>
      <c r="E8" s="196" t="s">
        <v>24</v>
      </c>
      <c r="F8" s="197">
        <v>38050</v>
      </c>
      <c r="G8" s="197">
        <v>37985</v>
      </c>
      <c r="H8" s="196">
        <v>65</v>
      </c>
      <c r="I8" s="197">
        <v>100</v>
      </c>
      <c r="J8" s="268">
        <f t="shared" si="1"/>
        <v>6500</v>
      </c>
      <c r="K8" s="185"/>
      <c r="M8" s="362" t="s">
        <v>877</v>
      </c>
      <c r="N8" s="347">
        <f>COUNT(C78:C100)</f>
        <v>19</v>
      </c>
      <c r="O8" s="348">
        <f>V101</f>
        <v>14</v>
      </c>
      <c r="P8" s="348">
        <f>W101</f>
        <v>5</v>
      </c>
      <c r="Q8" s="349">
        <f>N8-O8-P8</f>
        <v>0</v>
      </c>
      <c r="R8" s="345">
        <f t="shared" ref="R8" si="4">O8/N8</f>
        <v>0.73684210526315785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43776</v>
      </c>
      <c r="D9" s="196" t="s">
        <v>23</v>
      </c>
      <c r="E9" s="196" t="s">
        <v>24</v>
      </c>
      <c r="F9" s="197">
        <v>38030</v>
      </c>
      <c r="G9" s="197">
        <v>37830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43777</v>
      </c>
      <c r="D10" s="196" t="s">
        <v>16</v>
      </c>
      <c r="E10" s="196" t="s">
        <v>24</v>
      </c>
      <c r="F10" s="197">
        <v>37810</v>
      </c>
      <c r="G10" s="197">
        <v>37710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57</v>
      </c>
      <c r="O10" s="321">
        <f>SUM(O4:O9)</f>
        <v>41</v>
      </c>
      <c r="P10" s="321">
        <f>SUM(P4:P9)</f>
        <v>16</v>
      </c>
      <c r="Q10" s="341">
        <f>SUM(Q4:Q9)</f>
        <v>0</v>
      </c>
      <c r="R10" s="343">
        <f t="shared" ref="R10" si="5">O10/N10</f>
        <v>0.7192982456140351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43780</v>
      </c>
      <c r="D11" s="196" t="s">
        <v>16</v>
      </c>
      <c r="E11" s="196" t="s">
        <v>24</v>
      </c>
      <c r="F11" s="197">
        <v>37760</v>
      </c>
      <c r="G11" s="197">
        <v>37820</v>
      </c>
      <c r="H11" s="196">
        <v>60</v>
      </c>
      <c r="I11" s="197">
        <v>100</v>
      </c>
      <c r="J11" s="268">
        <f t="shared" si="1"/>
        <v>6000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43782</v>
      </c>
      <c r="D12" s="196" t="s">
        <v>16</v>
      </c>
      <c r="E12" s="196" t="s">
        <v>24</v>
      </c>
      <c r="F12" s="197">
        <v>37830</v>
      </c>
      <c r="G12" s="197">
        <v>38030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0.7192982456140351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43783</v>
      </c>
      <c r="D13" s="196" t="s">
        <v>16</v>
      </c>
      <c r="E13" s="196" t="s">
        <v>24</v>
      </c>
      <c r="F13" s="197">
        <v>38160</v>
      </c>
      <c r="G13" s="197">
        <v>38310</v>
      </c>
      <c r="H13" s="196">
        <v>150</v>
      </c>
      <c r="I13" s="197">
        <v>100</v>
      </c>
      <c r="J13" s="268">
        <f t="shared" si="1"/>
        <v>15000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43784</v>
      </c>
      <c r="D14" s="196" t="s">
        <v>16</v>
      </c>
      <c r="E14" s="196" t="s">
        <v>24</v>
      </c>
      <c r="F14" s="197">
        <v>37980</v>
      </c>
      <c r="G14" s="197">
        <v>38040</v>
      </c>
      <c r="H14" s="196">
        <v>60</v>
      </c>
      <c r="I14" s="197">
        <v>100</v>
      </c>
      <c r="J14" s="268">
        <f t="shared" si="1"/>
        <v>6000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43787</v>
      </c>
      <c r="D15" s="196" t="s">
        <v>23</v>
      </c>
      <c r="E15" s="196" t="s">
        <v>24</v>
      </c>
      <c r="F15" s="197">
        <v>37900</v>
      </c>
      <c r="G15" s="197">
        <v>37800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43788</v>
      </c>
      <c r="D16" s="196" t="s">
        <v>16</v>
      </c>
      <c r="E16" s="196" t="s">
        <v>24</v>
      </c>
      <c r="F16" s="197">
        <v>38130</v>
      </c>
      <c r="G16" s="197">
        <v>38030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43789</v>
      </c>
      <c r="D17" s="196" t="s">
        <v>16</v>
      </c>
      <c r="E17" s="196" t="s">
        <v>24</v>
      </c>
      <c r="F17" s="197">
        <v>38250</v>
      </c>
      <c r="G17" s="197">
        <v>38150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43790</v>
      </c>
      <c r="D18" s="196" t="s">
        <v>16</v>
      </c>
      <c r="E18" s="196" t="s">
        <v>24</v>
      </c>
      <c r="F18" s="197">
        <v>38130</v>
      </c>
      <c r="G18" s="197">
        <v>38030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43791</v>
      </c>
      <c r="D19" s="196" t="s">
        <v>23</v>
      </c>
      <c r="E19" s="196" t="s">
        <v>24</v>
      </c>
      <c r="F19" s="197">
        <v>38090</v>
      </c>
      <c r="G19" s="197">
        <v>37930</v>
      </c>
      <c r="H19" s="196">
        <v>160</v>
      </c>
      <c r="I19" s="197">
        <v>100</v>
      </c>
      <c r="J19" s="268">
        <f t="shared" si="1"/>
        <v>16000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43794</v>
      </c>
      <c r="D20" s="196" t="s">
        <v>16</v>
      </c>
      <c r="E20" s="196" t="s">
        <v>24</v>
      </c>
      <c r="F20" s="197">
        <v>37750</v>
      </c>
      <c r="G20" s="197">
        <v>37830</v>
      </c>
      <c r="H20" s="196">
        <v>80</v>
      </c>
      <c r="I20" s="197">
        <v>100</v>
      </c>
      <c r="J20" s="268">
        <f t="shared" si="1"/>
        <v>8000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43795</v>
      </c>
      <c r="D21" s="196" t="s">
        <v>16</v>
      </c>
      <c r="E21" s="196" t="s">
        <v>24</v>
      </c>
      <c r="F21" s="197">
        <v>37680</v>
      </c>
      <c r="G21" s="197">
        <v>37580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43796</v>
      </c>
      <c r="D22" s="196" t="s">
        <v>16</v>
      </c>
      <c r="E22" s="196" t="s">
        <v>24</v>
      </c>
      <c r="F22" s="197">
        <v>37620</v>
      </c>
      <c r="G22" s="197">
        <v>37585</v>
      </c>
      <c r="H22" s="196">
        <v>-35</v>
      </c>
      <c r="I22" s="197">
        <v>100</v>
      </c>
      <c r="J22" s="268">
        <f t="shared" si="1"/>
        <v>-3500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43797</v>
      </c>
      <c r="D23" s="196" t="s">
        <v>23</v>
      </c>
      <c r="E23" s="196" t="s">
        <v>24</v>
      </c>
      <c r="F23" s="197">
        <v>37720</v>
      </c>
      <c r="G23" s="197">
        <v>37660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43798</v>
      </c>
      <c r="D24" s="196" t="s">
        <v>23</v>
      </c>
      <c r="E24" s="196" t="s">
        <v>24</v>
      </c>
      <c r="F24" s="197">
        <v>37800</v>
      </c>
      <c r="G24" s="197">
        <v>37700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104000</v>
      </c>
      <c r="K39" s="185"/>
      <c r="V39" s="183">
        <f>SUM(V6:V38)</f>
        <v>14</v>
      </c>
      <c r="W39" s="183">
        <f>SUM(W6:W38)</f>
        <v>5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43770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43773</v>
      </c>
      <c r="D47" s="192" t="s">
        <v>23</v>
      </c>
      <c r="E47" s="192" t="s">
        <v>25</v>
      </c>
      <c r="F47" s="193">
        <v>3970</v>
      </c>
      <c r="G47" s="193">
        <v>4000</v>
      </c>
      <c r="H47" s="192">
        <v>-30</v>
      </c>
      <c r="I47" s="193">
        <v>100</v>
      </c>
      <c r="J47" s="267">
        <f t="shared" ref="J47:J69" si="6">I47*H47</f>
        <v>-3000</v>
      </c>
      <c r="K47" s="185"/>
      <c r="V47" s="183">
        <f>IF($J47&gt;0,1,0)</f>
        <v>0</v>
      </c>
      <c r="W47" s="183">
        <f>IF($J47&lt;0,1,0)</f>
        <v>1</v>
      </c>
    </row>
    <row r="48" spans="1:23" x14ac:dyDescent="0.3">
      <c r="A48" s="184"/>
      <c r="B48" s="194">
        <v>2</v>
      </c>
      <c r="C48" s="195">
        <v>43774</v>
      </c>
      <c r="D48" s="196" t="s">
        <v>23</v>
      </c>
      <c r="E48" s="196" t="s">
        <v>25</v>
      </c>
      <c r="F48" s="197">
        <v>4030</v>
      </c>
      <c r="G48" s="197">
        <v>4050</v>
      </c>
      <c r="H48" s="196">
        <v>-20</v>
      </c>
      <c r="I48" s="197">
        <v>100</v>
      </c>
      <c r="J48" s="268">
        <f t="shared" si="6"/>
        <v>-2000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43775</v>
      </c>
      <c r="D49" s="196" t="s">
        <v>16</v>
      </c>
      <c r="E49" s="196" t="s">
        <v>25</v>
      </c>
      <c r="F49" s="197">
        <v>4055</v>
      </c>
      <c r="G49" s="197">
        <v>4098</v>
      </c>
      <c r="H49" s="196">
        <v>43</v>
      </c>
      <c r="I49" s="197">
        <v>100</v>
      </c>
      <c r="J49" s="268">
        <f t="shared" si="6"/>
        <v>4300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43776</v>
      </c>
      <c r="D50" s="196" t="s">
        <v>23</v>
      </c>
      <c r="E50" s="196" t="s">
        <v>25</v>
      </c>
      <c r="F50" s="197">
        <v>4045</v>
      </c>
      <c r="G50" s="197">
        <v>4060</v>
      </c>
      <c r="H50" s="196">
        <v>-15</v>
      </c>
      <c r="I50" s="197">
        <v>100</v>
      </c>
      <c r="J50" s="268">
        <f t="shared" si="6"/>
        <v>-1500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43777</v>
      </c>
      <c r="D51" s="196" t="s">
        <v>23</v>
      </c>
      <c r="E51" s="196" t="s">
        <v>25</v>
      </c>
      <c r="F51" s="197">
        <v>4030</v>
      </c>
      <c r="G51" s="197">
        <v>4000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43780</v>
      </c>
      <c r="D52" s="196" t="s">
        <v>16</v>
      </c>
      <c r="E52" s="196" t="s">
        <v>25</v>
      </c>
      <c r="F52" s="197">
        <v>4040</v>
      </c>
      <c r="G52" s="197">
        <v>4090</v>
      </c>
      <c r="H52" s="196">
        <v>50</v>
      </c>
      <c r="I52" s="197">
        <v>100</v>
      </c>
      <c r="J52" s="268">
        <f t="shared" si="6"/>
        <v>5000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43782</v>
      </c>
      <c r="D53" s="196" t="s">
        <v>16</v>
      </c>
      <c r="E53" s="196" t="s">
        <v>25</v>
      </c>
      <c r="F53" s="197">
        <v>4050</v>
      </c>
      <c r="G53" s="197">
        <v>4110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43783</v>
      </c>
      <c r="D54" s="196" t="s">
        <v>16</v>
      </c>
      <c r="E54" s="196" t="s">
        <v>25</v>
      </c>
      <c r="F54" s="197">
        <v>4145</v>
      </c>
      <c r="G54" s="197">
        <v>4095</v>
      </c>
      <c r="H54" s="196">
        <v>50</v>
      </c>
      <c r="I54" s="197">
        <v>100</v>
      </c>
      <c r="J54" s="268">
        <f t="shared" si="6"/>
        <v>5000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43784</v>
      </c>
      <c r="D55" s="196" t="s">
        <v>23</v>
      </c>
      <c r="E55" s="196" t="s">
        <v>25</v>
      </c>
      <c r="F55" s="197">
        <v>4065</v>
      </c>
      <c r="G55" s="197">
        <v>4095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10</v>
      </c>
      <c r="C56" s="195">
        <v>43787</v>
      </c>
      <c r="D56" s="196" t="s">
        <v>23</v>
      </c>
      <c r="E56" s="196" t="s">
        <v>25</v>
      </c>
      <c r="F56" s="197">
        <v>4155</v>
      </c>
      <c r="G56" s="197">
        <v>4095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43788</v>
      </c>
      <c r="D57" s="196" t="s">
        <v>23</v>
      </c>
      <c r="E57" s="196" t="s">
        <v>25</v>
      </c>
      <c r="F57" s="197">
        <v>4080</v>
      </c>
      <c r="G57" s="197">
        <v>4020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43789</v>
      </c>
      <c r="D58" s="196" t="s">
        <v>23</v>
      </c>
      <c r="E58" s="196" t="s">
        <v>25</v>
      </c>
      <c r="F58" s="197">
        <v>3970</v>
      </c>
      <c r="G58" s="197">
        <v>4000</v>
      </c>
      <c r="H58" s="196">
        <v>-30</v>
      </c>
      <c r="I58" s="197">
        <v>100</v>
      </c>
      <c r="J58" s="268">
        <f t="shared" si="6"/>
        <v>-3000</v>
      </c>
      <c r="K58" s="185"/>
      <c r="V58" s="183">
        <f t="shared" si="7"/>
        <v>0</v>
      </c>
      <c r="W58" s="183">
        <f t="shared" si="8"/>
        <v>1</v>
      </c>
    </row>
    <row r="59" spans="1:23" x14ac:dyDescent="0.3">
      <c r="A59" s="184"/>
      <c r="B59" s="194">
        <v>13</v>
      </c>
      <c r="C59" s="195">
        <v>43790</v>
      </c>
      <c r="D59" s="196" t="s">
        <v>23</v>
      </c>
      <c r="E59" s="196" t="s">
        <v>25</v>
      </c>
      <c r="F59" s="197">
        <v>4080</v>
      </c>
      <c r="G59" s="197">
        <v>4110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43791</v>
      </c>
      <c r="D60" s="196" t="s">
        <v>16</v>
      </c>
      <c r="E60" s="196" t="s">
        <v>25</v>
      </c>
      <c r="F60" s="197">
        <v>4190</v>
      </c>
      <c r="G60" s="197">
        <v>4220</v>
      </c>
      <c r="H60" s="196">
        <v>30</v>
      </c>
      <c r="I60" s="197">
        <v>100</v>
      </c>
      <c r="J60" s="268">
        <f t="shared" si="6"/>
        <v>3000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43794</v>
      </c>
      <c r="D61" s="196" t="s">
        <v>23</v>
      </c>
      <c r="E61" s="196" t="s">
        <v>25</v>
      </c>
      <c r="F61" s="197">
        <v>4145</v>
      </c>
      <c r="G61" s="197">
        <v>4115</v>
      </c>
      <c r="H61" s="196">
        <v>30</v>
      </c>
      <c r="I61" s="197">
        <v>100</v>
      </c>
      <c r="J61" s="268">
        <f t="shared" si="6"/>
        <v>3000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43795</v>
      </c>
      <c r="D62" s="196" t="s">
        <v>16</v>
      </c>
      <c r="E62" s="196" t="s">
        <v>25</v>
      </c>
      <c r="F62" s="197">
        <v>4160</v>
      </c>
      <c r="G62" s="197">
        <v>4190</v>
      </c>
      <c r="H62" s="196">
        <v>30</v>
      </c>
      <c r="I62" s="197">
        <v>100</v>
      </c>
      <c r="J62" s="268">
        <f t="shared" si="6"/>
        <v>3000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43796</v>
      </c>
      <c r="D63" s="196" t="s">
        <v>23</v>
      </c>
      <c r="E63" s="196" t="s">
        <v>25</v>
      </c>
      <c r="F63" s="197">
        <v>4185</v>
      </c>
      <c r="G63" s="197">
        <v>4125</v>
      </c>
      <c r="H63" s="196">
        <v>60</v>
      </c>
      <c r="I63" s="197">
        <v>100</v>
      </c>
      <c r="J63" s="268">
        <f t="shared" si="6"/>
        <v>6000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43797</v>
      </c>
      <c r="D64" s="196" t="s">
        <v>16</v>
      </c>
      <c r="E64" s="196" t="s">
        <v>25</v>
      </c>
      <c r="F64" s="197">
        <v>4130</v>
      </c>
      <c r="G64" s="197">
        <v>4190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43798</v>
      </c>
      <c r="D65" s="196" t="s">
        <v>23</v>
      </c>
      <c r="E65" s="196" t="s">
        <v>25</v>
      </c>
      <c r="F65" s="197">
        <v>4170</v>
      </c>
      <c r="G65" s="197">
        <v>4110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46800</v>
      </c>
      <c r="K70" s="185"/>
      <c r="V70" s="183">
        <f>SUM(V47:V69)</f>
        <v>13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43770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43773</v>
      </c>
      <c r="D78" s="216" t="s">
        <v>16</v>
      </c>
      <c r="E78" s="256" t="s">
        <v>28</v>
      </c>
      <c r="F78" s="256">
        <v>190.3</v>
      </c>
      <c r="G78" s="256">
        <v>191.8</v>
      </c>
      <c r="H78" s="256">
        <v>0.5</v>
      </c>
      <c r="I78" s="218">
        <v>5000</v>
      </c>
      <c r="J78" s="273">
        <f>I78*H78</f>
        <v>2500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43774</v>
      </c>
      <c r="D79" s="196" t="s">
        <v>23</v>
      </c>
      <c r="E79" s="222" t="s">
        <v>28</v>
      </c>
      <c r="F79" s="222">
        <v>191.5</v>
      </c>
      <c r="G79" s="222">
        <v>192.5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43775</v>
      </c>
      <c r="D80" s="196" t="s">
        <v>16</v>
      </c>
      <c r="E80" s="222" t="s">
        <v>28</v>
      </c>
      <c r="F80" s="222">
        <v>190.3</v>
      </c>
      <c r="G80" s="222">
        <v>190.8</v>
      </c>
      <c r="H80" s="222">
        <v>0.5</v>
      </c>
      <c r="I80" s="197">
        <v>5000</v>
      </c>
      <c r="J80" s="268">
        <f t="shared" si="9"/>
        <v>2500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43776</v>
      </c>
      <c r="D81" s="196" t="s">
        <v>16</v>
      </c>
      <c r="E81" s="222" t="s">
        <v>28</v>
      </c>
      <c r="F81" s="222">
        <v>190.6</v>
      </c>
      <c r="G81" s="222">
        <v>192.6</v>
      </c>
      <c r="H81" s="222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43777</v>
      </c>
      <c r="D82" s="196" t="s">
        <v>16</v>
      </c>
      <c r="E82" s="222" t="s">
        <v>28</v>
      </c>
      <c r="F82" s="222">
        <v>193.8</v>
      </c>
      <c r="G82" s="222">
        <v>192.8</v>
      </c>
      <c r="H82" s="222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6</v>
      </c>
      <c r="C83" s="195">
        <v>43780</v>
      </c>
      <c r="D83" s="196" t="s">
        <v>16</v>
      </c>
      <c r="E83" s="222" t="s">
        <v>28</v>
      </c>
      <c r="F83" s="222">
        <v>194.1</v>
      </c>
      <c r="G83" s="222">
        <v>195.7</v>
      </c>
      <c r="H83" s="222">
        <v>1.6</v>
      </c>
      <c r="I83" s="197">
        <v>5000</v>
      </c>
      <c r="J83" s="268">
        <f t="shared" si="9"/>
        <v>8000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43782</v>
      </c>
      <c r="D84" s="196" t="s">
        <v>16</v>
      </c>
      <c r="E84" s="222" t="s">
        <v>28</v>
      </c>
      <c r="F84" s="222">
        <v>194.5</v>
      </c>
      <c r="G84" s="222">
        <v>193.5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8</v>
      </c>
      <c r="C85" s="195">
        <v>43783</v>
      </c>
      <c r="D85" s="196" t="s">
        <v>23</v>
      </c>
      <c r="E85" s="222" t="s">
        <v>28</v>
      </c>
      <c r="F85" s="222">
        <v>193.3</v>
      </c>
      <c r="G85" s="222">
        <v>192.3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43784</v>
      </c>
      <c r="D86" s="196" t="s">
        <v>23</v>
      </c>
      <c r="E86" s="222" t="s">
        <v>28</v>
      </c>
      <c r="F86" s="222">
        <v>193</v>
      </c>
      <c r="G86" s="222">
        <v>192</v>
      </c>
      <c r="H86" s="222">
        <v>1</v>
      </c>
      <c r="I86" s="197">
        <v>5000</v>
      </c>
      <c r="J86" s="268">
        <f t="shared" si="9"/>
        <v>5000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43787</v>
      </c>
      <c r="D87" s="196" t="s">
        <v>16</v>
      </c>
      <c r="E87" s="222" t="s">
        <v>28</v>
      </c>
      <c r="F87" s="222">
        <v>192.4</v>
      </c>
      <c r="G87" s="222">
        <v>192</v>
      </c>
      <c r="H87" s="222">
        <v>-0.4</v>
      </c>
      <c r="I87" s="197">
        <v>5000</v>
      </c>
      <c r="J87" s="268">
        <f t="shared" si="9"/>
        <v>-2000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11</v>
      </c>
      <c r="C88" s="195">
        <v>43788</v>
      </c>
      <c r="D88" s="196" t="s">
        <v>16</v>
      </c>
      <c r="E88" s="222" t="s">
        <v>28</v>
      </c>
      <c r="F88" s="222">
        <v>191</v>
      </c>
      <c r="G88" s="222">
        <v>191.5</v>
      </c>
      <c r="H88" s="274">
        <v>0.5</v>
      </c>
      <c r="I88" s="197">
        <v>5000</v>
      </c>
      <c r="J88" s="268">
        <f t="shared" si="9"/>
        <v>2500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43789</v>
      </c>
      <c r="D89" s="196" t="s">
        <v>23</v>
      </c>
      <c r="E89" s="222" t="s">
        <v>28</v>
      </c>
      <c r="F89" s="222">
        <v>188.6</v>
      </c>
      <c r="G89" s="222">
        <v>187.6</v>
      </c>
      <c r="H89" s="274">
        <v>1</v>
      </c>
      <c r="I89" s="197">
        <v>5000</v>
      </c>
      <c r="J89" s="268">
        <f t="shared" si="9"/>
        <v>5000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43790</v>
      </c>
      <c r="D90" s="196" t="s">
        <v>23</v>
      </c>
      <c r="E90" s="222" t="s">
        <v>28</v>
      </c>
      <c r="F90" s="222">
        <v>186.7</v>
      </c>
      <c r="G90" s="222">
        <v>185.7</v>
      </c>
      <c r="H90" s="274">
        <v>1</v>
      </c>
      <c r="I90" s="197">
        <v>5000</v>
      </c>
      <c r="J90" s="268">
        <f t="shared" si="9"/>
        <v>5000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43791</v>
      </c>
      <c r="D91" s="196" t="s">
        <v>23</v>
      </c>
      <c r="E91" s="222" t="s">
        <v>28</v>
      </c>
      <c r="F91" s="222">
        <v>187.3</v>
      </c>
      <c r="G91" s="222">
        <v>186.65</v>
      </c>
      <c r="H91" s="274">
        <v>0.65</v>
      </c>
      <c r="I91" s="197">
        <v>5000</v>
      </c>
      <c r="J91" s="268">
        <f t="shared" si="9"/>
        <v>3250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43794</v>
      </c>
      <c r="D92" s="196" t="s">
        <v>23</v>
      </c>
      <c r="E92" s="222" t="s">
        <v>28</v>
      </c>
      <c r="F92" s="223">
        <v>188</v>
      </c>
      <c r="G92" s="222">
        <v>186</v>
      </c>
      <c r="H92" s="274">
        <v>2</v>
      </c>
      <c r="I92" s="197">
        <v>5000</v>
      </c>
      <c r="J92" s="268">
        <f t="shared" si="9"/>
        <v>10000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43795</v>
      </c>
      <c r="D93" s="196" t="s">
        <v>23</v>
      </c>
      <c r="E93" s="222" t="s">
        <v>28</v>
      </c>
      <c r="F93" s="222">
        <v>185.3</v>
      </c>
      <c r="G93" s="222">
        <v>186.3</v>
      </c>
      <c r="H93" s="274">
        <v>-1</v>
      </c>
      <c r="I93" s="197">
        <v>5000</v>
      </c>
      <c r="J93" s="268">
        <f t="shared" si="9"/>
        <v>-5000</v>
      </c>
      <c r="K93" s="185"/>
      <c r="V93" s="183">
        <f t="shared" si="10"/>
        <v>0</v>
      </c>
      <c r="W93" s="183">
        <f t="shared" si="11"/>
        <v>1</v>
      </c>
    </row>
    <row r="94" spans="1:23" x14ac:dyDescent="0.3">
      <c r="A94" s="184"/>
      <c r="B94" s="194">
        <v>17</v>
      </c>
      <c r="C94" s="195">
        <v>43796</v>
      </c>
      <c r="D94" s="196" t="s">
        <v>23</v>
      </c>
      <c r="E94" s="222" t="s">
        <v>28</v>
      </c>
      <c r="F94" s="222">
        <v>186.6</v>
      </c>
      <c r="G94" s="222">
        <v>185.6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43797</v>
      </c>
      <c r="D95" s="196" t="s">
        <v>16</v>
      </c>
      <c r="E95" s="222" t="s">
        <v>28</v>
      </c>
      <c r="F95" s="222">
        <v>185.9</v>
      </c>
      <c r="G95" s="222">
        <v>186.2</v>
      </c>
      <c r="H95" s="274">
        <v>0.3</v>
      </c>
      <c r="I95" s="197">
        <v>5000</v>
      </c>
      <c r="J95" s="268">
        <f t="shared" si="9"/>
        <v>1500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43798</v>
      </c>
      <c r="D96" s="196" t="s">
        <v>23</v>
      </c>
      <c r="E96" s="222" t="s">
        <v>28</v>
      </c>
      <c r="F96" s="222">
        <v>185.7</v>
      </c>
      <c r="G96" s="222">
        <v>184.75</v>
      </c>
      <c r="H96" s="274">
        <v>0.95</v>
      </c>
      <c r="I96" s="197">
        <v>5000</v>
      </c>
      <c r="J96" s="268">
        <f t="shared" si="9"/>
        <v>4750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48000</v>
      </c>
      <c r="K101" s="185"/>
      <c r="V101" s="183">
        <f>SUM(V78:V100)</f>
        <v>14</v>
      </c>
      <c r="W101" s="183">
        <f>SUM(W78:W100)</f>
        <v>5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300-000000000000}"/>
    <hyperlink ref="B70" r:id="rId2" xr:uid="{00000000-0004-0000-5300-000001000000}"/>
    <hyperlink ref="M4:M5" location="'NOV 2019'!A1" display="BULLION" xr:uid="{00000000-0004-0000-5300-000002000000}"/>
    <hyperlink ref="B101" r:id="rId3" xr:uid="{00000000-0004-0000-5300-000003000000}"/>
    <hyperlink ref="M8:M9" location="'NOV 2019'!A86" display="BASE METAL" xr:uid="{00000000-0004-0000-5300-000004000000}"/>
    <hyperlink ref="M1" location="MASTER!A1" display="Back" xr:uid="{00000000-0004-0000-5300-000005000000}"/>
    <hyperlink ref="M6:M7" location="'NOV 2019'!A54" display="ENERGY" xr:uid="{00000000-0004-0000-5300-000006000000}"/>
  </hyperlinks>
  <pageMargins left="0" right="0" top="0" bottom="0" header="0" footer="0"/>
  <pageSetup paperSize="9" orientation="portrait" r:id="rId4"/>
  <drawing r:id="rId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W102"/>
  <sheetViews>
    <sheetView topLeftCell="A8" zoomScale="98" zoomScaleNormal="98" workbookViewId="0">
      <selection activeCell="M8" sqref="M8:M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43800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21</v>
      </c>
      <c r="O4" s="355">
        <f>V39</f>
        <v>13</v>
      </c>
      <c r="P4" s="355">
        <f>W39</f>
        <v>7</v>
      </c>
      <c r="Q4" s="356">
        <f>N4-O4-P4</f>
        <v>1</v>
      </c>
      <c r="R4" s="343">
        <f>O4/N4</f>
        <v>0.61904761904761907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43801</v>
      </c>
      <c r="D6" s="192" t="s">
        <v>23</v>
      </c>
      <c r="E6" s="192" t="s">
        <v>24</v>
      </c>
      <c r="F6" s="193">
        <v>37820</v>
      </c>
      <c r="G6" s="193">
        <v>37920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COUNT(C47:C69)</f>
        <v>21</v>
      </c>
      <c r="O6" s="348">
        <f>V70</f>
        <v>14</v>
      </c>
      <c r="P6" s="348">
        <f>W70</f>
        <v>6</v>
      </c>
      <c r="Q6" s="349">
        <f>N6-O6-P6</f>
        <v>1</v>
      </c>
      <c r="R6" s="345">
        <f t="shared" ref="R6" si="0">O6/N6</f>
        <v>0.66666666666666663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43802</v>
      </c>
      <c r="D7" s="196" t="s">
        <v>23</v>
      </c>
      <c r="E7" s="196" t="s">
        <v>24</v>
      </c>
      <c r="F7" s="197">
        <v>38170</v>
      </c>
      <c r="G7" s="197">
        <v>38270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43803</v>
      </c>
      <c r="D8" s="196" t="s">
        <v>23</v>
      </c>
      <c r="E8" s="196" t="s">
        <v>24</v>
      </c>
      <c r="F8" s="197">
        <v>38130</v>
      </c>
      <c r="G8" s="197">
        <v>38060</v>
      </c>
      <c r="H8" s="196">
        <v>70</v>
      </c>
      <c r="I8" s="197">
        <v>100</v>
      </c>
      <c r="J8" s="268">
        <f t="shared" si="1"/>
        <v>7000</v>
      </c>
      <c r="K8" s="185"/>
      <c r="M8" s="362" t="s">
        <v>877</v>
      </c>
      <c r="N8" s="347">
        <f>COUNT(C78:C100)</f>
        <v>21</v>
      </c>
      <c r="O8" s="348">
        <f>V101</f>
        <v>17</v>
      </c>
      <c r="P8" s="348">
        <f>W101</f>
        <v>3</v>
      </c>
      <c r="Q8" s="349">
        <f>N8-O8-P8</f>
        <v>1</v>
      </c>
      <c r="R8" s="345">
        <f t="shared" ref="R8" si="4">O8/N8</f>
        <v>0.80952380952380953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43804</v>
      </c>
      <c r="D9" s="196" t="s">
        <v>23</v>
      </c>
      <c r="E9" s="196" t="s">
        <v>24</v>
      </c>
      <c r="F9" s="197">
        <v>38060</v>
      </c>
      <c r="G9" s="197">
        <v>37960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43805</v>
      </c>
      <c r="D10" s="196" t="s">
        <v>23</v>
      </c>
      <c r="E10" s="196" t="s">
        <v>24</v>
      </c>
      <c r="F10" s="197">
        <v>38040</v>
      </c>
      <c r="G10" s="197">
        <v>37840</v>
      </c>
      <c r="H10" s="196">
        <v>200</v>
      </c>
      <c r="I10" s="197">
        <v>100</v>
      </c>
      <c r="J10" s="268">
        <f t="shared" si="1"/>
        <v>20000</v>
      </c>
      <c r="K10" s="185"/>
      <c r="M10" s="319" t="s">
        <v>300</v>
      </c>
      <c r="N10" s="321">
        <f>SUM(N4:N9)</f>
        <v>63</v>
      </c>
      <c r="O10" s="321">
        <f>SUM(O4:O9)</f>
        <v>44</v>
      </c>
      <c r="P10" s="321">
        <f>SUM(P4:P9)</f>
        <v>16</v>
      </c>
      <c r="Q10" s="341">
        <f>SUM(Q4:Q9)</f>
        <v>3</v>
      </c>
      <c r="R10" s="343">
        <f t="shared" ref="R10" si="5">O10/N10</f>
        <v>0.69841269841269837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43808</v>
      </c>
      <c r="D11" s="196" t="s">
        <v>16</v>
      </c>
      <c r="E11" s="196" t="s">
        <v>24</v>
      </c>
      <c r="F11" s="197">
        <v>37640</v>
      </c>
      <c r="G11" s="197">
        <v>37640</v>
      </c>
      <c r="H11" s="196">
        <v>0</v>
      </c>
      <c r="I11" s="197">
        <v>100</v>
      </c>
      <c r="J11" s="268">
        <f t="shared" si="1"/>
        <v>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43809</v>
      </c>
      <c r="D12" s="196" t="s">
        <v>16</v>
      </c>
      <c r="E12" s="196" t="s">
        <v>24</v>
      </c>
      <c r="F12" s="197">
        <v>37580</v>
      </c>
      <c r="G12" s="197">
        <v>37680</v>
      </c>
      <c r="H12" s="196">
        <v>100</v>
      </c>
      <c r="I12" s="197">
        <v>100</v>
      </c>
      <c r="J12" s="268">
        <f t="shared" si="1"/>
        <v>10000</v>
      </c>
      <c r="K12" s="185"/>
      <c r="M12" s="323" t="s">
        <v>878</v>
      </c>
      <c r="N12" s="324"/>
      <c r="O12" s="325"/>
      <c r="P12" s="332">
        <f>R10</f>
        <v>0.69841269841269837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43810</v>
      </c>
      <c r="D13" s="196" t="s">
        <v>16</v>
      </c>
      <c r="E13" s="196" t="s">
        <v>24</v>
      </c>
      <c r="F13" s="197">
        <v>37540</v>
      </c>
      <c r="G13" s="197">
        <v>37680</v>
      </c>
      <c r="H13" s="196">
        <v>140</v>
      </c>
      <c r="I13" s="197">
        <v>100</v>
      </c>
      <c r="J13" s="268">
        <f t="shared" si="1"/>
        <v>14000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43811</v>
      </c>
      <c r="D14" s="196" t="s">
        <v>23</v>
      </c>
      <c r="E14" s="196" t="s">
        <v>24</v>
      </c>
      <c r="F14" s="197">
        <v>37680</v>
      </c>
      <c r="G14" s="197">
        <v>37780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43812</v>
      </c>
      <c r="D15" s="196" t="s">
        <v>16</v>
      </c>
      <c r="E15" s="196" t="s">
        <v>24</v>
      </c>
      <c r="F15" s="197">
        <v>37650</v>
      </c>
      <c r="G15" s="197">
        <v>37800</v>
      </c>
      <c r="H15" s="196">
        <v>150</v>
      </c>
      <c r="I15" s="197">
        <v>100</v>
      </c>
      <c r="J15" s="268">
        <f t="shared" si="1"/>
        <v>15000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43815</v>
      </c>
      <c r="D16" s="196" t="s">
        <v>23</v>
      </c>
      <c r="E16" s="196" t="s">
        <v>24</v>
      </c>
      <c r="F16" s="197">
        <v>37840</v>
      </c>
      <c r="G16" s="197">
        <v>37940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43816</v>
      </c>
      <c r="D17" s="196" t="s">
        <v>23</v>
      </c>
      <c r="E17" s="196" t="s">
        <v>24</v>
      </c>
      <c r="F17" s="197">
        <v>37970</v>
      </c>
      <c r="G17" s="197">
        <v>37915</v>
      </c>
      <c r="H17" s="196">
        <v>55</v>
      </c>
      <c r="I17" s="197">
        <v>100</v>
      </c>
      <c r="J17" s="268">
        <f t="shared" si="1"/>
        <v>5500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43817</v>
      </c>
      <c r="D18" s="196" t="s">
        <v>16</v>
      </c>
      <c r="E18" s="196" t="s">
        <v>24</v>
      </c>
      <c r="F18" s="197">
        <v>37970</v>
      </c>
      <c r="G18" s="197">
        <v>37870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43818</v>
      </c>
      <c r="D19" s="196" t="s">
        <v>16</v>
      </c>
      <c r="E19" s="196" t="s">
        <v>24</v>
      </c>
      <c r="F19" s="197">
        <v>37900</v>
      </c>
      <c r="G19" s="197">
        <v>38000</v>
      </c>
      <c r="H19" s="196">
        <v>-100</v>
      </c>
      <c r="I19" s="197">
        <v>100</v>
      </c>
      <c r="J19" s="268">
        <f t="shared" si="1"/>
        <v>-10000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43819</v>
      </c>
      <c r="D20" s="196" t="s">
        <v>23</v>
      </c>
      <c r="E20" s="196" t="s">
        <v>24</v>
      </c>
      <c r="F20" s="197">
        <v>38010</v>
      </c>
      <c r="G20" s="197">
        <v>38110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43822</v>
      </c>
      <c r="D21" s="196" t="s">
        <v>16</v>
      </c>
      <c r="E21" s="196" t="s">
        <v>24</v>
      </c>
      <c r="F21" s="197">
        <v>38140</v>
      </c>
      <c r="G21" s="197">
        <v>38280</v>
      </c>
      <c r="H21" s="196">
        <v>140</v>
      </c>
      <c r="I21" s="197">
        <v>100</v>
      </c>
      <c r="J21" s="268">
        <f t="shared" si="1"/>
        <v>14000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43823</v>
      </c>
      <c r="D22" s="196" t="s">
        <v>23</v>
      </c>
      <c r="E22" s="196" t="s">
        <v>24</v>
      </c>
      <c r="F22" s="197">
        <v>38400</v>
      </c>
      <c r="G22" s="197">
        <v>38500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43825</v>
      </c>
      <c r="D23" s="196" t="s">
        <v>16</v>
      </c>
      <c r="E23" s="196" t="s">
        <v>24</v>
      </c>
      <c r="F23" s="197">
        <v>38820</v>
      </c>
      <c r="G23" s="197">
        <v>38920</v>
      </c>
      <c r="H23" s="196">
        <v>100</v>
      </c>
      <c r="I23" s="197">
        <v>100</v>
      </c>
      <c r="J23" s="268">
        <f t="shared" si="1"/>
        <v>10000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43826</v>
      </c>
      <c r="D24" s="196" t="s">
        <v>16</v>
      </c>
      <c r="E24" s="196" t="s">
        <v>24</v>
      </c>
      <c r="F24" s="197">
        <v>38920</v>
      </c>
      <c r="G24" s="197">
        <v>39070</v>
      </c>
      <c r="H24" s="196">
        <v>150</v>
      </c>
      <c r="I24" s="197">
        <v>100</v>
      </c>
      <c r="J24" s="268">
        <f t="shared" si="1"/>
        <v>15000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43829</v>
      </c>
      <c r="D25" s="196" t="s">
        <v>23</v>
      </c>
      <c r="E25" s="196" t="s">
        <v>24</v>
      </c>
      <c r="F25" s="197">
        <v>39000</v>
      </c>
      <c r="G25" s="197">
        <v>38940</v>
      </c>
      <c r="H25" s="196">
        <v>60</v>
      </c>
      <c r="I25" s="197">
        <v>100</v>
      </c>
      <c r="J25" s="268">
        <f t="shared" si="1"/>
        <v>6000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43830</v>
      </c>
      <c r="D26" s="196" t="s">
        <v>23</v>
      </c>
      <c r="E26" s="196" t="s">
        <v>24</v>
      </c>
      <c r="F26" s="197">
        <v>39180</v>
      </c>
      <c r="G26" s="197">
        <v>39020</v>
      </c>
      <c r="H26" s="196">
        <v>160</v>
      </c>
      <c r="I26" s="197">
        <v>100</v>
      </c>
      <c r="J26" s="268">
        <f t="shared" si="1"/>
        <v>16000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92500</v>
      </c>
      <c r="K39" s="185"/>
      <c r="V39" s="183">
        <f>SUM(V6:V38)</f>
        <v>13</v>
      </c>
      <c r="W39" s="183">
        <f>SUM(W6:W38)</f>
        <v>7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43800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43801</v>
      </c>
      <c r="D47" s="192" t="s">
        <v>23</v>
      </c>
      <c r="E47" s="192" t="s">
        <v>25</v>
      </c>
      <c r="F47" s="193">
        <v>4050</v>
      </c>
      <c r="G47" s="193">
        <v>4008</v>
      </c>
      <c r="H47" s="192">
        <v>42</v>
      </c>
      <c r="I47" s="193">
        <v>100</v>
      </c>
      <c r="J47" s="267">
        <f t="shared" ref="J47:J69" si="6">I47*H47</f>
        <v>4200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43802</v>
      </c>
      <c r="D48" s="196" t="s">
        <v>23</v>
      </c>
      <c r="E48" s="196" t="s">
        <v>25</v>
      </c>
      <c r="F48" s="197">
        <v>4025</v>
      </c>
      <c r="G48" s="197">
        <v>3985</v>
      </c>
      <c r="H48" s="196">
        <v>40</v>
      </c>
      <c r="I48" s="197">
        <v>100</v>
      </c>
      <c r="J48" s="268">
        <f t="shared" si="6"/>
        <v>4000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43803</v>
      </c>
      <c r="D49" s="196" t="s">
        <v>23</v>
      </c>
      <c r="E49" s="196" t="s">
        <v>25</v>
      </c>
      <c r="F49" s="197">
        <v>4075</v>
      </c>
      <c r="G49" s="197">
        <v>4105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4</v>
      </c>
      <c r="C50" s="195">
        <v>43804</v>
      </c>
      <c r="D50" s="196" t="s">
        <v>16</v>
      </c>
      <c r="E50" s="196" t="s">
        <v>25</v>
      </c>
      <c r="F50" s="197">
        <v>4170</v>
      </c>
      <c r="G50" s="197">
        <v>4200</v>
      </c>
      <c r="H50" s="196">
        <v>30</v>
      </c>
      <c r="I50" s="197">
        <v>100</v>
      </c>
      <c r="J50" s="268">
        <f t="shared" si="6"/>
        <v>3000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43805</v>
      </c>
      <c r="D51" s="196" t="s">
        <v>16</v>
      </c>
      <c r="E51" s="196" t="s">
        <v>25</v>
      </c>
      <c r="F51" s="197">
        <v>4165</v>
      </c>
      <c r="G51" s="197">
        <v>4135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43808</v>
      </c>
      <c r="D52" s="196" t="s">
        <v>23</v>
      </c>
      <c r="E52" s="196" t="s">
        <v>25</v>
      </c>
      <c r="F52" s="197">
        <v>4175</v>
      </c>
      <c r="G52" s="197">
        <v>4155</v>
      </c>
      <c r="H52" s="196">
        <v>20</v>
      </c>
      <c r="I52" s="197">
        <v>100</v>
      </c>
      <c r="J52" s="268">
        <f t="shared" si="6"/>
        <v>2000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43809</v>
      </c>
      <c r="D53" s="196" t="s">
        <v>23</v>
      </c>
      <c r="E53" s="196" t="s">
        <v>25</v>
      </c>
      <c r="F53" s="197">
        <v>4170</v>
      </c>
      <c r="G53" s="197">
        <v>4200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43810</v>
      </c>
      <c r="D54" s="196" t="s">
        <v>23</v>
      </c>
      <c r="E54" s="196" t="s">
        <v>25</v>
      </c>
      <c r="F54" s="197">
        <v>4175</v>
      </c>
      <c r="G54" s="197">
        <v>4115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43811</v>
      </c>
      <c r="D55" s="196" t="s">
        <v>23</v>
      </c>
      <c r="E55" s="196" t="s">
        <v>25</v>
      </c>
      <c r="F55" s="197">
        <v>4185</v>
      </c>
      <c r="G55" s="197">
        <v>4168</v>
      </c>
      <c r="H55" s="196">
        <v>17</v>
      </c>
      <c r="I55" s="197">
        <v>100</v>
      </c>
      <c r="J55" s="268">
        <f t="shared" si="6"/>
        <v>1700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43812</v>
      </c>
      <c r="D56" s="196" t="s">
        <v>23</v>
      </c>
      <c r="E56" s="196" t="s">
        <v>25</v>
      </c>
      <c r="F56" s="197">
        <v>4240</v>
      </c>
      <c r="G56" s="197">
        <v>4198</v>
      </c>
      <c r="H56" s="196">
        <v>42</v>
      </c>
      <c r="I56" s="197">
        <v>100</v>
      </c>
      <c r="J56" s="268">
        <f t="shared" si="6"/>
        <v>4200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43815</v>
      </c>
      <c r="D57" s="196" t="s">
        <v>23</v>
      </c>
      <c r="E57" s="196" t="s">
        <v>25</v>
      </c>
      <c r="F57" s="197">
        <v>4265</v>
      </c>
      <c r="G57" s="197">
        <v>4265</v>
      </c>
      <c r="H57" s="196">
        <v>0</v>
      </c>
      <c r="I57" s="197">
        <v>100</v>
      </c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43816</v>
      </c>
      <c r="D58" s="196" t="s">
        <v>23</v>
      </c>
      <c r="E58" s="196" t="s">
        <v>25</v>
      </c>
      <c r="F58" s="197">
        <v>4280</v>
      </c>
      <c r="G58" s="197">
        <v>4310</v>
      </c>
      <c r="H58" s="196">
        <v>-30</v>
      </c>
      <c r="I58" s="197">
        <v>100</v>
      </c>
      <c r="J58" s="268">
        <f t="shared" si="6"/>
        <v>-3000</v>
      </c>
      <c r="K58" s="185"/>
      <c r="V58" s="183">
        <f t="shared" si="7"/>
        <v>0</v>
      </c>
      <c r="W58" s="183">
        <f t="shared" si="8"/>
        <v>1</v>
      </c>
    </row>
    <row r="59" spans="1:23" x14ac:dyDescent="0.3">
      <c r="A59" s="184"/>
      <c r="B59" s="194">
        <v>13</v>
      </c>
      <c r="C59" s="195">
        <v>43817</v>
      </c>
      <c r="D59" s="196" t="s">
        <v>23</v>
      </c>
      <c r="E59" s="196" t="s">
        <v>25</v>
      </c>
      <c r="F59" s="197">
        <v>4290</v>
      </c>
      <c r="G59" s="197">
        <v>4320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43818</v>
      </c>
      <c r="D60" s="196" t="s">
        <v>16</v>
      </c>
      <c r="E60" s="196" t="s">
        <v>25</v>
      </c>
      <c r="F60" s="197">
        <v>4325</v>
      </c>
      <c r="G60" s="197">
        <v>4370</v>
      </c>
      <c r="H60" s="196">
        <v>45</v>
      </c>
      <c r="I60" s="197">
        <v>100</v>
      </c>
      <c r="J60" s="268">
        <f t="shared" si="6"/>
        <v>4500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43819</v>
      </c>
      <c r="D61" s="196" t="s">
        <v>23</v>
      </c>
      <c r="E61" s="196" t="s">
        <v>25</v>
      </c>
      <c r="F61" s="197">
        <v>4355</v>
      </c>
      <c r="G61" s="197">
        <v>4295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43822</v>
      </c>
      <c r="D62" s="196" t="s">
        <v>16</v>
      </c>
      <c r="E62" s="196" t="s">
        <v>25</v>
      </c>
      <c r="F62" s="197">
        <v>4290</v>
      </c>
      <c r="G62" s="197">
        <v>4330</v>
      </c>
      <c r="H62" s="196">
        <v>40</v>
      </c>
      <c r="I62" s="197">
        <v>100</v>
      </c>
      <c r="J62" s="268">
        <f t="shared" si="6"/>
        <v>4000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43823</v>
      </c>
      <c r="D63" s="196" t="s">
        <v>16</v>
      </c>
      <c r="E63" s="196" t="s">
        <v>25</v>
      </c>
      <c r="F63" s="197">
        <v>4325</v>
      </c>
      <c r="G63" s="197">
        <v>4355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43824</v>
      </c>
      <c r="D64" s="196" t="s">
        <v>16</v>
      </c>
      <c r="E64" s="196" t="s">
        <v>25</v>
      </c>
      <c r="F64" s="197">
        <v>4370</v>
      </c>
      <c r="G64" s="197">
        <v>4400</v>
      </c>
      <c r="H64" s="196">
        <v>30</v>
      </c>
      <c r="I64" s="197">
        <v>100</v>
      </c>
      <c r="J64" s="268">
        <f t="shared" si="6"/>
        <v>3000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43826</v>
      </c>
      <c r="D65" s="196" t="s">
        <v>23</v>
      </c>
      <c r="E65" s="196" t="s">
        <v>25</v>
      </c>
      <c r="F65" s="197">
        <v>4420</v>
      </c>
      <c r="G65" s="197">
        <v>4380</v>
      </c>
      <c r="H65" s="196">
        <v>40</v>
      </c>
      <c r="I65" s="197">
        <v>100</v>
      </c>
      <c r="J65" s="268">
        <f t="shared" si="6"/>
        <v>4000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43829</v>
      </c>
      <c r="D66" s="196" t="s">
        <v>23</v>
      </c>
      <c r="E66" s="196" t="s">
        <v>25</v>
      </c>
      <c r="F66" s="197">
        <v>4415</v>
      </c>
      <c r="G66" s="197">
        <v>4445</v>
      </c>
      <c r="H66" s="196">
        <v>-30</v>
      </c>
      <c r="I66" s="197">
        <v>100</v>
      </c>
      <c r="J66" s="268">
        <f t="shared" si="6"/>
        <v>-3000</v>
      </c>
      <c r="K66" s="185"/>
      <c r="V66" s="183">
        <f t="shared" si="7"/>
        <v>0</v>
      </c>
      <c r="W66" s="183">
        <f t="shared" si="8"/>
        <v>1</v>
      </c>
    </row>
    <row r="67" spans="1:23" x14ac:dyDescent="0.3">
      <c r="A67" s="184"/>
      <c r="B67" s="194">
        <v>21</v>
      </c>
      <c r="C67" s="195">
        <v>43830</v>
      </c>
      <c r="D67" s="196" t="s">
        <v>23</v>
      </c>
      <c r="E67" s="196" t="s">
        <v>25</v>
      </c>
      <c r="F67" s="197">
        <v>4390</v>
      </c>
      <c r="G67" s="197">
        <v>4330</v>
      </c>
      <c r="H67" s="196">
        <v>60</v>
      </c>
      <c r="I67" s="197">
        <v>100</v>
      </c>
      <c r="J67" s="268">
        <f t="shared" si="6"/>
        <v>6000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37600</v>
      </c>
      <c r="K70" s="185"/>
      <c r="V70" s="183">
        <f>SUM(V47:V69)</f>
        <v>14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43800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43801</v>
      </c>
      <c r="D78" s="216" t="s">
        <v>16</v>
      </c>
      <c r="E78" s="256" t="s">
        <v>28</v>
      </c>
      <c r="F78" s="256">
        <v>184.4</v>
      </c>
      <c r="G78" s="256">
        <v>183.4</v>
      </c>
      <c r="H78" s="256">
        <v>-1</v>
      </c>
      <c r="I78" s="218">
        <v>5000</v>
      </c>
      <c r="J78" s="273">
        <f>I78*H78</f>
        <v>-5000</v>
      </c>
      <c r="K78" s="185"/>
      <c r="M78" s="183" t="s">
        <v>870</v>
      </c>
      <c r="V78" s="183">
        <f>IF($J78&gt;0,1,0)</f>
        <v>0</v>
      </c>
      <c r="W78" s="183">
        <f>IF($J78&lt;0,1,0)</f>
        <v>1</v>
      </c>
    </row>
    <row r="79" spans="1:23" x14ac:dyDescent="0.3">
      <c r="A79" s="184"/>
      <c r="B79" s="194">
        <v>2</v>
      </c>
      <c r="C79" s="195">
        <v>43802</v>
      </c>
      <c r="D79" s="196" t="s">
        <v>16</v>
      </c>
      <c r="E79" s="222" t="s">
        <v>28</v>
      </c>
      <c r="F79" s="222">
        <v>181</v>
      </c>
      <c r="G79" s="222">
        <v>180.55</v>
      </c>
      <c r="H79" s="222">
        <v>0.45</v>
      </c>
      <c r="I79" s="197">
        <v>5000</v>
      </c>
      <c r="J79" s="268">
        <f t="shared" ref="J79:J100" si="9">I79*H79</f>
        <v>2250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43803</v>
      </c>
      <c r="D80" s="196" t="s">
        <v>16</v>
      </c>
      <c r="E80" s="222" t="s">
        <v>28</v>
      </c>
      <c r="F80" s="222">
        <v>183.5</v>
      </c>
      <c r="G80" s="222">
        <v>184.5</v>
      </c>
      <c r="H80" s="222">
        <v>1</v>
      </c>
      <c r="I80" s="197">
        <v>5000</v>
      </c>
      <c r="J80" s="268">
        <f t="shared" si="9"/>
        <v>5000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43804</v>
      </c>
      <c r="D81" s="196" t="s">
        <v>23</v>
      </c>
      <c r="E81" s="222" t="s">
        <v>28</v>
      </c>
      <c r="F81" s="222">
        <v>183.6</v>
      </c>
      <c r="G81" s="222">
        <v>182.6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43805</v>
      </c>
      <c r="D82" s="196" t="s">
        <v>23</v>
      </c>
      <c r="E82" s="222" t="s">
        <v>28</v>
      </c>
      <c r="F82" s="222">
        <v>183.8</v>
      </c>
      <c r="G82" s="222">
        <v>183.3</v>
      </c>
      <c r="H82" s="222">
        <v>0.5</v>
      </c>
      <c r="I82" s="197">
        <v>5000</v>
      </c>
      <c r="J82" s="268">
        <f t="shared" si="9"/>
        <v>2500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43808</v>
      </c>
      <c r="D83" s="196" t="s">
        <v>23</v>
      </c>
      <c r="E83" s="222" t="s">
        <v>28</v>
      </c>
      <c r="F83" s="222">
        <v>183</v>
      </c>
      <c r="G83" s="222">
        <v>183</v>
      </c>
      <c r="H83" s="222">
        <v>0</v>
      </c>
      <c r="I83" s="197">
        <v>5000</v>
      </c>
      <c r="J83" s="268">
        <f t="shared" si="9"/>
        <v>0</v>
      </c>
      <c r="K83" s="185"/>
      <c r="V83" s="183">
        <f t="shared" si="10"/>
        <v>0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43809</v>
      </c>
      <c r="D84" s="196" t="s">
        <v>23</v>
      </c>
      <c r="E84" s="222" t="s">
        <v>28</v>
      </c>
      <c r="F84" s="222">
        <v>182.4</v>
      </c>
      <c r="G84" s="222">
        <v>181.4</v>
      </c>
      <c r="H84" s="274">
        <v>1</v>
      </c>
      <c r="I84" s="197">
        <v>5000</v>
      </c>
      <c r="J84" s="268">
        <f t="shared" si="9"/>
        <v>5000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43810</v>
      </c>
      <c r="D85" s="196" t="s">
        <v>23</v>
      </c>
      <c r="E85" s="222" t="s">
        <v>28</v>
      </c>
      <c r="F85" s="222">
        <v>182.3</v>
      </c>
      <c r="G85" s="222">
        <v>181.3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43811</v>
      </c>
      <c r="D86" s="196" t="s">
        <v>23</v>
      </c>
      <c r="E86" s="222" t="s">
        <v>28</v>
      </c>
      <c r="F86" s="222">
        <v>181.9</v>
      </c>
      <c r="G86" s="222">
        <v>182.9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43812</v>
      </c>
      <c r="D87" s="196" t="s">
        <v>16</v>
      </c>
      <c r="E87" s="222" t="s">
        <v>28</v>
      </c>
      <c r="F87" s="222">
        <v>183.6</v>
      </c>
      <c r="G87" s="222">
        <v>184.05</v>
      </c>
      <c r="H87" s="222">
        <v>0.9</v>
      </c>
      <c r="I87" s="197">
        <v>5000</v>
      </c>
      <c r="J87" s="268">
        <f t="shared" si="9"/>
        <v>4500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43815</v>
      </c>
      <c r="D88" s="196" t="s">
        <v>16</v>
      </c>
      <c r="E88" s="222" t="s">
        <v>28</v>
      </c>
      <c r="F88" s="222">
        <v>182</v>
      </c>
      <c r="G88" s="222">
        <v>182.45</v>
      </c>
      <c r="H88" s="274">
        <v>0.45</v>
      </c>
      <c r="I88" s="197">
        <v>5000</v>
      </c>
      <c r="J88" s="268">
        <f t="shared" si="9"/>
        <v>2250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43816</v>
      </c>
      <c r="D89" s="196" t="s">
        <v>16</v>
      </c>
      <c r="E89" s="222" t="s">
        <v>28</v>
      </c>
      <c r="F89" s="222">
        <v>183.4</v>
      </c>
      <c r="G89" s="222">
        <v>183.9</v>
      </c>
      <c r="H89" s="274">
        <v>0.5</v>
      </c>
      <c r="I89" s="197">
        <v>5000</v>
      </c>
      <c r="J89" s="268">
        <f t="shared" si="9"/>
        <v>2500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43817</v>
      </c>
      <c r="D90" s="196" t="s">
        <v>16</v>
      </c>
      <c r="E90" s="222" t="s">
        <v>28</v>
      </c>
      <c r="F90" s="222">
        <v>183.1</v>
      </c>
      <c r="G90" s="222">
        <v>183.95</v>
      </c>
      <c r="H90" s="274">
        <v>0.85</v>
      </c>
      <c r="I90" s="197">
        <v>5000</v>
      </c>
      <c r="J90" s="268">
        <f t="shared" si="9"/>
        <v>4250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43818</v>
      </c>
      <c r="D91" s="196" t="s">
        <v>16</v>
      </c>
      <c r="E91" s="222" t="s">
        <v>28</v>
      </c>
      <c r="F91" s="222">
        <v>183.3</v>
      </c>
      <c r="G91" s="222">
        <v>183.55</v>
      </c>
      <c r="H91" s="274">
        <v>0.25</v>
      </c>
      <c r="I91" s="197">
        <v>5000</v>
      </c>
      <c r="J91" s="268">
        <f t="shared" si="9"/>
        <v>1250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43819</v>
      </c>
      <c r="D92" s="196" t="s">
        <v>16</v>
      </c>
      <c r="E92" s="222" t="s">
        <v>28</v>
      </c>
      <c r="F92" s="223">
        <v>183</v>
      </c>
      <c r="G92" s="222">
        <v>183.3</v>
      </c>
      <c r="H92" s="274">
        <v>0.3</v>
      </c>
      <c r="I92" s="197">
        <v>5000</v>
      </c>
      <c r="J92" s="268">
        <f t="shared" si="9"/>
        <v>1500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43822</v>
      </c>
      <c r="D93" s="196" t="s">
        <v>23</v>
      </c>
      <c r="E93" s="222" t="s">
        <v>28</v>
      </c>
      <c r="F93" s="222">
        <v>182.1</v>
      </c>
      <c r="G93" s="222">
        <v>180.6</v>
      </c>
      <c r="H93" s="274">
        <v>1.5</v>
      </c>
      <c r="I93" s="197">
        <v>5000</v>
      </c>
      <c r="J93" s="268">
        <f t="shared" si="9"/>
        <v>7500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43823</v>
      </c>
      <c r="D94" s="196" t="s">
        <v>23</v>
      </c>
      <c r="E94" s="222" t="s">
        <v>28</v>
      </c>
      <c r="F94" s="222">
        <v>180</v>
      </c>
      <c r="G94" s="222">
        <v>178</v>
      </c>
      <c r="H94" s="274">
        <v>2</v>
      </c>
      <c r="I94" s="197">
        <v>5000</v>
      </c>
      <c r="J94" s="268">
        <f t="shared" si="9"/>
        <v>10000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43825</v>
      </c>
      <c r="D95" s="196" t="s">
        <v>23</v>
      </c>
      <c r="E95" s="222" t="s">
        <v>28</v>
      </c>
      <c r="F95" s="222">
        <v>180.3</v>
      </c>
      <c r="G95" s="222">
        <v>179.3</v>
      </c>
      <c r="H95" s="274">
        <v>1</v>
      </c>
      <c r="I95" s="197">
        <v>5000</v>
      </c>
      <c r="J95" s="268">
        <f t="shared" si="9"/>
        <v>5000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43826</v>
      </c>
      <c r="D96" s="196" t="s">
        <v>16</v>
      </c>
      <c r="E96" s="222" t="s">
        <v>28</v>
      </c>
      <c r="F96" s="222">
        <v>180.5</v>
      </c>
      <c r="G96" s="222">
        <v>180.95</v>
      </c>
      <c r="H96" s="274">
        <v>0.45</v>
      </c>
      <c r="I96" s="197">
        <v>5000</v>
      </c>
      <c r="J96" s="268">
        <f t="shared" si="9"/>
        <v>2250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43829</v>
      </c>
      <c r="D97" s="196" t="s">
        <v>16</v>
      </c>
      <c r="E97" s="222" t="s">
        <v>28</v>
      </c>
      <c r="F97" s="222">
        <v>181</v>
      </c>
      <c r="G97" s="222">
        <v>180.6</v>
      </c>
      <c r="H97" s="274">
        <v>-0.4</v>
      </c>
      <c r="I97" s="197">
        <v>5000</v>
      </c>
      <c r="J97" s="268">
        <f t="shared" si="9"/>
        <v>-2000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21</v>
      </c>
      <c r="C98" s="195">
        <v>43830</v>
      </c>
      <c r="D98" s="196" t="s">
        <v>16</v>
      </c>
      <c r="E98" s="222" t="s">
        <v>28</v>
      </c>
      <c r="F98" s="222">
        <v>179.7</v>
      </c>
      <c r="G98" s="222">
        <v>180.1</v>
      </c>
      <c r="H98" s="274">
        <v>0.4</v>
      </c>
      <c r="I98" s="197">
        <v>5000</v>
      </c>
      <c r="J98" s="268">
        <f t="shared" si="9"/>
        <v>2000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55750</v>
      </c>
      <c r="K101" s="185"/>
      <c r="V101" s="183">
        <f>SUM(V78:V100)</f>
        <v>17</v>
      </c>
      <c r="W101" s="183">
        <f>SUM(W78:W100)</f>
        <v>3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400-000000000000}"/>
    <hyperlink ref="B70" r:id="rId2" xr:uid="{00000000-0004-0000-5400-000001000000}"/>
    <hyperlink ref="M4:M5" location="'DEC 2019'!A1" display="BULLION" xr:uid="{00000000-0004-0000-5400-000002000000}"/>
    <hyperlink ref="B101" r:id="rId3" xr:uid="{00000000-0004-0000-5400-000003000000}"/>
    <hyperlink ref="M1" location="MASTER!A1" display="Back" xr:uid="{00000000-0004-0000-5400-000004000000}"/>
    <hyperlink ref="M6:M7" location="'DEC 2019'!A54" display="ENERGY" xr:uid="{00000000-0004-0000-5400-000005000000}"/>
    <hyperlink ref="M8:M9" location="'NOV 2019'!A86" display="BASE METAL" xr:uid="{00000000-0004-0000-5400-000006000000}"/>
  </hyperlinks>
  <pageMargins left="0" right="0" top="0" bottom="0" header="0" footer="0"/>
  <pageSetup paperSize="9" orientation="portrait" r:id="rId4"/>
  <drawing r:id="rId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43831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21</v>
      </c>
      <c r="O4" s="355">
        <f>V39</f>
        <v>18</v>
      </c>
      <c r="P4" s="355">
        <f>W39</f>
        <v>3</v>
      </c>
      <c r="Q4" s="356">
        <f>N4-O4-P4</f>
        <v>0</v>
      </c>
      <c r="R4" s="343">
        <f>O4/N4</f>
        <v>0.8571428571428571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43832</v>
      </c>
      <c r="D6" s="192" t="s">
        <v>16</v>
      </c>
      <c r="E6" s="192" t="s">
        <v>24</v>
      </c>
      <c r="F6" s="193">
        <v>39140</v>
      </c>
      <c r="G6" s="193">
        <v>39340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COUNT(C47:C69)</f>
        <v>21</v>
      </c>
      <c r="O6" s="348">
        <f>V70</f>
        <v>21</v>
      </c>
      <c r="P6" s="348">
        <f>W70</f>
        <v>0</v>
      </c>
      <c r="Q6" s="349">
        <f>N6-O6-P6</f>
        <v>0</v>
      </c>
      <c r="R6" s="345">
        <f t="shared" ref="R6" si="0">O6/N6</f>
        <v>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43833</v>
      </c>
      <c r="D7" s="196" t="s">
        <v>16</v>
      </c>
      <c r="E7" s="196" t="s">
        <v>24</v>
      </c>
      <c r="F7" s="197">
        <v>39890</v>
      </c>
      <c r="G7" s="197">
        <v>40090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43836</v>
      </c>
      <c r="D8" s="196" t="s">
        <v>23</v>
      </c>
      <c r="E8" s="196" t="s">
        <v>24</v>
      </c>
      <c r="F8" s="197">
        <v>40820</v>
      </c>
      <c r="G8" s="197">
        <v>40920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COUNT(C78:C100)</f>
        <v>21</v>
      </c>
      <c r="O8" s="348">
        <f>V101</f>
        <v>18</v>
      </c>
      <c r="P8" s="348">
        <f>W101</f>
        <v>3</v>
      </c>
      <c r="Q8" s="349">
        <f>N8-O8-P8</f>
        <v>0</v>
      </c>
      <c r="R8" s="345">
        <f t="shared" ref="R8" si="4">O8/N8</f>
        <v>0.8571428571428571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43837</v>
      </c>
      <c r="D9" s="196" t="s">
        <v>16</v>
      </c>
      <c r="E9" s="196" t="s">
        <v>24</v>
      </c>
      <c r="F9" s="197">
        <v>40520</v>
      </c>
      <c r="G9" s="197">
        <v>40670</v>
      </c>
      <c r="H9" s="196">
        <v>150</v>
      </c>
      <c r="I9" s="197">
        <v>100</v>
      </c>
      <c r="J9" s="268">
        <f t="shared" si="1"/>
        <v>15000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43838</v>
      </c>
      <c r="D10" s="196" t="s">
        <v>23</v>
      </c>
      <c r="E10" s="196" t="s">
        <v>24</v>
      </c>
      <c r="F10" s="197">
        <v>41050</v>
      </c>
      <c r="G10" s="197">
        <v>40850</v>
      </c>
      <c r="H10" s="196">
        <v>200</v>
      </c>
      <c r="I10" s="197">
        <v>100</v>
      </c>
      <c r="J10" s="268">
        <f t="shared" si="1"/>
        <v>20000</v>
      </c>
      <c r="K10" s="185"/>
      <c r="M10" s="319" t="s">
        <v>300</v>
      </c>
      <c r="N10" s="321">
        <f>SUM(N4:N9)</f>
        <v>63</v>
      </c>
      <c r="O10" s="321">
        <f>SUM(O4:O9)</f>
        <v>57</v>
      </c>
      <c r="P10" s="321">
        <f>SUM(P4:P9)</f>
        <v>6</v>
      </c>
      <c r="Q10" s="341">
        <f>SUM(Q4:Q9)</f>
        <v>0</v>
      </c>
      <c r="R10" s="343">
        <f t="shared" ref="R10" si="5">O10/N10</f>
        <v>0.90476190476190477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43839</v>
      </c>
      <c r="D11" s="196" t="s">
        <v>23</v>
      </c>
      <c r="E11" s="196" t="s">
        <v>24</v>
      </c>
      <c r="F11" s="197">
        <v>39920</v>
      </c>
      <c r="G11" s="197">
        <v>39720</v>
      </c>
      <c r="H11" s="196">
        <v>200</v>
      </c>
      <c r="I11" s="197">
        <v>100</v>
      </c>
      <c r="J11" s="268">
        <f t="shared" si="1"/>
        <v>20000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43840</v>
      </c>
      <c r="D12" s="196" t="s">
        <v>16</v>
      </c>
      <c r="E12" s="196" t="s">
        <v>24</v>
      </c>
      <c r="F12" s="197">
        <v>39650</v>
      </c>
      <c r="G12" s="197">
        <v>39850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0.90476190476190477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43843</v>
      </c>
      <c r="D13" s="196" t="s">
        <v>23</v>
      </c>
      <c r="E13" s="196" t="s">
        <v>24</v>
      </c>
      <c r="F13" s="197">
        <v>39660</v>
      </c>
      <c r="G13" s="197">
        <v>39560</v>
      </c>
      <c r="H13" s="196">
        <v>100</v>
      </c>
      <c r="I13" s="197">
        <v>100</v>
      </c>
      <c r="J13" s="268">
        <f t="shared" si="1"/>
        <v>10000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43845</v>
      </c>
      <c r="D14" s="196" t="s">
        <v>16</v>
      </c>
      <c r="E14" s="196" t="s">
        <v>24</v>
      </c>
      <c r="F14" s="197">
        <v>39630</v>
      </c>
      <c r="G14" s="197">
        <v>39530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43846</v>
      </c>
      <c r="D15" s="196" t="s">
        <v>16</v>
      </c>
      <c r="E15" s="196" t="s">
        <v>24</v>
      </c>
      <c r="F15" s="197">
        <v>39640</v>
      </c>
      <c r="G15" s="197">
        <v>39740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43847</v>
      </c>
      <c r="D16" s="196" t="s">
        <v>23</v>
      </c>
      <c r="E16" s="196" t="s">
        <v>24</v>
      </c>
      <c r="F16" s="197">
        <v>39770</v>
      </c>
      <c r="G16" s="197">
        <v>39870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43850</v>
      </c>
      <c r="D17" s="196" t="s">
        <v>23</v>
      </c>
      <c r="E17" s="196" t="s">
        <v>24</v>
      </c>
      <c r="F17" s="197">
        <v>39980</v>
      </c>
      <c r="G17" s="197">
        <v>39920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43851</v>
      </c>
      <c r="D18" s="196" t="s">
        <v>23</v>
      </c>
      <c r="E18" s="196" t="s">
        <v>24</v>
      </c>
      <c r="F18" s="197">
        <v>40150</v>
      </c>
      <c r="G18" s="197">
        <v>39950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43852</v>
      </c>
      <c r="D19" s="196" t="s">
        <v>16</v>
      </c>
      <c r="E19" s="196" t="s">
        <v>24</v>
      </c>
      <c r="F19" s="197">
        <v>39870</v>
      </c>
      <c r="G19" s="197">
        <v>39970</v>
      </c>
      <c r="H19" s="196">
        <v>100</v>
      </c>
      <c r="I19" s="197">
        <v>100</v>
      </c>
      <c r="J19" s="268">
        <f t="shared" si="1"/>
        <v>10000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43853</v>
      </c>
      <c r="D20" s="196" t="s">
        <v>23</v>
      </c>
      <c r="E20" s="196" t="s">
        <v>24</v>
      </c>
      <c r="F20" s="197">
        <v>39930</v>
      </c>
      <c r="G20" s="197">
        <v>39835</v>
      </c>
      <c r="H20" s="196">
        <v>95</v>
      </c>
      <c r="I20" s="197">
        <v>100</v>
      </c>
      <c r="J20" s="268">
        <f t="shared" si="1"/>
        <v>9500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43854</v>
      </c>
      <c r="D21" s="196" t="s">
        <v>23</v>
      </c>
      <c r="E21" s="196" t="s">
        <v>24</v>
      </c>
      <c r="F21" s="197">
        <v>40040</v>
      </c>
      <c r="G21" s="197">
        <v>39980</v>
      </c>
      <c r="H21" s="196">
        <v>60</v>
      </c>
      <c r="I21" s="197">
        <v>100</v>
      </c>
      <c r="J21" s="268">
        <f t="shared" si="1"/>
        <v>6000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43857</v>
      </c>
      <c r="D22" s="196" t="s">
        <v>16</v>
      </c>
      <c r="E22" s="196" t="s">
        <v>24</v>
      </c>
      <c r="F22" s="197">
        <v>40550</v>
      </c>
      <c r="G22" s="197">
        <v>40750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43858</v>
      </c>
      <c r="D23" s="196" t="s">
        <v>23</v>
      </c>
      <c r="E23" s="196" t="s">
        <v>24</v>
      </c>
      <c r="F23" s="197">
        <v>40510</v>
      </c>
      <c r="G23" s="197">
        <v>40310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43859</v>
      </c>
      <c r="D24" s="196" t="s">
        <v>16</v>
      </c>
      <c r="E24" s="196" t="s">
        <v>24</v>
      </c>
      <c r="F24" s="197">
        <v>40210</v>
      </c>
      <c r="G24" s="197">
        <v>40350</v>
      </c>
      <c r="H24" s="196">
        <v>140</v>
      </c>
      <c r="I24" s="197">
        <v>100</v>
      </c>
      <c r="J24" s="268">
        <f t="shared" si="1"/>
        <v>14000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43860</v>
      </c>
      <c r="D25" s="196" t="s">
        <v>16</v>
      </c>
      <c r="E25" s="196" t="s">
        <v>24</v>
      </c>
      <c r="F25" s="197">
        <v>40580</v>
      </c>
      <c r="G25" s="197">
        <v>40780</v>
      </c>
      <c r="H25" s="196">
        <v>200</v>
      </c>
      <c r="I25" s="197">
        <v>100</v>
      </c>
      <c r="J25" s="268">
        <f t="shared" si="1"/>
        <v>20000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43861</v>
      </c>
      <c r="D26" s="196" t="s">
        <v>16</v>
      </c>
      <c r="E26" s="196" t="s">
        <v>24</v>
      </c>
      <c r="F26" s="197">
        <v>40700</v>
      </c>
      <c r="G26" s="197">
        <v>40900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250500</v>
      </c>
      <c r="K39" s="185"/>
      <c r="V39" s="183">
        <f>SUM(V6:V38)</f>
        <v>18</v>
      </c>
      <c r="W39" s="183">
        <f>SUM(W6:W38)</f>
        <v>3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43831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43832</v>
      </c>
      <c r="D47" s="192" t="s">
        <v>23</v>
      </c>
      <c r="E47" s="192" t="s">
        <v>25</v>
      </c>
      <c r="F47" s="193">
        <v>4370</v>
      </c>
      <c r="G47" s="193">
        <v>4340</v>
      </c>
      <c r="H47" s="192">
        <v>30</v>
      </c>
      <c r="I47" s="193">
        <v>100</v>
      </c>
      <c r="J47" s="267">
        <f t="shared" ref="J47:J69" si="6">I47*H47</f>
        <v>3000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43833</v>
      </c>
      <c r="D48" s="196" t="s">
        <v>23</v>
      </c>
      <c r="E48" s="196" t="s">
        <v>25</v>
      </c>
      <c r="F48" s="197">
        <v>4570</v>
      </c>
      <c r="G48" s="197">
        <v>4540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43836</v>
      </c>
      <c r="D49" s="196" t="s">
        <v>23</v>
      </c>
      <c r="E49" s="196" t="s">
        <v>25</v>
      </c>
      <c r="F49" s="197">
        <v>4325</v>
      </c>
      <c r="G49" s="197">
        <v>4565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43837</v>
      </c>
      <c r="D50" s="196" t="s">
        <v>16</v>
      </c>
      <c r="E50" s="196" t="s">
        <v>25</v>
      </c>
      <c r="F50" s="197">
        <v>4515</v>
      </c>
      <c r="G50" s="197">
        <v>4530</v>
      </c>
      <c r="H50" s="196">
        <v>15</v>
      </c>
      <c r="I50" s="197">
        <v>100</v>
      </c>
      <c r="J50" s="268">
        <f t="shared" si="6"/>
        <v>1500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43838</v>
      </c>
      <c r="D51" s="196" t="s">
        <v>23</v>
      </c>
      <c r="E51" s="196" t="s">
        <v>25</v>
      </c>
      <c r="F51" s="197">
        <v>4555</v>
      </c>
      <c r="G51" s="197">
        <v>4495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43839</v>
      </c>
      <c r="D52" s="196" t="s">
        <v>23</v>
      </c>
      <c r="E52" s="196" t="s">
        <v>25</v>
      </c>
      <c r="F52" s="197">
        <v>4260</v>
      </c>
      <c r="G52" s="197">
        <v>4290</v>
      </c>
      <c r="H52" s="196">
        <v>30</v>
      </c>
      <c r="I52" s="197">
        <v>100</v>
      </c>
      <c r="J52" s="268">
        <f t="shared" si="6"/>
        <v>3000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43840</v>
      </c>
      <c r="D53" s="196" t="s">
        <v>16</v>
      </c>
      <c r="E53" s="196" t="s">
        <v>25</v>
      </c>
      <c r="F53" s="197">
        <v>4215</v>
      </c>
      <c r="G53" s="197">
        <v>4245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43843</v>
      </c>
      <c r="D54" s="196" t="s">
        <v>23</v>
      </c>
      <c r="E54" s="196" t="s">
        <v>25</v>
      </c>
      <c r="F54" s="197">
        <v>4190</v>
      </c>
      <c r="G54" s="197">
        <v>4130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43845</v>
      </c>
      <c r="D55" s="196" t="s">
        <v>23</v>
      </c>
      <c r="E55" s="196" t="s">
        <v>25</v>
      </c>
      <c r="F55" s="197">
        <v>4120</v>
      </c>
      <c r="G55" s="197">
        <v>4060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43846</v>
      </c>
      <c r="D56" s="196" t="s">
        <v>23</v>
      </c>
      <c r="E56" s="196" t="s">
        <v>25</v>
      </c>
      <c r="F56" s="197">
        <v>4120</v>
      </c>
      <c r="G56" s="197">
        <v>4090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43847</v>
      </c>
      <c r="D57" s="196" t="s">
        <v>23</v>
      </c>
      <c r="E57" s="196" t="s">
        <v>25</v>
      </c>
      <c r="F57" s="197">
        <v>4170</v>
      </c>
      <c r="G57" s="197">
        <v>4140</v>
      </c>
      <c r="H57" s="196">
        <v>30</v>
      </c>
      <c r="I57" s="197">
        <v>100</v>
      </c>
      <c r="J57" s="268">
        <f t="shared" si="6"/>
        <v>3000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43850</v>
      </c>
      <c r="D58" s="196" t="s">
        <v>23</v>
      </c>
      <c r="E58" s="196" t="s">
        <v>25</v>
      </c>
      <c r="F58" s="197">
        <v>4200</v>
      </c>
      <c r="G58" s="197">
        <v>4183</v>
      </c>
      <c r="H58" s="196">
        <v>17</v>
      </c>
      <c r="I58" s="197">
        <v>100</v>
      </c>
      <c r="J58" s="268">
        <f t="shared" si="6"/>
        <v>1700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43851</v>
      </c>
      <c r="D59" s="196" t="s">
        <v>23</v>
      </c>
      <c r="E59" s="196" t="s">
        <v>25</v>
      </c>
      <c r="F59" s="197">
        <v>4150</v>
      </c>
      <c r="G59" s="197">
        <v>4120</v>
      </c>
      <c r="H59" s="196">
        <v>30</v>
      </c>
      <c r="I59" s="197">
        <v>100</v>
      </c>
      <c r="J59" s="268">
        <f t="shared" si="6"/>
        <v>3000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43852</v>
      </c>
      <c r="D60" s="196" t="s">
        <v>23</v>
      </c>
      <c r="E60" s="196" t="s">
        <v>25</v>
      </c>
      <c r="F60" s="197">
        <v>4145</v>
      </c>
      <c r="G60" s="197">
        <v>4085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43853</v>
      </c>
      <c r="D61" s="196" t="s">
        <v>23</v>
      </c>
      <c r="E61" s="196" t="s">
        <v>25</v>
      </c>
      <c r="F61" s="197">
        <v>4000</v>
      </c>
      <c r="G61" s="197">
        <v>3940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43854</v>
      </c>
      <c r="D62" s="196" t="s">
        <v>23</v>
      </c>
      <c r="E62" s="196" t="s">
        <v>25</v>
      </c>
      <c r="F62" s="197">
        <v>3990</v>
      </c>
      <c r="G62" s="197">
        <v>3930</v>
      </c>
      <c r="H62" s="196">
        <v>30</v>
      </c>
      <c r="I62" s="197">
        <v>100</v>
      </c>
      <c r="J62" s="268">
        <f t="shared" si="6"/>
        <v>3000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43857</v>
      </c>
      <c r="D63" s="196" t="s">
        <v>23</v>
      </c>
      <c r="E63" s="196" t="s">
        <v>25</v>
      </c>
      <c r="F63" s="197">
        <v>3780</v>
      </c>
      <c r="G63" s="197">
        <v>3750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43858</v>
      </c>
      <c r="D64" s="196" t="s">
        <v>23</v>
      </c>
      <c r="E64" s="196" t="s">
        <v>25</v>
      </c>
      <c r="F64" s="197">
        <v>3800</v>
      </c>
      <c r="G64" s="197">
        <v>3770</v>
      </c>
      <c r="H64" s="196">
        <v>30</v>
      </c>
      <c r="I64" s="197">
        <v>100</v>
      </c>
      <c r="J64" s="268">
        <f t="shared" si="6"/>
        <v>3000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43859</v>
      </c>
      <c r="D65" s="196" t="s">
        <v>23</v>
      </c>
      <c r="E65" s="196" t="s">
        <v>25</v>
      </c>
      <c r="F65" s="197">
        <v>3860</v>
      </c>
      <c r="G65" s="197">
        <v>3800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43860</v>
      </c>
      <c r="D66" s="196" t="s">
        <v>23</v>
      </c>
      <c r="E66" s="196" t="s">
        <v>25</v>
      </c>
      <c r="F66" s="197">
        <v>3785</v>
      </c>
      <c r="G66" s="197">
        <v>3745</v>
      </c>
      <c r="H66" s="196">
        <v>40</v>
      </c>
      <c r="I66" s="197">
        <v>100</v>
      </c>
      <c r="J66" s="268">
        <f t="shared" si="6"/>
        <v>4000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43861</v>
      </c>
      <c r="D67" s="196" t="s">
        <v>23</v>
      </c>
      <c r="E67" s="196" t="s">
        <v>25</v>
      </c>
      <c r="F67" s="197">
        <v>3785</v>
      </c>
      <c r="G67" s="197">
        <v>3725</v>
      </c>
      <c r="H67" s="196">
        <v>60</v>
      </c>
      <c r="I67" s="197">
        <v>100</v>
      </c>
      <c r="J67" s="268">
        <f t="shared" si="6"/>
        <v>6000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85200</v>
      </c>
      <c r="K70" s="185"/>
      <c r="V70" s="183">
        <f>SUM(V47:V69)</f>
        <v>21</v>
      </c>
      <c r="W70" s="183">
        <f>SUM(W47:W69)</f>
        <v>0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43831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43832</v>
      </c>
      <c r="D78" s="216" t="s">
        <v>16</v>
      </c>
      <c r="E78" s="256" t="s">
        <v>28</v>
      </c>
      <c r="F78" s="256">
        <v>180.4</v>
      </c>
      <c r="G78" s="256">
        <v>180.9</v>
      </c>
      <c r="H78" s="256">
        <v>0.5</v>
      </c>
      <c r="I78" s="218">
        <v>5000</v>
      </c>
      <c r="J78" s="273">
        <f>I78*H78</f>
        <v>2500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43833</v>
      </c>
      <c r="D79" s="196" t="s">
        <v>23</v>
      </c>
      <c r="E79" s="222" t="s">
        <v>28</v>
      </c>
      <c r="F79" s="222">
        <v>179.9</v>
      </c>
      <c r="G79" s="222">
        <v>178.9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43836</v>
      </c>
      <c r="D80" s="196" t="s">
        <v>23</v>
      </c>
      <c r="E80" s="222" t="s">
        <v>28</v>
      </c>
      <c r="F80" s="222">
        <v>181.5</v>
      </c>
      <c r="G80" s="222">
        <v>181.15</v>
      </c>
      <c r="H80" s="222">
        <v>0.35</v>
      </c>
      <c r="I80" s="197">
        <v>5000</v>
      </c>
      <c r="J80" s="268">
        <f t="shared" si="9"/>
        <v>1750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43837</v>
      </c>
      <c r="D81" s="196" t="s">
        <v>23</v>
      </c>
      <c r="E81" s="222" t="s">
        <v>28</v>
      </c>
      <c r="F81" s="222">
        <v>181.6</v>
      </c>
      <c r="G81" s="222">
        <v>182.6</v>
      </c>
      <c r="H81" s="222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5</v>
      </c>
      <c r="C82" s="195">
        <v>43838</v>
      </c>
      <c r="D82" s="196" t="s">
        <v>23</v>
      </c>
      <c r="E82" s="222" t="s">
        <v>28</v>
      </c>
      <c r="F82" s="222">
        <v>183.8</v>
      </c>
      <c r="G82" s="222">
        <v>184.8</v>
      </c>
      <c r="H82" s="222">
        <v>1</v>
      </c>
      <c r="I82" s="197">
        <v>5000</v>
      </c>
      <c r="J82" s="268">
        <f t="shared" si="9"/>
        <v>5000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43839</v>
      </c>
      <c r="D83" s="196" t="s">
        <v>23</v>
      </c>
      <c r="E83" s="222" t="s">
        <v>28</v>
      </c>
      <c r="F83" s="222">
        <v>182.7</v>
      </c>
      <c r="G83" s="222">
        <v>181.2</v>
      </c>
      <c r="H83" s="222">
        <v>1.5</v>
      </c>
      <c r="I83" s="197">
        <v>5000</v>
      </c>
      <c r="J83" s="268">
        <f t="shared" si="9"/>
        <v>7500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43840</v>
      </c>
      <c r="D84" s="196" t="s">
        <v>16</v>
      </c>
      <c r="E84" s="222" t="s">
        <v>28</v>
      </c>
      <c r="F84" s="222">
        <v>181</v>
      </c>
      <c r="G84" s="222">
        <v>181.35</v>
      </c>
      <c r="H84" s="274">
        <v>0.35</v>
      </c>
      <c r="I84" s="197">
        <v>5000</v>
      </c>
      <c r="J84" s="268">
        <f t="shared" si="9"/>
        <v>1750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43843</v>
      </c>
      <c r="D85" s="196" t="s">
        <v>16</v>
      </c>
      <c r="E85" s="222" t="s">
        <v>28</v>
      </c>
      <c r="F85" s="222">
        <v>180.8</v>
      </c>
      <c r="G85" s="222">
        <v>181.8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43845</v>
      </c>
      <c r="D86" s="196" t="s">
        <v>16</v>
      </c>
      <c r="E86" s="222" t="s">
        <v>28</v>
      </c>
      <c r="F86" s="222">
        <v>181.8</v>
      </c>
      <c r="G86" s="222">
        <v>182.2</v>
      </c>
      <c r="H86" s="222">
        <v>0.4</v>
      </c>
      <c r="I86" s="197">
        <v>5000</v>
      </c>
      <c r="J86" s="268">
        <f t="shared" si="9"/>
        <v>2000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43846</v>
      </c>
      <c r="D87" s="196" t="s">
        <v>23</v>
      </c>
      <c r="E87" s="222" t="s">
        <v>28</v>
      </c>
      <c r="F87" s="222">
        <v>182.6</v>
      </c>
      <c r="G87" s="222">
        <v>183.6</v>
      </c>
      <c r="H87" s="222">
        <v>-1</v>
      </c>
      <c r="I87" s="197">
        <v>5000</v>
      </c>
      <c r="J87" s="268">
        <f t="shared" si="9"/>
        <v>-5000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11</v>
      </c>
      <c r="C88" s="195">
        <v>43847</v>
      </c>
      <c r="D88" s="196" t="s">
        <v>16</v>
      </c>
      <c r="E88" s="222" t="s">
        <v>28</v>
      </c>
      <c r="F88" s="222">
        <v>183.5</v>
      </c>
      <c r="G88" s="222">
        <v>184.2</v>
      </c>
      <c r="H88" s="274">
        <v>0.7</v>
      </c>
      <c r="I88" s="197">
        <v>5000</v>
      </c>
      <c r="J88" s="268">
        <f t="shared" si="9"/>
        <v>3500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43850</v>
      </c>
      <c r="D89" s="196" t="s">
        <v>23</v>
      </c>
      <c r="E89" s="222" t="s">
        <v>28</v>
      </c>
      <c r="F89" s="222">
        <v>184.2</v>
      </c>
      <c r="G89" s="222">
        <v>182.3</v>
      </c>
      <c r="H89" s="274">
        <v>1.9</v>
      </c>
      <c r="I89" s="197">
        <v>5000</v>
      </c>
      <c r="J89" s="268">
        <f t="shared" si="9"/>
        <v>9500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43851</v>
      </c>
      <c r="D90" s="196" t="s">
        <v>16</v>
      </c>
      <c r="E90" s="222" t="s">
        <v>28</v>
      </c>
      <c r="F90" s="222">
        <v>181.5</v>
      </c>
      <c r="G90" s="222">
        <v>183.5</v>
      </c>
      <c r="H90" s="274">
        <v>2</v>
      </c>
      <c r="I90" s="197">
        <v>5000</v>
      </c>
      <c r="J90" s="268">
        <f t="shared" si="9"/>
        <v>10000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43852</v>
      </c>
      <c r="D91" s="196" t="s">
        <v>16</v>
      </c>
      <c r="E91" s="222" t="s">
        <v>28</v>
      </c>
      <c r="F91" s="222">
        <v>184</v>
      </c>
      <c r="G91" s="222">
        <v>184.25</v>
      </c>
      <c r="H91" s="274">
        <v>0.25</v>
      </c>
      <c r="I91" s="197">
        <v>5000</v>
      </c>
      <c r="J91" s="268">
        <f t="shared" si="9"/>
        <v>1250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43853</v>
      </c>
      <c r="D92" s="196" t="s">
        <v>16</v>
      </c>
      <c r="E92" s="222" t="s">
        <v>28</v>
      </c>
      <c r="F92" s="223">
        <v>181.5</v>
      </c>
      <c r="G92" s="222">
        <v>181.8</v>
      </c>
      <c r="H92" s="274">
        <v>0.3</v>
      </c>
      <c r="I92" s="197">
        <v>5000</v>
      </c>
      <c r="J92" s="268">
        <f t="shared" si="9"/>
        <v>1500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43854</v>
      </c>
      <c r="D93" s="196" t="s">
        <v>23</v>
      </c>
      <c r="E93" s="222" t="s">
        <v>28</v>
      </c>
      <c r="F93" s="222">
        <v>180.1</v>
      </c>
      <c r="G93" s="222">
        <v>179.1</v>
      </c>
      <c r="H93" s="274">
        <v>1</v>
      </c>
      <c r="I93" s="197">
        <v>5000</v>
      </c>
      <c r="J93" s="268">
        <f t="shared" si="9"/>
        <v>5000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43857</v>
      </c>
      <c r="D94" s="196" t="s">
        <v>23</v>
      </c>
      <c r="E94" s="222" t="s">
        <v>28</v>
      </c>
      <c r="F94" s="222">
        <v>175.6</v>
      </c>
      <c r="G94" s="222">
        <v>174.6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43858</v>
      </c>
      <c r="D95" s="196" t="s">
        <v>16</v>
      </c>
      <c r="E95" s="222" t="s">
        <v>28</v>
      </c>
      <c r="F95" s="222">
        <v>176.3</v>
      </c>
      <c r="G95" s="222">
        <v>178.3</v>
      </c>
      <c r="H95" s="274">
        <v>2</v>
      </c>
      <c r="I95" s="197">
        <v>5000</v>
      </c>
      <c r="J95" s="268">
        <f t="shared" si="9"/>
        <v>10000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43859</v>
      </c>
      <c r="D96" s="196" t="s">
        <v>16</v>
      </c>
      <c r="E96" s="222" t="s">
        <v>28</v>
      </c>
      <c r="F96" s="222">
        <v>177.9</v>
      </c>
      <c r="G96" s="222">
        <v>178.35</v>
      </c>
      <c r="H96" s="274">
        <v>0.45</v>
      </c>
      <c r="I96" s="197">
        <v>5000</v>
      </c>
      <c r="J96" s="268">
        <f t="shared" si="9"/>
        <v>2250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43860</v>
      </c>
      <c r="D97" s="196" t="s">
        <v>23</v>
      </c>
      <c r="E97" s="222" t="s">
        <v>28</v>
      </c>
      <c r="F97" s="222">
        <v>176.2</v>
      </c>
      <c r="G97" s="222">
        <v>175.2</v>
      </c>
      <c r="H97" s="274">
        <v>1</v>
      </c>
      <c r="I97" s="197">
        <v>5000</v>
      </c>
      <c r="J97" s="268">
        <f t="shared" si="9"/>
        <v>5000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21</v>
      </c>
      <c r="C98" s="195">
        <v>43861</v>
      </c>
      <c r="D98" s="196" t="s">
        <v>23</v>
      </c>
      <c r="E98" s="222" t="s">
        <v>28</v>
      </c>
      <c r="F98" s="222">
        <v>174.5</v>
      </c>
      <c r="G98" s="222">
        <v>175.5</v>
      </c>
      <c r="H98" s="274">
        <v>-1</v>
      </c>
      <c r="I98" s="197">
        <v>5000</v>
      </c>
      <c r="J98" s="268">
        <f t="shared" si="9"/>
        <v>-5000</v>
      </c>
      <c r="K98" s="185"/>
      <c r="V98" s="183">
        <f t="shared" si="10"/>
        <v>0</v>
      </c>
      <c r="W98" s="183">
        <f t="shared" si="11"/>
        <v>1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68500</v>
      </c>
      <c r="K101" s="185"/>
      <c r="V101" s="183">
        <f>SUM(V78:V100)</f>
        <v>18</v>
      </c>
      <c r="W101" s="183">
        <f>SUM(W78:W100)</f>
        <v>3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500-000000000000}"/>
    <hyperlink ref="B70" r:id="rId2" xr:uid="{00000000-0004-0000-5500-000001000000}"/>
    <hyperlink ref="M4:M5" location="'JAN 2020'!A1" display="BULLION" xr:uid="{00000000-0004-0000-5500-000002000000}"/>
    <hyperlink ref="B101" r:id="rId3" xr:uid="{00000000-0004-0000-5500-000003000000}"/>
    <hyperlink ref="M8:M9" location="'JAN 2020'!A86" display="BASE METAL" xr:uid="{00000000-0004-0000-5500-000004000000}"/>
    <hyperlink ref="M1" location="MASTER!A1" display="Back" xr:uid="{00000000-0004-0000-5500-000005000000}"/>
    <hyperlink ref="M6:M7" location="'JAN 2020'!A54" display="ENERGY" xr:uid="{00000000-0004-0000-5500-000006000000}"/>
  </hyperlinks>
  <pageMargins left="0" right="0" top="0" bottom="0" header="0" footer="0"/>
  <pageSetup paperSize="9" orientation="portrait" r:id="rId4"/>
  <drawing r:id="rId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W102"/>
  <sheetViews>
    <sheetView topLeftCell="A10" zoomScale="98" zoomScaleNormal="98" workbookViewId="0">
      <selection activeCell="P19" sqref="P1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43862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19</v>
      </c>
      <c r="O4" s="355">
        <f>V39</f>
        <v>15</v>
      </c>
      <c r="P4" s="355">
        <f>W39</f>
        <v>4</v>
      </c>
      <c r="Q4" s="356">
        <f>N4-O4-P4</f>
        <v>0</v>
      </c>
      <c r="R4" s="343">
        <f>O4/N4</f>
        <v>0.78947368421052633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43864</v>
      </c>
      <c r="D6" s="192" t="s">
        <v>23</v>
      </c>
      <c r="E6" s="192" t="s">
        <v>24</v>
      </c>
      <c r="F6" s="193">
        <v>40940</v>
      </c>
      <c r="G6" s="193">
        <v>40785</v>
      </c>
      <c r="H6" s="192">
        <v>155</v>
      </c>
      <c r="I6" s="193">
        <v>100</v>
      </c>
      <c r="J6" s="267">
        <f>H6*I6</f>
        <v>15500</v>
      </c>
      <c r="K6" s="185"/>
      <c r="M6" s="364" t="s">
        <v>258</v>
      </c>
      <c r="N6" s="347">
        <f>COUNT(C47:C69)</f>
        <v>19</v>
      </c>
      <c r="O6" s="348">
        <f>V70</f>
        <v>9</v>
      </c>
      <c r="P6" s="348">
        <f>W70</f>
        <v>8</v>
      </c>
      <c r="Q6" s="349">
        <f>N6-O6-P6</f>
        <v>2</v>
      </c>
      <c r="R6" s="345">
        <f t="shared" ref="R6" si="0">O6/N6</f>
        <v>0.47368421052631576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43865</v>
      </c>
      <c r="D7" s="196" t="s">
        <v>16</v>
      </c>
      <c r="E7" s="196" t="s">
        <v>24</v>
      </c>
      <c r="F7" s="197">
        <v>40540</v>
      </c>
      <c r="G7" s="197">
        <v>40440</v>
      </c>
      <c r="H7" s="196">
        <v>-100</v>
      </c>
      <c r="I7" s="197">
        <v>100</v>
      </c>
      <c r="J7" s="268">
        <f t="shared" ref="J7:J38" si="1">H7*I7</f>
        <v>-10000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0</v>
      </c>
      <c r="W7" s="183">
        <f t="shared" ref="W7:W38" si="3">IF($J7&lt;0,1,0)</f>
        <v>1</v>
      </c>
    </row>
    <row r="8" spans="1:23" x14ac:dyDescent="0.3">
      <c r="A8" s="184"/>
      <c r="B8" s="194">
        <v>3</v>
      </c>
      <c r="C8" s="195">
        <v>43866</v>
      </c>
      <c r="D8" s="196" t="s">
        <v>23</v>
      </c>
      <c r="E8" s="196" t="s">
        <v>24</v>
      </c>
      <c r="F8" s="197">
        <v>40100</v>
      </c>
      <c r="G8" s="197">
        <v>39900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47">
        <f>COUNT(C78:C100)</f>
        <v>19</v>
      </c>
      <c r="O8" s="348">
        <f>V101</f>
        <v>15</v>
      </c>
      <c r="P8" s="348">
        <f>W101</f>
        <v>4</v>
      </c>
      <c r="Q8" s="349">
        <f>N8-O8-P8</f>
        <v>0</v>
      </c>
      <c r="R8" s="345">
        <f t="shared" ref="R8" si="4">O8/N8</f>
        <v>0.78947368421052633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43867</v>
      </c>
      <c r="D9" s="196" t="s">
        <v>16</v>
      </c>
      <c r="E9" s="196" t="s">
        <v>24</v>
      </c>
      <c r="F9" s="197">
        <v>40120</v>
      </c>
      <c r="G9" s="197">
        <v>40320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43868</v>
      </c>
      <c r="D10" s="196" t="s">
        <v>16</v>
      </c>
      <c r="E10" s="196" t="s">
        <v>24</v>
      </c>
      <c r="F10" s="197">
        <v>40420</v>
      </c>
      <c r="G10" s="197">
        <v>40620</v>
      </c>
      <c r="H10" s="196">
        <v>200</v>
      </c>
      <c r="I10" s="197">
        <v>100</v>
      </c>
      <c r="J10" s="268">
        <f t="shared" si="1"/>
        <v>20000</v>
      </c>
      <c r="K10" s="185"/>
      <c r="M10" s="319" t="s">
        <v>300</v>
      </c>
      <c r="N10" s="321">
        <f>SUM(N4:N9)</f>
        <v>57</v>
      </c>
      <c r="O10" s="321">
        <f>SUM(O4:O9)</f>
        <v>39</v>
      </c>
      <c r="P10" s="321">
        <f>SUM(P4:P9)</f>
        <v>16</v>
      </c>
      <c r="Q10" s="341">
        <f>SUM(Q4:Q9)</f>
        <v>2</v>
      </c>
      <c r="R10" s="343">
        <f t="shared" ref="R10" si="5">O10/N10</f>
        <v>0.68421052631578949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43871</v>
      </c>
      <c r="D11" s="196" t="s">
        <v>16</v>
      </c>
      <c r="E11" s="196" t="s">
        <v>24</v>
      </c>
      <c r="F11" s="197">
        <v>40560</v>
      </c>
      <c r="G11" s="197">
        <v>40700</v>
      </c>
      <c r="H11" s="196">
        <v>140</v>
      </c>
      <c r="I11" s="197">
        <v>100</v>
      </c>
      <c r="J11" s="268">
        <f t="shared" si="1"/>
        <v>14000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43872</v>
      </c>
      <c r="D12" s="196" t="s">
        <v>16</v>
      </c>
      <c r="E12" s="196" t="s">
        <v>24</v>
      </c>
      <c r="F12" s="197">
        <v>40420</v>
      </c>
      <c r="G12" s="197">
        <v>40575</v>
      </c>
      <c r="H12" s="196">
        <v>155</v>
      </c>
      <c r="I12" s="197">
        <v>100</v>
      </c>
      <c r="J12" s="268">
        <f t="shared" si="1"/>
        <v>15500</v>
      </c>
      <c r="K12" s="185"/>
      <c r="M12" s="323" t="s">
        <v>878</v>
      </c>
      <c r="N12" s="324"/>
      <c r="O12" s="325"/>
      <c r="P12" s="332">
        <f>R10</f>
        <v>0.68421052631578949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43873</v>
      </c>
      <c r="D13" s="196" t="s">
        <v>16</v>
      </c>
      <c r="E13" s="196" t="s">
        <v>24</v>
      </c>
      <c r="F13" s="197">
        <v>40350</v>
      </c>
      <c r="G13" s="197">
        <v>40530</v>
      </c>
      <c r="H13" s="196">
        <v>180</v>
      </c>
      <c r="I13" s="197">
        <v>100</v>
      </c>
      <c r="J13" s="268">
        <f t="shared" si="1"/>
        <v>18000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43874</v>
      </c>
      <c r="D14" s="196" t="s">
        <v>23</v>
      </c>
      <c r="E14" s="196" t="s">
        <v>24</v>
      </c>
      <c r="F14" s="197">
        <v>40690</v>
      </c>
      <c r="G14" s="197">
        <v>40520</v>
      </c>
      <c r="H14" s="196">
        <v>170</v>
      </c>
      <c r="I14" s="197">
        <v>100</v>
      </c>
      <c r="J14" s="268">
        <f t="shared" si="1"/>
        <v>17000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43875</v>
      </c>
      <c r="D15" s="196" t="s">
        <v>23</v>
      </c>
      <c r="E15" s="196" t="s">
        <v>24</v>
      </c>
      <c r="F15" s="197">
        <v>40680</v>
      </c>
      <c r="G15" s="197">
        <v>40780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43878</v>
      </c>
      <c r="D16" s="196" t="s">
        <v>16</v>
      </c>
      <c r="E16" s="196" t="s">
        <v>24</v>
      </c>
      <c r="F16" s="197">
        <v>40800</v>
      </c>
      <c r="G16" s="197">
        <v>40820</v>
      </c>
      <c r="H16" s="196">
        <v>20</v>
      </c>
      <c r="I16" s="197">
        <v>100</v>
      </c>
      <c r="J16" s="268">
        <f t="shared" si="1"/>
        <v>2000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43879</v>
      </c>
      <c r="D17" s="196" t="s">
        <v>23</v>
      </c>
      <c r="E17" s="196" t="s">
        <v>24</v>
      </c>
      <c r="F17" s="197">
        <v>41080</v>
      </c>
      <c r="G17" s="197">
        <v>41020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43880</v>
      </c>
      <c r="D18" s="196" t="s">
        <v>16</v>
      </c>
      <c r="E18" s="196" t="s">
        <v>24</v>
      </c>
      <c r="F18" s="197">
        <v>41450</v>
      </c>
      <c r="G18" s="197">
        <v>41550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43881</v>
      </c>
      <c r="D19" s="196" t="s">
        <v>23</v>
      </c>
      <c r="E19" s="196" t="s">
        <v>24</v>
      </c>
      <c r="F19" s="197">
        <v>41620</v>
      </c>
      <c r="G19" s="197">
        <v>41520</v>
      </c>
      <c r="H19" s="196">
        <v>100</v>
      </c>
      <c r="I19" s="197">
        <v>100</v>
      </c>
      <c r="J19" s="268">
        <f t="shared" si="1"/>
        <v>10000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43885</v>
      </c>
      <c r="D20" s="196" t="s">
        <v>16</v>
      </c>
      <c r="E20" s="196" t="s">
        <v>24</v>
      </c>
      <c r="F20" s="197">
        <v>43100</v>
      </c>
      <c r="G20" s="197">
        <v>43300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43886</v>
      </c>
      <c r="D21" s="196" t="s">
        <v>23</v>
      </c>
      <c r="E21" s="196" t="s">
        <v>24</v>
      </c>
      <c r="F21" s="197">
        <v>42700</v>
      </c>
      <c r="G21" s="197">
        <v>42500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43887</v>
      </c>
      <c r="D22" s="196" t="s">
        <v>16</v>
      </c>
      <c r="E22" s="196" t="s">
        <v>24</v>
      </c>
      <c r="F22" s="197">
        <v>42600</v>
      </c>
      <c r="G22" s="197">
        <v>42780</v>
      </c>
      <c r="H22" s="196">
        <v>180</v>
      </c>
      <c r="I22" s="197">
        <v>100</v>
      </c>
      <c r="J22" s="268">
        <f t="shared" si="1"/>
        <v>18000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43888</v>
      </c>
      <c r="D23" s="196" t="s">
        <v>16</v>
      </c>
      <c r="E23" s="196" t="s">
        <v>24</v>
      </c>
      <c r="F23" s="197">
        <v>42730</v>
      </c>
      <c r="G23" s="197">
        <v>42630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43889</v>
      </c>
      <c r="D24" s="196" t="s">
        <v>23</v>
      </c>
      <c r="E24" s="196" t="s">
        <v>24</v>
      </c>
      <c r="F24" s="197">
        <v>42350</v>
      </c>
      <c r="G24" s="197">
        <v>42450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186000</v>
      </c>
      <c r="K39" s="185"/>
      <c r="V39" s="183">
        <f>SUM(V6:V38)</f>
        <v>15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43862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43864</v>
      </c>
      <c r="D47" s="192" t="s">
        <v>23</v>
      </c>
      <c r="E47" s="192" t="s">
        <v>25</v>
      </c>
      <c r="F47" s="193">
        <v>3700</v>
      </c>
      <c r="G47" s="193">
        <v>3640</v>
      </c>
      <c r="H47" s="192">
        <v>40</v>
      </c>
      <c r="I47" s="193">
        <v>100</v>
      </c>
      <c r="J47" s="267">
        <f t="shared" ref="J47:J69" si="6">I47*H47</f>
        <v>4000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43865</v>
      </c>
      <c r="D48" s="196" t="s">
        <v>23</v>
      </c>
      <c r="E48" s="196" t="s">
        <v>25</v>
      </c>
      <c r="F48" s="197">
        <v>3620</v>
      </c>
      <c r="G48" s="197">
        <v>3650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43866</v>
      </c>
      <c r="D49" s="196" t="s">
        <v>23</v>
      </c>
      <c r="E49" s="196" t="s">
        <v>25</v>
      </c>
      <c r="F49" s="197">
        <v>3570</v>
      </c>
      <c r="G49" s="197">
        <v>3600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4</v>
      </c>
      <c r="C50" s="195">
        <v>43867</v>
      </c>
      <c r="D50" s="196" t="s">
        <v>23</v>
      </c>
      <c r="E50" s="196" t="s">
        <v>25</v>
      </c>
      <c r="F50" s="197">
        <v>3710</v>
      </c>
      <c r="G50" s="197">
        <v>3650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43868</v>
      </c>
      <c r="D51" s="196" t="s">
        <v>23</v>
      </c>
      <c r="E51" s="196" t="s">
        <v>25</v>
      </c>
      <c r="F51" s="197">
        <v>3640</v>
      </c>
      <c r="G51" s="197">
        <v>3670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43871</v>
      </c>
      <c r="D52" s="196" t="s">
        <v>23</v>
      </c>
      <c r="E52" s="196" t="s">
        <v>25</v>
      </c>
      <c r="F52" s="197">
        <v>3590</v>
      </c>
      <c r="G52" s="197">
        <v>3530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43872</v>
      </c>
      <c r="D53" s="196" t="s">
        <v>23</v>
      </c>
      <c r="E53" s="196" t="s">
        <v>25</v>
      </c>
      <c r="F53" s="197">
        <v>3570</v>
      </c>
      <c r="G53" s="197">
        <v>3600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43873</v>
      </c>
      <c r="D54" s="196" t="s">
        <v>23</v>
      </c>
      <c r="E54" s="196" t="s">
        <v>25</v>
      </c>
      <c r="F54" s="197">
        <v>3625</v>
      </c>
      <c r="G54" s="197">
        <v>3625</v>
      </c>
      <c r="H54" s="196">
        <v>0</v>
      </c>
      <c r="I54" s="197">
        <v>100</v>
      </c>
      <c r="J54" s="268">
        <f t="shared" si="6"/>
        <v>0</v>
      </c>
      <c r="K54" s="185"/>
      <c r="V54" s="183">
        <f t="shared" si="7"/>
        <v>0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43874</v>
      </c>
      <c r="D55" s="196" t="s">
        <v>16</v>
      </c>
      <c r="E55" s="196" t="s">
        <v>25</v>
      </c>
      <c r="F55" s="197">
        <v>3625</v>
      </c>
      <c r="G55" s="197">
        <v>3685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43875</v>
      </c>
      <c r="D56" s="196" t="s">
        <v>23</v>
      </c>
      <c r="E56" s="196" t="s">
        <v>25</v>
      </c>
      <c r="F56" s="197">
        <v>3725</v>
      </c>
      <c r="G56" s="197">
        <v>3695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43878</v>
      </c>
      <c r="D57" s="196" t="s">
        <v>23</v>
      </c>
      <c r="E57" s="196" t="s">
        <v>25</v>
      </c>
      <c r="F57" s="197">
        <v>3720</v>
      </c>
      <c r="G57" s="197">
        <v>3720</v>
      </c>
      <c r="H57" s="196">
        <v>0</v>
      </c>
      <c r="I57" s="197">
        <v>100</v>
      </c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43879</v>
      </c>
      <c r="D58" s="196" t="s">
        <v>23</v>
      </c>
      <c r="E58" s="196" t="s">
        <v>25</v>
      </c>
      <c r="F58" s="197">
        <v>3660</v>
      </c>
      <c r="G58" s="197">
        <v>3634</v>
      </c>
      <c r="H58" s="196">
        <v>26</v>
      </c>
      <c r="I58" s="197">
        <v>100</v>
      </c>
      <c r="J58" s="268">
        <f t="shared" si="6"/>
        <v>2600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43880</v>
      </c>
      <c r="D59" s="196" t="s">
        <v>23</v>
      </c>
      <c r="E59" s="196" t="s">
        <v>25</v>
      </c>
      <c r="F59" s="197">
        <v>3750</v>
      </c>
      <c r="G59" s="197">
        <v>3780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43881</v>
      </c>
      <c r="D60" s="196" t="s">
        <v>23</v>
      </c>
      <c r="E60" s="196" t="s">
        <v>25</v>
      </c>
      <c r="F60" s="197">
        <v>3850</v>
      </c>
      <c r="G60" s="197">
        <v>3880</v>
      </c>
      <c r="H60" s="196">
        <v>-30</v>
      </c>
      <c r="I60" s="197">
        <v>100</v>
      </c>
      <c r="J60" s="268">
        <f t="shared" si="6"/>
        <v>-3000</v>
      </c>
      <c r="K60" s="185"/>
      <c r="V60" s="183">
        <f t="shared" si="7"/>
        <v>0</v>
      </c>
      <c r="W60" s="183">
        <f t="shared" si="8"/>
        <v>1</v>
      </c>
    </row>
    <row r="61" spans="1:23" x14ac:dyDescent="0.3">
      <c r="A61" s="184"/>
      <c r="B61" s="194">
        <v>15</v>
      </c>
      <c r="C61" s="195">
        <v>43885</v>
      </c>
      <c r="D61" s="196" t="s">
        <v>16</v>
      </c>
      <c r="E61" s="196" t="s">
        <v>25</v>
      </c>
      <c r="F61" s="197">
        <v>3705</v>
      </c>
      <c r="G61" s="197">
        <v>3675</v>
      </c>
      <c r="H61" s="196">
        <v>-30</v>
      </c>
      <c r="I61" s="197">
        <v>100</v>
      </c>
      <c r="J61" s="268">
        <f t="shared" si="6"/>
        <v>-3000</v>
      </c>
      <c r="K61" s="185"/>
      <c r="V61" s="183">
        <f t="shared" si="7"/>
        <v>0</v>
      </c>
      <c r="W61" s="183">
        <f t="shared" si="8"/>
        <v>1</v>
      </c>
    </row>
    <row r="62" spans="1:23" x14ac:dyDescent="0.3">
      <c r="A62" s="184"/>
      <c r="B62" s="194">
        <v>16</v>
      </c>
      <c r="C62" s="195">
        <v>43886</v>
      </c>
      <c r="D62" s="196" t="s">
        <v>16</v>
      </c>
      <c r="E62" s="196" t="s">
        <v>25</v>
      </c>
      <c r="F62" s="197">
        <v>3730</v>
      </c>
      <c r="G62" s="197">
        <v>3747</v>
      </c>
      <c r="H62" s="196">
        <v>17</v>
      </c>
      <c r="I62" s="197">
        <v>100</v>
      </c>
      <c r="J62" s="268">
        <f t="shared" si="6"/>
        <v>1700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43887</v>
      </c>
      <c r="D63" s="196" t="s">
        <v>23</v>
      </c>
      <c r="E63" s="196" t="s">
        <v>25</v>
      </c>
      <c r="F63" s="197">
        <v>3580</v>
      </c>
      <c r="G63" s="197">
        <v>3542</v>
      </c>
      <c r="H63" s="196">
        <v>38</v>
      </c>
      <c r="I63" s="197">
        <v>100</v>
      </c>
      <c r="J63" s="268">
        <f t="shared" si="6"/>
        <v>3800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43888</v>
      </c>
      <c r="D64" s="196" t="s">
        <v>23</v>
      </c>
      <c r="E64" s="196" t="s">
        <v>25</v>
      </c>
      <c r="F64" s="197">
        <v>3460</v>
      </c>
      <c r="G64" s="197">
        <v>3400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43889</v>
      </c>
      <c r="D65" s="196" t="s">
        <v>23</v>
      </c>
      <c r="E65" s="196" t="s">
        <v>25</v>
      </c>
      <c r="F65" s="197">
        <v>3300</v>
      </c>
      <c r="G65" s="197">
        <v>3330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15100</v>
      </c>
      <c r="K70" s="185"/>
      <c r="V70" s="183">
        <f>SUM(V47:V69)</f>
        <v>9</v>
      </c>
      <c r="W70" s="183">
        <f>SUM(W47:W69)</f>
        <v>8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43862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43864</v>
      </c>
      <c r="D78" s="216" t="s">
        <v>23</v>
      </c>
      <c r="E78" s="256" t="s">
        <v>28</v>
      </c>
      <c r="F78" s="256">
        <v>174.5</v>
      </c>
      <c r="G78" s="256">
        <v>172.5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43865</v>
      </c>
      <c r="D79" s="196" t="s">
        <v>16</v>
      </c>
      <c r="E79" s="222" t="s">
        <v>28</v>
      </c>
      <c r="F79" s="222">
        <v>172.5</v>
      </c>
      <c r="G79" s="222">
        <v>173</v>
      </c>
      <c r="H79" s="222">
        <v>0.5</v>
      </c>
      <c r="I79" s="197">
        <v>5000</v>
      </c>
      <c r="J79" s="268">
        <f t="shared" ref="J79:J100" si="9">I79*H79</f>
        <v>2500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43866</v>
      </c>
      <c r="D80" s="196" t="s">
        <v>23</v>
      </c>
      <c r="E80" s="222" t="s">
        <v>28</v>
      </c>
      <c r="F80" s="222">
        <v>172</v>
      </c>
      <c r="G80" s="222">
        <v>171.55</v>
      </c>
      <c r="H80" s="222">
        <v>0.45</v>
      </c>
      <c r="I80" s="197">
        <v>5000</v>
      </c>
      <c r="J80" s="268">
        <f t="shared" si="9"/>
        <v>2250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43867</v>
      </c>
      <c r="D81" s="196" t="s">
        <v>16</v>
      </c>
      <c r="E81" s="222" t="s">
        <v>28</v>
      </c>
      <c r="F81" s="222">
        <v>174.2</v>
      </c>
      <c r="G81" s="222">
        <v>173.2</v>
      </c>
      <c r="H81" s="222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5</v>
      </c>
      <c r="C82" s="195">
        <v>43868</v>
      </c>
      <c r="D82" s="196" t="s">
        <v>23</v>
      </c>
      <c r="E82" s="222" t="s">
        <v>28</v>
      </c>
      <c r="F82" s="222">
        <v>171.7</v>
      </c>
      <c r="G82" s="222">
        <v>169.7</v>
      </c>
      <c r="H82" s="222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43871</v>
      </c>
      <c r="D83" s="196" t="s">
        <v>23</v>
      </c>
      <c r="E83" s="222" t="s">
        <v>28</v>
      </c>
      <c r="F83" s="222">
        <v>170</v>
      </c>
      <c r="G83" s="222">
        <v>168</v>
      </c>
      <c r="H83" s="222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43872</v>
      </c>
      <c r="D84" s="196" t="s">
        <v>23</v>
      </c>
      <c r="E84" s="222" t="s">
        <v>28</v>
      </c>
      <c r="F84" s="222">
        <v>168.5</v>
      </c>
      <c r="G84" s="222">
        <v>167.1</v>
      </c>
      <c r="H84" s="274">
        <v>1.4</v>
      </c>
      <c r="I84" s="197">
        <v>5000</v>
      </c>
      <c r="J84" s="268">
        <f t="shared" si="9"/>
        <v>7000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43873</v>
      </c>
      <c r="D85" s="196" t="s">
        <v>23</v>
      </c>
      <c r="E85" s="222" t="s">
        <v>28</v>
      </c>
      <c r="F85" s="222">
        <v>168</v>
      </c>
      <c r="G85" s="222">
        <v>167.2</v>
      </c>
      <c r="H85" s="222">
        <v>0.8</v>
      </c>
      <c r="I85" s="197">
        <v>5000</v>
      </c>
      <c r="J85" s="268">
        <f t="shared" si="9"/>
        <v>4000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43874</v>
      </c>
      <c r="D86" s="196" t="s">
        <v>16</v>
      </c>
      <c r="E86" s="222" t="s">
        <v>28</v>
      </c>
      <c r="F86" s="222">
        <v>168.3</v>
      </c>
      <c r="G86" s="222">
        <v>170.3</v>
      </c>
      <c r="H86" s="222">
        <v>2</v>
      </c>
      <c r="I86" s="197">
        <v>5000</v>
      </c>
      <c r="J86" s="268">
        <f t="shared" si="9"/>
        <v>10000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43875</v>
      </c>
      <c r="D87" s="196" t="s">
        <v>23</v>
      </c>
      <c r="E87" s="222" t="s">
        <v>28</v>
      </c>
      <c r="F87" s="222">
        <v>169.5</v>
      </c>
      <c r="G87" s="222">
        <v>167.5</v>
      </c>
      <c r="H87" s="222">
        <v>2</v>
      </c>
      <c r="I87" s="197">
        <v>5000</v>
      </c>
      <c r="J87" s="268">
        <f t="shared" si="9"/>
        <v>10000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43878</v>
      </c>
      <c r="D88" s="196" t="s">
        <v>16</v>
      </c>
      <c r="E88" s="222" t="s">
        <v>28</v>
      </c>
      <c r="F88" s="222">
        <v>168</v>
      </c>
      <c r="G88" s="222">
        <v>169</v>
      </c>
      <c r="H88" s="274">
        <v>1</v>
      </c>
      <c r="I88" s="197">
        <v>5000</v>
      </c>
      <c r="J88" s="268">
        <f t="shared" si="9"/>
        <v>5000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43879</v>
      </c>
      <c r="D89" s="196" t="s">
        <v>16</v>
      </c>
      <c r="E89" s="222" t="s">
        <v>28</v>
      </c>
      <c r="F89" s="222">
        <v>167.8</v>
      </c>
      <c r="G89" s="222">
        <v>166.8</v>
      </c>
      <c r="H89" s="274">
        <v>-1</v>
      </c>
      <c r="I89" s="197">
        <v>5000</v>
      </c>
      <c r="J89" s="268">
        <f t="shared" si="9"/>
        <v>-5000</v>
      </c>
      <c r="K89" s="185"/>
      <c r="V89" s="183">
        <f t="shared" si="10"/>
        <v>0</v>
      </c>
      <c r="W89" s="183">
        <f t="shared" si="11"/>
        <v>1</v>
      </c>
    </row>
    <row r="90" spans="1:23" x14ac:dyDescent="0.3">
      <c r="A90" s="184"/>
      <c r="B90" s="194">
        <v>13</v>
      </c>
      <c r="C90" s="195">
        <v>43880</v>
      </c>
      <c r="D90" s="196" t="s">
        <v>16</v>
      </c>
      <c r="E90" s="222" t="s">
        <v>28</v>
      </c>
      <c r="F90" s="222">
        <v>168.3</v>
      </c>
      <c r="G90" s="222">
        <v>167.3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43881</v>
      </c>
      <c r="D91" s="196" t="s">
        <v>23</v>
      </c>
      <c r="E91" s="222" t="s">
        <v>28</v>
      </c>
      <c r="F91" s="222">
        <v>166.3</v>
      </c>
      <c r="G91" s="222">
        <v>165.3</v>
      </c>
      <c r="H91" s="274">
        <v>1</v>
      </c>
      <c r="I91" s="197">
        <v>5000</v>
      </c>
      <c r="J91" s="268">
        <f t="shared" si="9"/>
        <v>5000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43885</v>
      </c>
      <c r="D92" s="196" t="s">
        <v>23</v>
      </c>
      <c r="E92" s="222" t="s">
        <v>28</v>
      </c>
      <c r="F92" s="223">
        <v>156.80000000000001</v>
      </c>
      <c r="G92" s="222">
        <v>154.80000000000001</v>
      </c>
      <c r="H92" s="274">
        <v>2</v>
      </c>
      <c r="I92" s="197">
        <v>5000</v>
      </c>
      <c r="J92" s="268">
        <f t="shared" si="9"/>
        <v>10000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43886</v>
      </c>
      <c r="D93" s="196" t="s">
        <v>16</v>
      </c>
      <c r="E93" s="222" t="s">
        <v>28</v>
      </c>
      <c r="F93" s="222">
        <v>154</v>
      </c>
      <c r="G93" s="222">
        <v>156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43887</v>
      </c>
      <c r="D94" s="196" t="s">
        <v>23</v>
      </c>
      <c r="E94" s="222" t="s">
        <v>28</v>
      </c>
      <c r="F94" s="222">
        <v>155</v>
      </c>
      <c r="G94" s="222">
        <v>153.5</v>
      </c>
      <c r="H94" s="274">
        <v>1.5</v>
      </c>
      <c r="I94" s="197">
        <v>5000</v>
      </c>
      <c r="J94" s="268">
        <f t="shared" si="9"/>
        <v>7500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43888</v>
      </c>
      <c r="D95" s="196" t="s">
        <v>23</v>
      </c>
      <c r="E95" s="222" t="s">
        <v>28</v>
      </c>
      <c r="F95" s="222">
        <v>154.30000000000001</v>
      </c>
      <c r="G95" s="222">
        <v>155.30000000000001</v>
      </c>
      <c r="H95" s="274">
        <v>-1</v>
      </c>
      <c r="I95" s="197">
        <v>5000</v>
      </c>
      <c r="J95" s="268">
        <f t="shared" si="9"/>
        <v>-5000</v>
      </c>
      <c r="K95" s="185"/>
      <c r="V95" s="183">
        <f t="shared" si="10"/>
        <v>0</v>
      </c>
      <c r="W95" s="183">
        <f t="shared" si="11"/>
        <v>1</v>
      </c>
    </row>
    <row r="96" spans="1:23" x14ac:dyDescent="0.3">
      <c r="A96" s="184"/>
      <c r="B96" s="194">
        <v>19</v>
      </c>
      <c r="C96" s="195">
        <v>43889</v>
      </c>
      <c r="D96" s="196" t="s">
        <v>23</v>
      </c>
      <c r="E96" s="222" t="s">
        <v>28</v>
      </c>
      <c r="F96" s="222">
        <v>151</v>
      </c>
      <c r="G96" s="222">
        <v>150.5</v>
      </c>
      <c r="H96" s="274">
        <v>0.5</v>
      </c>
      <c r="I96" s="197">
        <v>5000</v>
      </c>
      <c r="J96" s="268">
        <f t="shared" si="9"/>
        <v>2500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85750</v>
      </c>
      <c r="K101" s="185"/>
      <c r="V101" s="183">
        <f>SUM(V78:V100)</f>
        <v>15</v>
      </c>
      <c r="W101" s="183">
        <f>SUM(W78:W100)</f>
        <v>4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600-000000000000}"/>
    <hyperlink ref="B70" r:id="rId2" xr:uid="{00000000-0004-0000-5600-000001000000}"/>
    <hyperlink ref="M4:M5" location="'FEB 2020'!A1" display="BULLION" xr:uid="{00000000-0004-0000-5600-000002000000}"/>
    <hyperlink ref="B101" r:id="rId3" xr:uid="{00000000-0004-0000-5600-000003000000}"/>
    <hyperlink ref="M8:M9" location="'FEB 2020'!A86" display="BASE METAL" xr:uid="{00000000-0004-0000-5600-000004000000}"/>
    <hyperlink ref="M1" location="MASTER!A1" display="Back" xr:uid="{00000000-0004-0000-5600-000005000000}"/>
    <hyperlink ref="M6:M7" location="'FEB 2020'!A54" display="ENERGY" xr:uid="{00000000-0004-0000-5600-000006000000}"/>
  </hyperlinks>
  <pageMargins left="0" right="0" top="0" bottom="0" header="0" footer="0"/>
  <pageSetup paperSize="9" orientation="portrait" r:id="rId4"/>
  <drawing r:id="rId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43891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20</v>
      </c>
      <c r="O4" s="355">
        <f>V39</f>
        <v>18</v>
      </c>
      <c r="P4" s="355">
        <f>W39</f>
        <v>2</v>
      </c>
      <c r="Q4" s="356">
        <f>N4-O4-P4</f>
        <v>0</v>
      </c>
      <c r="R4" s="343">
        <f>O4/N4</f>
        <v>0.9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43892</v>
      </c>
      <c r="D6" s="192" t="s">
        <v>16</v>
      </c>
      <c r="E6" s="192" t="s">
        <v>24</v>
      </c>
      <c r="F6" s="193">
        <v>41880</v>
      </c>
      <c r="G6" s="193">
        <v>41980</v>
      </c>
      <c r="H6" s="192">
        <v>100</v>
      </c>
      <c r="I6" s="193">
        <v>100</v>
      </c>
      <c r="J6" s="267">
        <f>H6*I6</f>
        <v>10000</v>
      </c>
      <c r="K6" s="185"/>
      <c r="M6" s="364" t="s">
        <v>258</v>
      </c>
      <c r="N6" s="347">
        <f>COUNT(C47:C69)</f>
        <v>20</v>
      </c>
      <c r="O6" s="348">
        <f>V70</f>
        <v>15</v>
      </c>
      <c r="P6" s="348">
        <f>W70</f>
        <v>5</v>
      </c>
      <c r="Q6" s="349">
        <f>N6-O6-P6</f>
        <v>0</v>
      </c>
      <c r="R6" s="345">
        <f t="shared" ref="R6" si="0">O6/N6</f>
        <v>0.75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43893</v>
      </c>
      <c r="D7" s="196" t="s">
        <v>16</v>
      </c>
      <c r="E7" s="196" t="s">
        <v>24</v>
      </c>
      <c r="F7" s="197">
        <v>4280</v>
      </c>
      <c r="G7" s="197">
        <v>12280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43894</v>
      </c>
      <c r="D8" s="196" t="s">
        <v>16</v>
      </c>
      <c r="E8" s="196" t="s">
        <v>24</v>
      </c>
      <c r="F8" s="197">
        <v>43680</v>
      </c>
      <c r="G8" s="197">
        <v>43745</v>
      </c>
      <c r="H8" s="196">
        <v>65</v>
      </c>
      <c r="I8" s="197">
        <v>100</v>
      </c>
      <c r="J8" s="268">
        <f t="shared" si="1"/>
        <v>6500</v>
      </c>
      <c r="K8" s="185"/>
      <c r="M8" s="362" t="s">
        <v>877</v>
      </c>
      <c r="N8" s="347">
        <f>COUNT(C78:C100)</f>
        <v>20</v>
      </c>
      <c r="O8" s="348">
        <f>V101</f>
        <v>18</v>
      </c>
      <c r="P8" s="348">
        <f>W101</f>
        <v>2</v>
      </c>
      <c r="Q8" s="349">
        <f>N8-O8-P8</f>
        <v>0</v>
      </c>
      <c r="R8" s="345">
        <f t="shared" ref="R8" si="4">O8/N8</f>
        <v>0.9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43895</v>
      </c>
      <c r="D9" s="196" t="s">
        <v>23</v>
      </c>
      <c r="E9" s="196" t="s">
        <v>24</v>
      </c>
      <c r="F9" s="197">
        <v>43350</v>
      </c>
      <c r="G9" s="197">
        <v>43250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43896</v>
      </c>
      <c r="D10" s="196" t="s">
        <v>23</v>
      </c>
      <c r="E10" s="196" t="s">
        <v>24</v>
      </c>
      <c r="F10" s="197">
        <v>44370</v>
      </c>
      <c r="G10" s="197">
        <v>44270</v>
      </c>
      <c r="H10" s="196">
        <v>100</v>
      </c>
      <c r="I10" s="197">
        <v>100</v>
      </c>
      <c r="J10" s="268">
        <f t="shared" si="1"/>
        <v>10000</v>
      </c>
      <c r="K10" s="185"/>
      <c r="M10" s="319" t="s">
        <v>300</v>
      </c>
      <c r="N10" s="321">
        <f>SUM(N4:N9)</f>
        <v>60</v>
      </c>
      <c r="O10" s="321">
        <f>SUM(O4:O9)</f>
        <v>51</v>
      </c>
      <c r="P10" s="321">
        <f>SUM(P4:P9)</f>
        <v>9</v>
      </c>
      <c r="Q10" s="341">
        <f>SUM(Q4:Q9)</f>
        <v>0</v>
      </c>
      <c r="R10" s="343">
        <f t="shared" ref="R10" si="5">O10/N10</f>
        <v>0.85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43899</v>
      </c>
      <c r="D11" s="196" t="s">
        <v>16</v>
      </c>
      <c r="E11" s="196" t="s">
        <v>24</v>
      </c>
      <c r="F11" s="197">
        <v>44330</v>
      </c>
      <c r="G11" s="197">
        <v>44230</v>
      </c>
      <c r="H11" s="196">
        <v>-100</v>
      </c>
      <c r="I11" s="197">
        <v>100</v>
      </c>
      <c r="J11" s="268">
        <f t="shared" si="1"/>
        <v>-10000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43901</v>
      </c>
      <c r="D12" s="196" t="s">
        <v>23</v>
      </c>
      <c r="E12" s="196" t="s">
        <v>24</v>
      </c>
      <c r="F12" s="197">
        <v>43800</v>
      </c>
      <c r="G12" s="197">
        <v>43600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0.85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43902</v>
      </c>
      <c r="D13" s="196" t="s">
        <v>16</v>
      </c>
      <c r="E13" s="196" t="s">
        <v>24</v>
      </c>
      <c r="F13" s="197">
        <v>43360</v>
      </c>
      <c r="G13" s="197">
        <v>43560</v>
      </c>
      <c r="H13" s="196">
        <v>200</v>
      </c>
      <c r="I13" s="197">
        <v>100</v>
      </c>
      <c r="J13" s="268">
        <f t="shared" si="1"/>
        <v>20000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43903</v>
      </c>
      <c r="D14" s="196" t="s">
        <v>16</v>
      </c>
      <c r="E14" s="196" t="s">
        <v>24</v>
      </c>
      <c r="F14" s="197">
        <v>41900</v>
      </c>
      <c r="G14" s="197">
        <v>42000</v>
      </c>
      <c r="H14" s="196">
        <v>100</v>
      </c>
      <c r="I14" s="197">
        <v>100</v>
      </c>
      <c r="J14" s="268">
        <f t="shared" si="1"/>
        <v>10000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43906</v>
      </c>
      <c r="D15" s="196" t="s">
        <v>16</v>
      </c>
      <c r="E15" s="196" t="s">
        <v>24</v>
      </c>
      <c r="F15" s="197">
        <v>41030</v>
      </c>
      <c r="G15" s="197">
        <v>41130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43907</v>
      </c>
      <c r="D16" s="196" t="s">
        <v>23</v>
      </c>
      <c r="E16" s="196" t="s">
        <v>24</v>
      </c>
      <c r="F16" s="197">
        <v>39020</v>
      </c>
      <c r="G16" s="197">
        <v>39120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43908</v>
      </c>
      <c r="D17" s="196" t="s">
        <v>23</v>
      </c>
      <c r="E17" s="196" t="s">
        <v>24</v>
      </c>
      <c r="F17" s="197">
        <v>39520</v>
      </c>
      <c r="G17" s="197">
        <v>39320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43909</v>
      </c>
      <c r="D18" s="196" t="s">
        <v>16</v>
      </c>
      <c r="E18" s="196" t="s">
        <v>24</v>
      </c>
      <c r="F18" s="197">
        <v>39700</v>
      </c>
      <c r="G18" s="197">
        <v>39800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43910</v>
      </c>
      <c r="D19" s="196" t="s">
        <v>16</v>
      </c>
      <c r="E19" s="196" t="s">
        <v>24</v>
      </c>
      <c r="F19" s="197">
        <v>40550</v>
      </c>
      <c r="G19" s="197">
        <v>40750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43914</v>
      </c>
      <c r="D20" s="196" t="s">
        <v>16</v>
      </c>
      <c r="E20" s="196" t="s">
        <v>24</v>
      </c>
      <c r="F20" s="197">
        <v>41200</v>
      </c>
      <c r="G20" s="197">
        <v>41400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43915</v>
      </c>
      <c r="D21" s="196" t="s">
        <v>16</v>
      </c>
      <c r="E21" s="196" t="s">
        <v>24</v>
      </c>
      <c r="F21" s="197">
        <v>41900</v>
      </c>
      <c r="G21" s="197">
        <v>42100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43916</v>
      </c>
      <c r="D22" s="196" t="s">
        <v>16</v>
      </c>
      <c r="E22" s="196" t="s">
        <v>24</v>
      </c>
      <c r="F22" s="197">
        <v>41600</v>
      </c>
      <c r="G22" s="197">
        <v>41800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43917</v>
      </c>
      <c r="D23" s="196" t="s">
        <v>16</v>
      </c>
      <c r="E23" s="196" t="s">
        <v>24</v>
      </c>
      <c r="F23" s="197">
        <v>43260</v>
      </c>
      <c r="G23" s="197">
        <v>43440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43920</v>
      </c>
      <c r="D24" s="196" t="s">
        <v>23</v>
      </c>
      <c r="E24" s="196" t="s">
        <v>24</v>
      </c>
      <c r="F24" s="197">
        <v>43150</v>
      </c>
      <c r="G24" s="197">
        <v>43010</v>
      </c>
      <c r="H24" s="196">
        <v>140</v>
      </c>
      <c r="I24" s="197">
        <v>100</v>
      </c>
      <c r="J24" s="268">
        <f t="shared" si="1"/>
        <v>14000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43921</v>
      </c>
      <c r="D25" s="196" t="s">
        <v>23</v>
      </c>
      <c r="E25" s="196" t="s">
        <v>24</v>
      </c>
      <c r="F25" s="197">
        <v>43400</v>
      </c>
      <c r="G25" s="197">
        <v>43200</v>
      </c>
      <c r="H25" s="196">
        <v>200</v>
      </c>
      <c r="I25" s="197">
        <v>100</v>
      </c>
      <c r="J25" s="268">
        <f t="shared" si="1"/>
        <v>20000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260500</v>
      </c>
      <c r="K39" s="185"/>
      <c r="V39" s="183">
        <f>SUM(V6:V38)</f>
        <v>18</v>
      </c>
      <c r="W39" s="183">
        <f>SUM(W6:W38)</f>
        <v>2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43891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43892</v>
      </c>
      <c r="D47" s="192" t="s">
        <v>23</v>
      </c>
      <c r="E47" s="192" t="s">
        <v>25</v>
      </c>
      <c r="F47" s="193">
        <v>3345</v>
      </c>
      <c r="G47" s="193">
        <v>3315</v>
      </c>
      <c r="H47" s="192">
        <v>30</v>
      </c>
      <c r="I47" s="193">
        <v>100</v>
      </c>
      <c r="J47" s="267">
        <f t="shared" ref="J47:J69" si="6">I47*H47</f>
        <v>3000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43893</v>
      </c>
      <c r="D48" s="196" t="s">
        <v>23</v>
      </c>
      <c r="E48" s="196" t="s">
        <v>25</v>
      </c>
      <c r="F48" s="197">
        <v>3480</v>
      </c>
      <c r="G48" s="197">
        <v>3510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43894</v>
      </c>
      <c r="D49" s="196" t="s">
        <v>23</v>
      </c>
      <c r="E49" s="196" t="s">
        <v>25</v>
      </c>
      <c r="F49" s="197">
        <v>3540</v>
      </c>
      <c r="G49" s="197">
        <v>3500</v>
      </c>
      <c r="H49" s="196">
        <v>40</v>
      </c>
      <c r="I49" s="197">
        <v>100</v>
      </c>
      <c r="J49" s="268">
        <f t="shared" si="6"/>
        <v>4000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43895</v>
      </c>
      <c r="D50" s="196" t="s">
        <v>23</v>
      </c>
      <c r="E50" s="196" t="s">
        <v>25</v>
      </c>
      <c r="F50" s="197">
        <v>3495</v>
      </c>
      <c r="G50" s="197">
        <v>3435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43896</v>
      </c>
      <c r="D51" s="196" t="s">
        <v>23</v>
      </c>
      <c r="E51" s="196" t="s">
        <v>25</v>
      </c>
      <c r="F51" s="197">
        <v>3370</v>
      </c>
      <c r="G51" s="197">
        <v>3310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43899</v>
      </c>
      <c r="D52" s="196" t="s">
        <v>16</v>
      </c>
      <c r="E52" s="196" t="s">
        <v>25</v>
      </c>
      <c r="F52" s="197">
        <v>2330</v>
      </c>
      <c r="G52" s="197">
        <v>2390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43901</v>
      </c>
      <c r="D53" s="196" t="s">
        <v>23</v>
      </c>
      <c r="E53" s="196" t="s">
        <v>25</v>
      </c>
      <c r="F53" s="197">
        <v>2580</v>
      </c>
      <c r="G53" s="197">
        <v>2610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43902</v>
      </c>
      <c r="D54" s="196" t="s">
        <v>23</v>
      </c>
      <c r="E54" s="196" t="s">
        <v>25</v>
      </c>
      <c r="F54" s="197">
        <v>2365</v>
      </c>
      <c r="G54" s="197">
        <v>2305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43903</v>
      </c>
      <c r="D55" s="196" t="s">
        <v>23</v>
      </c>
      <c r="E55" s="196" t="s">
        <v>25</v>
      </c>
      <c r="F55" s="197">
        <v>2390</v>
      </c>
      <c r="G55" s="197">
        <v>2420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10</v>
      </c>
      <c r="C56" s="195">
        <v>43906</v>
      </c>
      <c r="D56" s="196" t="s">
        <v>23</v>
      </c>
      <c r="E56" s="196" t="s">
        <v>25</v>
      </c>
      <c r="F56" s="197">
        <v>2285</v>
      </c>
      <c r="G56" s="197">
        <v>2230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43907</v>
      </c>
      <c r="D57" s="196" t="s">
        <v>16</v>
      </c>
      <c r="E57" s="196" t="s">
        <v>25</v>
      </c>
      <c r="F57" s="197">
        <v>2230</v>
      </c>
      <c r="G57" s="197">
        <v>2247</v>
      </c>
      <c r="H57" s="196">
        <v>17</v>
      </c>
      <c r="I57" s="197">
        <v>100</v>
      </c>
      <c r="J57" s="268">
        <f t="shared" si="6"/>
        <v>1700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43908</v>
      </c>
      <c r="D58" s="196" t="s">
        <v>23</v>
      </c>
      <c r="E58" s="196" t="s">
        <v>25</v>
      </c>
      <c r="F58" s="197">
        <v>1970</v>
      </c>
      <c r="G58" s="197">
        <v>1910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43909</v>
      </c>
      <c r="D59" s="196" t="s">
        <v>23</v>
      </c>
      <c r="E59" s="196" t="s">
        <v>25</v>
      </c>
      <c r="F59" s="197">
        <v>1820</v>
      </c>
      <c r="G59" s="197">
        <v>1850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43910</v>
      </c>
      <c r="D60" s="196" t="s">
        <v>23</v>
      </c>
      <c r="E60" s="196" t="s">
        <v>25</v>
      </c>
      <c r="F60" s="197">
        <v>2110</v>
      </c>
      <c r="G60" s="197">
        <v>2085</v>
      </c>
      <c r="H60" s="196">
        <v>25</v>
      </c>
      <c r="I60" s="197">
        <v>100</v>
      </c>
      <c r="J60" s="268">
        <f t="shared" si="6"/>
        <v>2500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43914</v>
      </c>
      <c r="D61" s="196" t="s">
        <v>23</v>
      </c>
      <c r="E61" s="196" t="s">
        <v>25</v>
      </c>
      <c r="F61" s="197">
        <v>1950</v>
      </c>
      <c r="G61" s="197">
        <v>1930</v>
      </c>
      <c r="H61" s="196">
        <v>20</v>
      </c>
      <c r="I61" s="197">
        <v>100</v>
      </c>
      <c r="J61" s="268">
        <f t="shared" si="6"/>
        <v>2000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43915</v>
      </c>
      <c r="D62" s="196" t="s">
        <v>23</v>
      </c>
      <c r="E62" s="196" t="s">
        <v>25</v>
      </c>
      <c r="F62" s="197">
        <v>1980</v>
      </c>
      <c r="G62" s="197">
        <v>1920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43916</v>
      </c>
      <c r="D63" s="196" t="s">
        <v>23</v>
      </c>
      <c r="E63" s="196" t="s">
        <v>25</v>
      </c>
      <c r="F63" s="197">
        <v>1890</v>
      </c>
      <c r="G63" s="197">
        <v>1860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43917</v>
      </c>
      <c r="D64" s="196" t="s">
        <v>23</v>
      </c>
      <c r="E64" s="196" t="s">
        <v>25</v>
      </c>
      <c r="F64" s="197">
        <v>1810</v>
      </c>
      <c r="G64" s="197">
        <v>1780</v>
      </c>
      <c r="H64" s="196">
        <v>30</v>
      </c>
      <c r="I64" s="197">
        <v>100</v>
      </c>
      <c r="J64" s="268">
        <f t="shared" si="6"/>
        <v>3000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43920</v>
      </c>
      <c r="D65" s="196" t="s">
        <v>23</v>
      </c>
      <c r="E65" s="196" t="s">
        <v>25</v>
      </c>
      <c r="F65" s="197">
        <v>1620</v>
      </c>
      <c r="G65" s="197">
        <v>1650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20</v>
      </c>
      <c r="C66" s="195">
        <v>43921</v>
      </c>
      <c r="D66" s="196" t="s">
        <v>16</v>
      </c>
      <c r="E66" s="196" t="s">
        <v>25</v>
      </c>
      <c r="F66" s="197">
        <v>1660</v>
      </c>
      <c r="G66" s="197">
        <v>1685</v>
      </c>
      <c r="H66" s="196">
        <v>25</v>
      </c>
      <c r="I66" s="197">
        <v>100</v>
      </c>
      <c r="J66" s="268">
        <f t="shared" si="6"/>
        <v>2500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48700</v>
      </c>
      <c r="K70" s="185"/>
      <c r="V70" s="183">
        <f>SUM(V47:V69)</f>
        <v>15</v>
      </c>
      <c r="W70" s="183">
        <f>SUM(W47:W69)</f>
        <v>5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43891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43892</v>
      </c>
      <c r="D78" s="216" t="s">
        <v>16</v>
      </c>
      <c r="E78" s="256" t="s">
        <v>28</v>
      </c>
      <c r="F78" s="256">
        <v>156.30000000000001</v>
      </c>
      <c r="G78" s="256">
        <v>158.30000000000001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43893</v>
      </c>
      <c r="D79" s="196" t="s">
        <v>23</v>
      </c>
      <c r="E79" s="222" t="s">
        <v>28</v>
      </c>
      <c r="F79" s="222">
        <v>157.6</v>
      </c>
      <c r="G79" s="222">
        <v>156.6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43894</v>
      </c>
      <c r="D80" s="196" t="s">
        <v>23</v>
      </c>
      <c r="E80" s="222" t="s">
        <v>28</v>
      </c>
      <c r="F80" s="222">
        <v>155</v>
      </c>
      <c r="G80" s="222">
        <v>153.5</v>
      </c>
      <c r="H80" s="222">
        <v>1.5</v>
      </c>
      <c r="I80" s="197">
        <v>5000</v>
      </c>
      <c r="J80" s="268">
        <f t="shared" si="9"/>
        <v>7500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43895</v>
      </c>
      <c r="D81" s="196" t="s">
        <v>23</v>
      </c>
      <c r="E81" s="222" t="s">
        <v>28</v>
      </c>
      <c r="F81" s="222">
        <v>156.69999999999999</v>
      </c>
      <c r="G81" s="222">
        <v>155.69999999999999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43896</v>
      </c>
      <c r="D82" s="196" t="s">
        <v>16</v>
      </c>
      <c r="E82" s="222" t="s">
        <v>28</v>
      </c>
      <c r="F82" s="222">
        <v>156.4</v>
      </c>
      <c r="G82" s="222">
        <v>156.85</v>
      </c>
      <c r="H82" s="222">
        <v>0.45</v>
      </c>
      <c r="I82" s="197">
        <v>5000</v>
      </c>
      <c r="J82" s="268">
        <f t="shared" si="9"/>
        <v>2250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43899</v>
      </c>
      <c r="D83" s="196" t="s">
        <v>23</v>
      </c>
      <c r="E83" s="222" t="s">
        <v>28</v>
      </c>
      <c r="F83" s="222">
        <v>150.5</v>
      </c>
      <c r="G83" s="222">
        <v>150.1</v>
      </c>
      <c r="H83" s="222">
        <v>0.3</v>
      </c>
      <c r="I83" s="197">
        <v>5000</v>
      </c>
      <c r="J83" s="268">
        <f t="shared" si="9"/>
        <v>1500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43901</v>
      </c>
      <c r="D84" s="196" t="s">
        <v>23</v>
      </c>
      <c r="E84" s="222" t="s">
        <v>28</v>
      </c>
      <c r="F84" s="222">
        <v>156.30000000000001</v>
      </c>
      <c r="G84" s="222">
        <v>154.80000000000001</v>
      </c>
      <c r="H84" s="274">
        <v>1.5</v>
      </c>
      <c r="I84" s="197">
        <v>5000</v>
      </c>
      <c r="J84" s="268">
        <f t="shared" si="9"/>
        <v>7500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43902</v>
      </c>
      <c r="D85" s="196" t="s">
        <v>23</v>
      </c>
      <c r="E85" s="222" t="s">
        <v>28</v>
      </c>
      <c r="F85" s="222">
        <v>154</v>
      </c>
      <c r="G85" s="222">
        <v>152</v>
      </c>
      <c r="H85" s="222">
        <v>2</v>
      </c>
      <c r="I85" s="197">
        <v>5000</v>
      </c>
      <c r="J85" s="268">
        <f t="shared" si="9"/>
        <v>10000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43903</v>
      </c>
      <c r="D86" s="196" t="s">
        <v>23</v>
      </c>
      <c r="E86" s="222" t="s">
        <v>28</v>
      </c>
      <c r="F86" s="222">
        <v>152</v>
      </c>
      <c r="G86" s="222">
        <v>153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43906</v>
      </c>
      <c r="D87" s="196" t="s">
        <v>16</v>
      </c>
      <c r="E87" s="222" t="s">
        <v>28</v>
      </c>
      <c r="F87" s="222">
        <v>150.19999999999999</v>
      </c>
      <c r="G87" s="222">
        <v>150.9</v>
      </c>
      <c r="H87" s="222">
        <v>0.7</v>
      </c>
      <c r="I87" s="197">
        <v>5000</v>
      </c>
      <c r="J87" s="268">
        <f t="shared" si="9"/>
        <v>3500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43907</v>
      </c>
      <c r="D88" s="196" t="s">
        <v>23</v>
      </c>
      <c r="E88" s="222" t="s">
        <v>28</v>
      </c>
      <c r="F88" s="222">
        <v>147.5</v>
      </c>
      <c r="G88" s="222">
        <v>147</v>
      </c>
      <c r="H88" s="274">
        <v>0.5</v>
      </c>
      <c r="I88" s="197">
        <v>5000</v>
      </c>
      <c r="J88" s="268">
        <f t="shared" si="9"/>
        <v>2500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43908</v>
      </c>
      <c r="D89" s="196" t="s">
        <v>23</v>
      </c>
      <c r="E89" s="222" t="s">
        <v>28</v>
      </c>
      <c r="F89" s="222">
        <v>142.9</v>
      </c>
      <c r="G89" s="222">
        <v>141.9</v>
      </c>
      <c r="H89" s="274">
        <v>1</v>
      </c>
      <c r="I89" s="197">
        <v>5000</v>
      </c>
      <c r="J89" s="268">
        <f t="shared" si="9"/>
        <v>5000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43909</v>
      </c>
      <c r="D90" s="196" t="s">
        <v>16</v>
      </c>
      <c r="E90" s="222" t="s">
        <v>28</v>
      </c>
      <c r="F90" s="222">
        <v>136.19999999999999</v>
      </c>
      <c r="G90" s="222">
        <v>135.19999999999999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43910</v>
      </c>
      <c r="D91" s="196" t="s">
        <v>23</v>
      </c>
      <c r="E91" s="222" t="s">
        <v>28</v>
      </c>
      <c r="F91" s="222">
        <v>145.1</v>
      </c>
      <c r="G91" s="222">
        <v>143.65</v>
      </c>
      <c r="H91" s="274">
        <v>1.45</v>
      </c>
      <c r="I91" s="197">
        <v>5000</v>
      </c>
      <c r="J91" s="268">
        <f t="shared" si="9"/>
        <v>7250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43914</v>
      </c>
      <c r="D92" s="196" t="s">
        <v>16</v>
      </c>
      <c r="E92" s="222" t="s">
        <v>28</v>
      </c>
      <c r="F92" s="223">
        <v>145</v>
      </c>
      <c r="G92" s="222">
        <v>146.5</v>
      </c>
      <c r="H92" s="274">
        <v>1.5</v>
      </c>
      <c r="I92" s="197">
        <v>5000</v>
      </c>
      <c r="J92" s="268">
        <f t="shared" si="9"/>
        <v>7500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43915</v>
      </c>
      <c r="D93" s="196" t="s">
        <v>16</v>
      </c>
      <c r="E93" s="222" t="s">
        <v>28</v>
      </c>
      <c r="F93" s="222">
        <v>141</v>
      </c>
      <c r="G93" s="222">
        <v>143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43916</v>
      </c>
      <c r="D94" s="196" t="s">
        <v>23</v>
      </c>
      <c r="E94" s="222" t="s">
        <v>28</v>
      </c>
      <c r="F94" s="222">
        <v>142.1</v>
      </c>
      <c r="G94" s="222">
        <v>141.4</v>
      </c>
      <c r="H94" s="274">
        <v>0.7</v>
      </c>
      <c r="I94" s="197">
        <v>5000</v>
      </c>
      <c r="J94" s="268">
        <f t="shared" si="9"/>
        <v>3500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43917</v>
      </c>
      <c r="D95" s="196" t="s">
        <v>16</v>
      </c>
      <c r="E95" s="222" t="s">
        <v>28</v>
      </c>
      <c r="F95" s="222">
        <v>145.4</v>
      </c>
      <c r="G95" s="222">
        <v>145.9</v>
      </c>
      <c r="H95" s="274">
        <v>0.5</v>
      </c>
      <c r="I95" s="197">
        <v>5000</v>
      </c>
      <c r="J95" s="268">
        <f t="shared" si="9"/>
        <v>2500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43920</v>
      </c>
      <c r="D96" s="196" t="s">
        <v>16</v>
      </c>
      <c r="E96" s="222" t="s">
        <v>28</v>
      </c>
      <c r="F96" s="222">
        <v>140.5</v>
      </c>
      <c r="G96" s="222">
        <v>142.5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43921</v>
      </c>
      <c r="D97" s="196" t="s">
        <v>16</v>
      </c>
      <c r="E97" s="222" t="s">
        <v>28</v>
      </c>
      <c r="F97" s="222">
        <v>143.30000000000001</v>
      </c>
      <c r="G97" s="222">
        <v>145.30000000000001</v>
      </c>
      <c r="H97" s="274">
        <v>2</v>
      </c>
      <c r="I97" s="197">
        <v>5000</v>
      </c>
      <c r="J97" s="268">
        <f t="shared" si="9"/>
        <v>10000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100500</v>
      </c>
      <c r="K101" s="185"/>
      <c r="V101" s="183">
        <f>SUM(V78:V100)</f>
        <v>18</v>
      </c>
      <c r="W101" s="183">
        <f>SUM(W78:W100)</f>
        <v>2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700-000000000000}"/>
    <hyperlink ref="B70" r:id="rId2" xr:uid="{00000000-0004-0000-5700-000001000000}"/>
    <hyperlink ref="M4:M5" location="'MARCH 2020'!A1" display="BULLION" xr:uid="{00000000-0004-0000-5700-000002000000}"/>
    <hyperlink ref="B101" r:id="rId3" xr:uid="{00000000-0004-0000-5700-000003000000}"/>
    <hyperlink ref="M8:M9" location="'MARCH 2020'!A86" display="BASE METAL" xr:uid="{00000000-0004-0000-5700-000004000000}"/>
    <hyperlink ref="M1" location="MASTER!A1" display="Back" xr:uid="{00000000-0004-0000-5700-000005000000}"/>
    <hyperlink ref="M6:M7" location="'MARCH 2020'!A54" display="ENERGY" xr:uid="{00000000-0004-0000-5700-000006000000}"/>
  </hyperlinks>
  <pageMargins left="0" right="0" top="0" bottom="0" header="0" footer="0"/>
  <pageSetup paperSize="9" orientation="portrait" r:id="rId4"/>
  <drawing r:id="rId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W102"/>
  <sheetViews>
    <sheetView zoomScale="98" zoomScaleNormal="98"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43922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17</v>
      </c>
      <c r="O4" s="355">
        <f>V39</f>
        <v>16</v>
      </c>
      <c r="P4" s="355">
        <f>W39</f>
        <v>1</v>
      </c>
      <c r="Q4" s="356">
        <f>N4-O4-P4</f>
        <v>0</v>
      </c>
      <c r="R4" s="343">
        <f>O4/N4</f>
        <v>0.94117647058823528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43922</v>
      </c>
      <c r="D6" s="192" t="s">
        <v>16</v>
      </c>
      <c r="E6" s="192" t="s">
        <v>24</v>
      </c>
      <c r="F6" s="193">
        <v>42780</v>
      </c>
      <c r="G6" s="193">
        <v>42980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COUNT(C47:C69)</f>
        <v>18</v>
      </c>
      <c r="O6" s="348">
        <f>V70</f>
        <v>13</v>
      </c>
      <c r="P6" s="348">
        <f>W70</f>
        <v>5</v>
      </c>
      <c r="Q6" s="349">
        <f>N6-O6-P6</f>
        <v>0</v>
      </c>
      <c r="R6" s="345">
        <f t="shared" ref="R6" si="0">O6/N6</f>
        <v>0.72222222222222221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43928</v>
      </c>
      <c r="D7" s="196" t="s">
        <v>23</v>
      </c>
      <c r="E7" s="196" t="s">
        <v>24</v>
      </c>
      <c r="F7" s="197">
        <v>45000</v>
      </c>
      <c r="G7" s="197">
        <v>44800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43929</v>
      </c>
      <c r="D8" s="196" t="s">
        <v>23</v>
      </c>
      <c r="E8" s="196" t="s">
        <v>24</v>
      </c>
      <c r="F8" s="197">
        <v>44800</v>
      </c>
      <c r="G8" s="197">
        <v>44900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COUNT(C78:C100)</f>
        <v>18</v>
      </c>
      <c r="O8" s="348">
        <f>V101</f>
        <v>13</v>
      </c>
      <c r="P8" s="348">
        <f>W101</f>
        <v>5</v>
      </c>
      <c r="Q8" s="349">
        <f>N8-O8-P8</f>
        <v>0</v>
      </c>
      <c r="R8" s="345">
        <f t="shared" ref="R8" si="4">O8/N8</f>
        <v>0.72222222222222221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43930</v>
      </c>
      <c r="D9" s="196" t="s">
        <v>16</v>
      </c>
      <c r="E9" s="196" t="s">
        <v>24</v>
      </c>
      <c r="F9" s="197">
        <v>45050</v>
      </c>
      <c r="G9" s="197">
        <v>45250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43934</v>
      </c>
      <c r="D10" s="196" t="s">
        <v>16</v>
      </c>
      <c r="E10" s="196" t="s">
        <v>24</v>
      </c>
      <c r="F10" s="197">
        <v>45750</v>
      </c>
      <c r="G10" s="197">
        <v>45950</v>
      </c>
      <c r="H10" s="196">
        <v>200</v>
      </c>
      <c r="I10" s="197">
        <v>100</v>
      </c>
      <c r="J10" s="268">
        <f t="shared" si="1"/>
        <v>20000</v>
      </c>
      <c r="K10" s="185"/>
      <c r="M10" s="319" t="s">
        <v>300</v>
      </c>
      <c r="N10" s="321">
        <f>SUM(N4:N9)</f>
        <v>53</v>
      </c>
      <c r="O10" s="321">
        <f>SUM(O4:O9)</f>
        <v>42</v>
      </c>
      <c r="P10" s="321">
        <f>SUM(P4:P9)</f>
        <v>11</v>
      </c>
      <c r="Q10" s="341">
        <f>SUM(Q4:Q9)</f>
        <v>0</v>
      </c>
      <c r="R10" s="343">
        <f t="shared" ref="R10" si="5">O10/N10</f>
        <v>0.79245283018867929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43936</v>
      </c>
      <c r="D11" s="196" t="s">
        <v>16</v>
      </c>
      <c r="E11" s="196" t="s">
        <v>24</v>
      </c>
      <c r="F11" s="197">
        <v>46660</v>
      </c>
      <c r="G11" s="197">
        <v>46760</v>
      </c>
      <c r="H11" s="196">
        <v>100</v>
      </c>
      <c r="I11" s="197">
        <v>100</v>
      </c>
      <c r="J11" s="268">
        <f t="shared" si="1"/>
        <v>10000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43937</v>
      </c>
      <c r="D12" s="196" t="s">
        <v>16</v>
      </c>
      <c r="E12" s="196" t="s">
        <v>24</v>
      </c>
      <c r="F12" s="197">
        <v>46660</v>
      </c>
      <c r="G12" s="197">
        <v>46860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0.79245283018867929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43938</v>
      </c>
      <c r="D13" s="196" t="s">
        <v>16</v>
      </c>
      <c r="E13" s="196" t="s">
        <v>24</v>
      </c>
      <c r="F13" s="197">
        <v>45900</v>
      </c>
      <c r="G13" s="197">
        <v>46050</v>
      </c>
      <c r="H13" s="196">
        <v>150</v>
      </c>
      <c r="I13" s="197">
        <v>100</v>
      </c>
      <c r="J13" s="268">
        <f t="shared" si="1"/>
        <v>15000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43941</v>
      </c>
      <c r="D14" s="196" t="s">
        <v>16</v>
      </c>
      <c r="E14" s="196" t="s">
        <v>24</v>
      </c>
      <c r="F14" s="197">
        <v>45530</v>
      </c>
      <c r="G14" s="197">
        <v>45590</v>
      </c>
      <c r="H14" s="196">
        <v>60</v>
      </c>
      <c r="I14" s="197">
        <v>100</v>
      </c>
      <c r="J14" s="268">
        <f t="shared" si="1"/>
        <v>6000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43942</v>
      </c>
      <c r="D15" s="196" t="s">
        <v>16</v>
      </c>
      <c r="E15" s="196" t="s">
        <v>24</v>
      </c>
      <c r="F15" s="197">
        <v>45950</v>
      </c>
      <c r="G15" s="197">
        <v>46150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43943</v>
      </c>
      <c r="D16" s="196" t="s">
        <v>23</v>
      </c>
      <c r="E16" s="196" t="s">
        <v>24</v>
      </c>
      <c r="F16" s="197">
        <v>45700</v>
      </c>
      <c r="G16" s="197">
        <v>45635</v>
      </c>
      <c r="H16" s="196">
        <v>65</v>
      </c>
      <c r="I16" s="197">
        <v>100</v>
      </c>
      <c r="J16" s="268">
        <f t="shared" si="1"/>
        <v>6500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43944</v>
      </c>
      <c r="D17" s="196" t="s">
        <v>16</v>
      </c>
      <c r="E17" s="196" t="s">
        <v>24</v>
      </c>
      <c r="F17" s="197">
        <v>46400</v>
      </c>
      <c r="G17" s="197">
        <v>46500</v>
      </c>
      <c r="H17" s="196">
        <v>100</v>
      </c>
      <c r="I17" s="197">
        <v>100</v>
      </c>
      <c r="J17" s="268">
        <f t="shared" si="1"/>
        <v>10000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43945</v>
      </c>
      <c r="D18" s="196" t="s">
        <v>23</v>
      </c>
      <c r="E18" s="196" t="s">
        <v>24</v>
      </c>
      <c r="F18" s="197">
        <v>46790</v>
      </c>
      <c r="G18" s="197">
        <v>46690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43948</v>
      </c>
      <c r="D19" s="196" t="s">
        <v>23</v>
      </c>
      <c r="E19" s="196" t="s">
        <v>24</v>
      </c>
      <c r="F19" s="197">
        <v>46500</v>
      </c>
      <c r="G19" s="197">
        <v>46300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43949</v>
      </c>
      <c r="D20" s="196" t="s">
        <v>16</v>
      </c>
      <c r="E20" s="196" t="s">
        <v>24</v>
      </c>
      <c r="F20" s="197">
        <v>45900</v>
      </c>
      <c r="G20" s="197">
        <v>46000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43950</v>
      </c>
      <c r="D21" s="196" t="s">
        <v>23</v>
      </c>
      <c r="E21" s="196" t="s">
        <v>24</v>
      </c>
      <c r="F21" s="197">
        <v>46050</v>
      </c>
      <c r="G21" s="197">
        <v>45850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43951</v>
      </c>
      <c r="D22" s="196" t="s">
        <v>23</v>
      </c>
      <c r="E22" s="196" t="s">
        <v>24</v>
      </c>
      <c r="F22" s="197">
        <v>45640</v>
      </c>
      <c r="G22" s="197">
        <v>45565</v>
      </c>
      <c r="H22" s="196">
        <v>75</v>
      </c>
      <c r="I22" s="197">
        <v>100</v>
      </c>
      <c r="J22" s="268">
        <f t="shared" si="1"/>
        <v>7500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/>
      <c r="D23" s="196"/>
      <c r="E23" s="196"/>
      <c r="F23" s="197"/>
      <c r="G23" s="197"/>
      <c r="H23" s="196"/>
      <c r="I23" s="197"/>
      <c r="J23" s="268">
        <f t="shared" si="1"/>
        <v>0</v>
      </c>
      <c r="K23" s="185"/>
      <c r="V23" s="183">
        <f t="shared" si="2"/>
        <v>0</v>
      </c>
      <c r="W23" s="183">
        <f t="shared" si="3"/>
        <v>0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225000</v>
      </c>
      <c r="K39" s="185"/>
      <c r="V39" s="183">
        <f>SUM(V6:V38)</f>
        <v>16</v>
      </c>
      <c r="W39" s="183">
        <f>SUM(W6:W38)</f>
        <v>1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43922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43922</v>
      </c>
      <c r="D47" s="192" t="s">
        <v>23</v>
      </c>
      <c r="E47" s="192" t="s">
        <v>25</v>
      </c>
      <c r="F47" s="193">
        <v>1575</v>
      </c>
      <c r="G47" s="193">
        <v>1600</v>
      </c>
      <c r="H47" s="192">
        <v>-25</v>
      </c>
      <c r="I47" s="193">
        <v>100</v>
      </c>
      <c r="J47" s="267">
        <f t="shared" ref="J47:J69" si="6">I47*H47</f>
        <v>-2500</v>
      </c>
      <c r="K47" s="185"/>
      <c r="V47" s="183">
        <f>IF($J47&gt;0,1,0)</f>
        <v>0</v>
      </c>
      <c r="W47" s="183">
        <f>IF($J47&lt;0,1,0)</f>
        <v>1</v>
      </c>
    </row>
    <row r="48" spans="1:23" x14ac:dyDescent="0.3">
      <c r="A48" s="184"/>
      <c r="B48" s="194">
        <v>2</v>
      </c>
      <c r="C48" s="195">
        <v>43924</v>
      </c>
      <c r="D48" s="196" t="s">
        <v>23</v>
      </c>
      <c r="E48" s="196" t="s">
        <v>25</v>
      </c>
      <c r="F48" s="197">
        <v>1860</v>
      </c>
      <c r="G48" s="197">
        <v>1900</v>
      </c>
      <c r="H48" s="196">
        <v>-40</v>
      </c>
      <c r="I48" s="197">
        <v>100</v>
      </c>
      <c r="J48" s="268">
        <f t="shared" si="6"/>
        <v>-4000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43928</v>
      </c>
      <c r="D49" s="196" t="s">
        <v>23</v>
      </c>
      <c r="E49" s="196" t="s">
        <v>25</v>
      </c>
      <c r="F49" s="197">
        <v>2080</v>
      </c>
      <c r="G49" s="197">
        <v>2034</v>
      </c>
      <c r="H49" s="196">
        <v>46</v>
      </c>
      <c r="I49" s="197">
        <v>100</v>
      </c>
      <c r="J49" s="268">
        <f t="shared" si="6"/>
        <v>4600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43929</v>
      </c>
      <c r="D50" s="196" t="s">
        <v>23</v>
      </c>
      <c r="E50" s="196" t="s">
        <v>25</v>
      </c>
      <c r="F50" s="197">
        <v>1920</v>
      </c>
      <c r="G50" s="197">
        <v>1880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43930</v>
      </c>
      <c r="D51" s="196" t="s">
        <v>23</v>
      </c>
      <c r="E51" s="196" t="s">
        <v>25</v>
      </c>
      <c r="F51" s="197">
        <v>2020</v>
      </c>
      <c r="G51" s="197">
        <v>2050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43934</v>
      </c>
      <c r="D52" s="196" t="s">
        <v>23</v>
      </c>
      <c r="E52" s="196" t="s">
        <v>25</v>
      </c>
      <c r="F52" s="197">
        <v>1830</v>
      </c>
      <c r="G52" s="197">
        <v>1770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43936</v>
      </c>
      <c r="D53" s="196" t="s">
        <v>23</v>
      </c>
      <c r="E53" s="196" t="s">
        <v>25</v>
      </c>
      <c r="F53" s="197">
        <v>1570</v>
      </c>
      <c r="G53" s="197">
        <v>1510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43937</v>
      </c>
      <c r="D54" s="196" t="s">
        <v>23</v>
      </c>
      <c r="E54" s="196" t="s">
        <v>25</v>
      </c>
      <c r="F54" s="197">
        <v>1545</v>
      </c>
      <c r="G54" s="197">
        <v>1575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9</v>
      </c>
      <c r="C55" s="195">
        <v>43938</v>
      </c>
      <c r="D55" s="196" t="s">
        <v>23</v>
      </c>
      <c r="E55" s="196" t="s">
        <v>25</v>
      </c>
      <c r="F55" s="197">
        <v>1505</v>
      </c>
      <c r="G55" s="197">
        <v>1445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43941</v>
      </c>
      <c r="D56" s="196" t="s">
        <v>23</v>
      </c>
      <c r="E56" s="196" t="s">
        <v>25</v>
      </c>
      <c r="F56" s="197">
        <v>1150</v>
      </c>
      <c r="G56" s="197">
        <v>1090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43942</v>
      </c>
      <c r="D57" s="196" t="s">
        <v>23</v>
      </c>
      <c r="E57" s="196" t="s">
        <v>25</v>
      </c>
      <c r="F57" s="197">
        <v>1650</v>
      </c>
      <c r="G57" s="197">
        <v>1590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43943</v>
      </c>
      <c r="D58" s="196" t="s">
        <v>23</v>
      </c>
      <c r="E58" s="196" t="s">
        <v>25</v>
      </c>
      <c r="F58" s="197">
        <v>930</v>
      </c>
      <c r="G58" s="197">
        <v>870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43944</v>
      </c>
      <c r="D59" s="196" t="s">
        <v>23</v>
      </c>
      <c r="E59" s="196" t="s">
        <v>25</v>
      </c>
      <c r="F59" s="197">
        <v>1180</v>
      </c>
      <c r="G59" s="197">
        <v>1150</v>
      </c>
      <c r="H59" s="196">
        <v>30</v>
      </c>
      <c r="I59" s="197">
        <v>100</v>
      </c>
      <c r="J59" s="268">
        <f t="shared" si="6"/>
        <v>3000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43945</v>
      </c>
      <c r="D60" s="196" t="s">
        <v>23</v>
      </c>
      <c r="E60" s="196" t="s">
        <v>25</v>
      </c>
      <c r="F60" s="197">
        <v>1335</v>
      </c>
      <c r="G60" s="197">
        <v>1280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43948</v>
      </c>
      <c r="D61" s="196" t="s">
        <v>23</v>
      </c>
      <c r="E61" s="196" t="s">
        <v>25</v>
      </c>
      <c r="F61" s="197">
        <v>1170</v>
      </c>
      <c r="G61" s="197">
        <v>1110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43949</v>
      </c>
      <c r="D62" s="196" t="s">
        <v>23</v>
      </c>
      <c r="E62" s="196" t="s">
        <v>25</v>
      </c>
      <c r="F62" s="197">
        <v>890</v>
      </c>
      <c r="G62" s="197">
        <v>830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43950</v>
      </c>
      <c r="D63" s="196" t="s">
        <v>23</v>
      </c>
      <c r="E63" s="196" t="s">
        <v>25</v>
      </c>
      <c r="F63" s="197">
        <v>1040</v>
      </c>
      <c r="G63" s="197">
        <v>1070</v>
      </c>
      <c r="H63" s="196">
        <v>-30</v>
      </c>
      <c r="I63" s="197">
        <v>100</v>
      </c>
      <c r="J63" s="268">
        <f t="shared" si="6"/>
        <v>-3000</v>
      </c>
      <c r="K63" s="185"/>
      <c r="V63" s="183">
        <f t="shared" si="7"/>
        <v>0</v>
      </c>
      <c r="W63" s="183">
        <f t="shared" si="8"/>
        <v>1</v>
      </c>
    </row>
    <row r="64" spans="1:23" x14ac:dyDescent="0.3">
      <c r="A64" s="255"/>
      <c r="B64" s="194">
        <v>18</v>
      </c>
      <c r="C64" s="195">
        <v>43951</v>
      </c>
      <c r="D64" s="196" t="s">
        <v>23</v>
      </c>
      <c r="E64" s="196" t="s">
        <v>25</v>
      </c>
      <c r="F64" s="197">
        <v>1300</v>
      </c>
      <c r="G64" s="197">
        <v>1260</v>
      </c>
      <c r="H64" s="196">
        <v>40</v>
      </c>
      <c r="I64" s="197">
        <v>100</v>
      </c>
      <c r="J64" s="268">
        <f t="shared" si="6"/>
        <v>4000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54100</v>
      </c>
      <c r="K70" s="185"/>
      <c r="V70" s="183">
        <f>SUM(V47:V69)</f>
        <v>13</v>
      </c>
      <c r="W70" s="183">
        <f>SUM(W47:W69)</f>
        <v>5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43922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43922</v>
      </c>
      <c r="D78" s="216" t="s">
        <v>23</v>
      </c>
      <c r="E78" s="256" t="s">
        <v>28</v>
      </c>
      <c r="F78" s="256">
        <v>143.69999999999999</v>
      </c>
      <c r="G78" s="256">
        <v>144.69999999999999</v>
      </c>
      <c r="H78" s="256">
        <v>-1</v>
      </c>
      <c r="I78" s="218">
        <v>5000</v>
      </c>
      <c r="J78" s="273">
        <f>I78*H78</f>
        <v>-5000</v>
      </c>
      <c r="K78" s="185"/>
      <c r="M78" s="183" t="s">
        <v>870</v>
      </c>
      <c r="V78" s="183">
        <f>IF($J78&gt;0,1,0)</f>
        <v>0</v>
      </c>
      <c r="W78" s="183">
        <f>IF($J78&lt;0,1,0)</f>
        <v>1</v>
      </c>
    </row>
    <row r="79" spans="1:23" x14ac:dyDescent="0.3">
      <c r="A79" s="184"/>
      <c r="B79" s="194">
        <v>2</v>
      </c>
      <c r="C79" s="195">
        <v>43924</v>
      </c>
      <c r="D79" s="196" t="s">
        <v>16</v>
      </c>
      <c r="E79" s="222" t="s">
        <v>28</v>
      </c>
      <c r="F79" s="222">
        <v>146.5</v>
      </c>
      <c r="G79" s="222">
        <v>147</v>
      </c>
      <c r="H79" s="222">
        <v>0.5</v>
      </c>
      <c r="I79" s="197">
        <v>5000</v>
      </c>
      <c r="J79" s="268">
        <f t="shared" ref="J79:J100" si="9">I79*H79</f>
        <v>2500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43928</v>
      </c>
      <c r="D80" s="196" t="s">
        <v>23</v>
      </c>
      <c r="E80" s="222" t="s">
        <v>28</v>
      </c>
      <c r="F80" s="222">
        <v>149.30000000000001</v>
      </c>
      <c r="G80" s="222">
        <v>148.80000000000001</v>
      </c>
      <c r="H80" s="222">
        <v>0.5</v>
      </c>
      <c r="I80" s="197">
        <v>5000</v>
      </c>
      <c r="J80" s="268">
        <f t="shared" si="9"/>
        <v>2500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43929</v>
      </c>
      <c r="D81" s="196" t="s">
        <v>16</v>
      </c>
      <c r="E81" s="222" t="s">
        <v>28</v>
      </c>
      <c r="F81" s="222">
        <v>148.4</v>
      </c>
      <c r="G81" s="222">
        <v>148.9</v>
      </c>
      <c r="H81" s="222">
        <v>0.5</v>
      </c>
      <c r="I81" s="197">
        <v>5000</v>
      </c>
      <c r="J81" s="268">
        <f t="shared" si="9"/>
        <v>2500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43930</v>
      </c>
      <c r="D82" s="196" t="s">
        <v>23</v>
      </c>
      <c r="E82" s="222" t="s">
        <v>28</v>
      </c>
      <c r="F82" s="222">
        <v>149.30000000000001</v>
      </c>
      <c r="G82" s="222">
        <v>148.9</v>
      </c>
      <c r="H82" s="222">
        <v>0.6</v>
      </c>
      <c r="I82" s="197">
        <v>5000</v>
      </c>
      <c r="J82" s="268">
        <f t="shared" si="9"/>
        <v>3000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43934</v>
      </c>
      <c r="D83" s="196" t="s">
        <v>16</v>
      </c>
      <c r="E83" s="222" t="s">
        <v>28</v>
      </c>
      <c r="F83" s="222">
        <v>149.5</v>
      </c>
      <c r="G83" s="222">
        <v>149.9</v>
      </c>
      <c r="H83" s="222">
        <v>0.4</v>
      </c>
      <c r="I83" s="197">
        <v>5000</v>
      </c>
      <c r="J83" s="268">
        <f t="shared" si="9"/>
        <v>2000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43936</v>
      </c>
      <c r="D84" s="196" t="s">
        <v>16</v>
      </c>
      <c r="E84" s="222" t="s">
        <v>28</v>
      </c>
      <c r="F84" s="222">
        <v>151.19999999999999</v>
      </c>
      <c r="G84" s="222">
        <v>150.19999999999999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8</v>
      </c>
      <c r="C85" s="195">
        <v>43937</v>
      </c>
      <c r="D85" s="196" t="s">
        <v>16</v>
      </c>
      <c r="E85" s="222" t="s">
        <v>28</v>
      </c>
      <c r="F85" s="222">
        <v>150.69999999999999</v>
      </c>
      <c r="G85" s="222">
        <v>151.69999999999999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43938</v>
      </c>
      <c r="D86" s="196" t="s">
        <v>16</v>
      </c>
      <c r="E86" s="222" t="s">
        <v>28</v>
      </c>
      <c r="F86" s="222">
        <v>153.5</v>
      </c>
      <c r="G86" s="222">
        <v>153.9</v>
      </c>
      <c r="H86" s="222">
        <v>0.4</v>
      </c>
      <c r="I86" s="197">
        <v>5000</v>
      </c>
      <c r="J86" s="268">
        <f t="shared" si="9"/>
        <v>2000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43941</v>
      </c>
      <c r="D87" s="196" t="s">
        <v>16</v>
      </c>
      <c r="E87" s="222" t="s">
        <v>28</v>
      </c>
      <c r="F87" s="222">
        <v>153.30000000000001</v>
      </c>
      <c r="G87" s="222">
        <v>153.80000000000001</v>
      </c>
      <c r="H87" s="222">
        <v>0.5</v>
      </c>
      <c r="I87" s="197">
        <v>5000</v>
      </c>
      <c r="J87" s="268">
        <f t="shared" si="9"/>
        <v>2500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43942</v>
      </c>
      <c r="D88" s="196" t="s">
        <v>16</v>
      </c>
      <c r="E88" s="222" t="s">
        <v>28</v>
      </c>
      <c r="F88" s="222">
        <v>148</v>
      </c>
      <c r="G88" s="222">
        <v>146</v>
      </c>
      <c r="H88" s="274">
        <v>2</v>
      </c>
      <c r="I88" s="197">
        <v>5000</v>
      </c>
      <c r="J88" s="268">
        <f t="shared" si="9"/>
        <v>10000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43943</v>
      </c>
      <c r="D89" s="196" t="s">
        <v>23</v>
      </c>
      <c r="E89" s="222" t="s">
        <v>28</v>
      </c>
      <c r="F89" s="222">
        <v>145.5</v>
      </c>
      <c r="G89" s="222">
        <v>146.5</v>
      </c>
      <c r="H89" s="274">
        <v>-1</v>
      </c>
      <c r="I89" s="197">
        <v>5000</v>
      </c>
      <c r="J89" s="268">
        <f t="shared" si="9"/>
        <v>-5000</v>
      </c>
      <c r="K89" s="185"/>
      <c r="V89" s="183">
        <f t="shared" si="10"/>
        <v>0</v>
      </c>
      <c r="W89" s="183">
        <f t="shared" si="11"/>
        <v>1</v>
      </c>
    </row>
    <row r="90" spans="1:23" x14ac:dyDescent="0.3">
      <c r="A90" s="184"/>
      <c r="B90" s="194">
        <v>13</v>
      </c>
      <c r="C90" s="195">
        <v>43944</v>
      </c>
      <c r="D90" s="196" t="s">
        <v>23</v>
      </c>
      <c r="E90" s="222" t="s">
        <v>28</v>
      </c>
      <c r="F90" s="222">
        <v>151</v>
      </c>
      <c r="G90" s="222">
        <v>146</v>
      </c>
      <c r="H90" s="274">
        <v>2</v>
      </c>
      <c r="I90" s="197">
        <v>5000</v>
      </c>
      <c r="J90" s="268">
        <f t="shared" si="9"/>
        <v>10000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43945</v>
      </c>
      <c r="D91" s="196" t="s">
        <v>23</v>
      </c>
      <c r="E91" s="222" t="s">
        <v>28</v>
      </c>
      <c r="F91" s="222">
        <v>147.30000000000001</v>
      </c>
      <c r="G91" s="222">
        <v>148.30000000000001</v>
      </c>
      <c r="H91" s="274">
        <v>-1</v>
      </c>
      <c r="I91" s="197">
        <v>5000</v>
      </c>
      <c r="J91" s="268">
        <f t="shared" si="9"/>
        <v>-5000</v>
      </c>
      <c r="K91" s="185"/>
      <c r="V91" s="183">
        <f t="shared" si="10"/>
        <v>0</v>
      </c>
      <c r="W91" s="183">
        <f t="shared" si="11"/>
        <v>1</v>
      </c>
    </row>
    <row r="92" spans="1:23" x14ac:dyDescent="0.3">
      <c r="A92" s="184"/>
      <c r="B92" s="194">
        <v>15</v>
      </c>
      <c r="C92" s="195">
        <v>43948</v>
      </c>
      <c r="D92" s="196" t="s">
        <v>23</v>
      </c>
      <c r="E92" s="222" t="s">
        <v>28</v>
      </c>
      <c r="F92" s="223">
        <v>152.19999999999999</v>
      </c>
      <c r="G92" s="222">
        <v>150.19999999999999</v>
      </c>
      <c r="H92" s="274">
        <v>2</v>
      </c>
      <c r="I92" s="197">
        <v>5000</v>
      </c>
      <c r="J92" s="268">
        <f t="shared" si="9"/>
        <v>10000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44010</v>
      </c>
      <c r="D93" s="196" t="s">
        <v>23</v>
      </c>
      <c r="E93" s="222" t="s">
        <v>28</v>
      </c>
      <c r="F93" s="222">
        <v>149.19999999999999</v>
      </c>
      <c r="G93" s="222">
        <v>150.19999999999999</v>
      </c>
      <c r="H93" s="274">
        <v>-1</v>
      </c>
      <c r="I93" s="197">
        <v>5000</v>
      </c>
      <c r="J93" s="268">
        <f t="shared" si="9"/>
        <v>-5000</v>
      </c>
      <c r="K93" s="185"/>
      <c r="V93" s="183">
        <f t="shared" si="10"/>
        <v>0</v>
      </c>
      <c r="W93" s="183">
        <f t="shared" si="11"/>
        <v>1</v>
      </c>
    </row>
    <row r="94" spans="1:23" x14ac:dyDescent="0.3">
      <c r="A94" s="184"/>
      <c r="B94" s="194">
        <v>17</v>
      </c>
      <c r="C94" s="195">
        <v>43950</v>
      </c>
      <c r="D94" s="196" t="s">
        <v>23</v>
      </c>
      <c r="E94" s="222" t="s">
        <v>28</v>
      </c>
      <c r="F94" s="222">
        <v>152</v>
      </c>
      <c r="G94" s="222">
        <v>151.6</v>
      </c>
      <c r="H94" s="274">
        <v>0.4</v>
      </c>
      <c r="I94" s="197">
        <v>5000</v>
      </c>
      <c r="J94" s="268">
        <f t="shared" si="9"/>
        <v>2000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43951</v>
      </c>
      <c r="D95" s="196" t="s">
        <v>23</v>
      </c>
      <c r="E95" s="222" t="s">
        <v>28</v>
      </c>
      <c r="F95" s="222">
        <v>152.19999999999999</v>
      </c>
      <c r="G95" s="222">
        <v>151.19999999999999</v>
      </c>
      <c r="H95" s="274">
        <v>1</v>
      </c>
      <c r="I95" s="197">
        <v>5000</v>
      </c>
      <c r="J95" s="268">
        <f t="shared" si="9"/>
        <v>5000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/>
      <c r="D96" s="196"/>
      <c r="E96" s="222"/>
      <c r="F96" s="222"/>
      <c r="G96" s="222"/>
      <c r="H96" s="274"/>
      <c r="I96" s="197"/>
      <c r="J96" s="268">
        <f t="shared" si="9"/>
        <v>0</v>
      </c>
      <c r="K96" s="185"/>
      <c r="V96" s="183">
        <f t="shared" si="10"/>
        <v>0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34000</v>
      </c>
      <c r="K101" s="185"/>
      <c r="V101" s="183">
        <f>SUM(V78:V100)</f>
        <v>13</v>
      </c>
      <c r="W101" s="183">
        <f>SUM(W78:W100)</f>
        <v>5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800-000000000000}"/>
    <hyperlink ref="B70" r:id="rId2" xr:uid="{00000000-0004-0000-5800-000001000000}"/>
    <hyperlink ref="M4:M5" location="'APRIL 2020'!A1" display="BULLION" xr:uid="{00000000-0004-0000-5800-000002000000}"/>
    <hyperlink ref="B101" r:id="rId3" xr:uid="{00000000-0004-0000-5800-000003000000}"/>
    <hyperlink ref="M8:M9" location="'APRIL 2020'!A86" display="BASE METAL" xr:uid="{00000000-0004-0000-5800-000004000000}"/>
    <hyperlink ref="M1" location="MASTER!A1" display="Back" xr:uid="{00000000-0004-0000-5800-000005000000}"/>
    <hyperlink ref="M6:M7" location="'APRIL 2020'!A54" display="ENERGY" xr:uid="{00000000-0004-0000-5800-000006000000}"/>
  </hyperlinks>
  <pageMargins left="0" right="0" top="0" bottom="0" header="0" footer="0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80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4"/>
      <c r="C1" s="294"/>
      <c r="D1" s="294"/>
      <c r="E1" s="294"/>
      <c r="F1" s="294"/>
      <c r="G1" s="294"/>
      <c r="H1" s="294"/>
      <c r="I1" s="17"/>
    </row>
    <row r="2" spans="1:10" ht="29.4" thickBot="1" x14ac:dyDescent="0.35">
      <c r="A2" s="17" t="s">
        <v>0</v>
      </c>
      <c r="B2" s="292" t="s">
        <v>128</v>
      </c>
      <c r="C2" s="292"/>
      <c r="D2" s="292"/>
      <c r="E2" s="292"/>
      <c r="F2" s="292"/>
      <c r="G2" s="292"/>
      <c r="H2" s="292"/>
      <c r="I2" s="17"/>
      <c r="J2" s="257" t="s">
        <v>872</v>
      </c>
    </row>
    <row r="3" spans="1:10" ht="15.6" x14ac:dyDescent="0.3">
      <c r="A3" s="19"/>
      <c r="B3" s="295" t="s">
        <v>57</v>
      </c>
      <c r="C3" s="295"/>
      <c r="D3" s="295"/>
      <c r="E3" s="295"/>
      <c r="F3" s="295"/>
      <c r="G3" s="295"/>
      <c r="H3" s="295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41487</v>
      </c>
      <c r="C5" s="29" t="s">
        <v>23</v>
      </c>
      <c r="D5" s="36" t="s">
        <v>22</v>
      </c>
      <c r="E5" s="29">
        <v>41500</v>
      </c>
      <c r="F5" s="29">
        <v>41300</v>
      </c>
      <c r="G5" s="29">
        <v>30</v>
      </c>
      <c r="H5" s="29">
        <v>6000</v>
      </c>
      <c r="I5" s="20"/>
    </row>
    <row r="6" spans="1:10" x14ac:dyDescent="0.3">
      <c r="A6" s="20"/>
      <c r="B6" s="35">
        <v>41488</v>
      </c>
      <c r="C6" s="29" t="s">
        <v>23</v>
      </c>
      <c r="D6" s="36" t="s">
        <v>22</v>
      </c>
      <c r="E6" s="29">
        <v>41000</v>
      </c>
      <c r="F6" s="29">
        <v>40800</v>
      </c>
      <c r="G6" s="29">
        <v>30</v>
      </c>
      <c r="H6" s="29">
        <v>6000</v>
      </c>
      <c r="I6" s="20"/>
    </row>
    <row r="7" spans="1:10" x14ac:dyDescent="0.3">
      <c r="A7" s="20"/>
      <c r="B7" s="35">
        <v>41491</v>
      </c>
      <c r="C7" s="29" t="s">
        <v>55</v>
      </c>
      <c r="D7" s="36" t="s">
        <v>22</v>
      </c>
      <c r="E7" s="29">
        <v>42000</v>
      </c>
      <c r="F7" s="29">
        <v>41850</v>
      </c>
      <c r="G7" s="29">
        <v>30</v>
      </c>
      <c r="H7" s="29">
        <v>-4500</v>
      </c>
      <c r="I7" s="20"/>
    </row>
    <row r="8" spans="1:10" x14ac:dyDescent="0.3">
      <c r="A8" s="20"/>
      <c r="B8" s="35">
        <v>41492</v>
      </c>
      <c r="C8" s="29" t="s">
        <v>16</v>
      </c>
      <c r="D8" s="36" t="s">
        <v>22</v>
      </c>
      <c r="E8" s="29">
        <v>41800</v>
      </c>
      <c r="F8" s="29">
        <v>42000</v>
      </c>
      <c r="G8" s="29">
        <v>30</v>
      </c>
      <c r="H8" s="29">
        <v>6000</v>
      </c>
      <c r="I8" s="20"/>
    </row>
    <row r="9" spans="1:10" x14ac:dyDescent="0.3">
      <c r="A9" s="20"/>
      <c r="B9" s="35">
        <v>41493</v>
      </c>
      <c r="C9" s="29" t="s">
        <v>23</v>
      </c>
      <c r="D9" s="36" t="s">
        <v>24</v>
      </c>
      <c r="E9" s="29">
        <v>27500</v>
      </c>
      <c r="F9" s="29">
        <v>27400</v>
      </c>
      <c r="G9" s="29">
        <v>100</v>
      </c>
      <c r="H9" s="29">
        <v>10000</v>
      </c>
      <c r="I9" s="20"/>
    </row>
    <row r="10" spans="1:10" x14ac:dyDescent="0.3">
      <c r="A10" s="20"/>
      <c r="B10" s="35">
        <v>41494</v>
      </c>
      <c r="C10" s="29" t="s">
        <v>23</v>
      </c>
      <c r="D10" s="36" t="s">
        <v>24</v>
      </c>
      <c r="E10" s="29">
        <v>27700</v>
      </c>
      <c r="F10" s="29">
        <v>27650</v>
      </c>
      <c r="G10" s="29">
        <v>100</v>
      </c>
      <c r="H10" s="29">
        <v>5000</v>
      </c>
      <c r="I10" s="20"/>
    </row>
    <row r="11" spans="1:10" x14ac:dyDescent="0.3">
      <c r="A11" s="20"/>
      <c r="B11" s="35">
        <v>41498</v>
      </c>
      <c r="C11" s="29" t="s">
        <v>16</v>
      </c>
      <c r="D11" s="36" t="s">
        <v>24</v>
      </c>
      <c r="E11" s="29">
        <v>28350</v>
      </c>
      <c r="F11" s="29">
        <v>28400</v>
      </c>
      <c r="G11" s="29">
        <v>100</v>
      </c>
      <c r="H11" s="37">
        <v>5000</v>
      </c>
      <c r="I11" s="20"/>
    </row>
    <row r="12" spans="1:10" x14ac:dyDescent="0.3">
      <c r="A12" s="20"/>
      <c r="B12" s="35">
        <v>41499</v>
      </c>
      <c r="C12" s="29" t="s">
        <v>23</v>
      </c>
      <c r="D12" s="36" t="s">
        <v>22</v>
      </c>
      <c r="E12" s="29">
        <v>46000</v>
      </c>
      <c r="F12" s="29">
        <v>46300</v>
      </c>
      <c r="G12" s="29">
        <v>30</v>
      </c>
      <c r="H12" s="37">
        <v>-9000</v>
      </c>
      <c r="I12" s="20"/>
    </row>
    <row r="13" spans="1:10" x14ac:dyDescent="0.3">
      <c r="A13" s="20"/>
      <c r="B13" s="35">
        <v>41500</v>
      </c>
      <c r="C13" s="29" t="s">
        <v>16</v>
      </c>
      <c r="D13" s="36" t="s">
        <v>24</v>
      </c>
      <c r="E13" s="29">
        <v>28820</v>
      </c>
      <c r="F13" s="29">
        <v>28870</v>
      </c>
      <c r="G13" s="29">
        <v>100</v>
      </c>
      <c r="H13" s="37">
        <v>5000</v>
      </c>
      <c r="I13" s="20"/>
    </row>
    <row r="14" spans="1:10" x14ac:dyDescent="0.3">
      <c r="A14" s="20"/>
      <c r="B14" s="35">
        <v>41502</v>
      </c>
      <c r="C14" s="29" t="s">
        <v>16</v>
      </c>
      <c r="D14" s="36" t="s">
        <v>22</v>
      </c>
      <c r="E14" s="29">
        <v>49400</v>
      </c>
      <c r="F14" s="29">
        <v>49600</v>
      </c>
      <c r="G14" s="29">
        <v>30</v>
      </c>
      <c r="H14" s="37">
        <v>6000</v>
      </c>
      <c r="I14" s="20"/>
    </row>
    <row r="15" spans="1:10" x14ac:dyDescent="0.3">
      <c r="A15" s="20"/>
      <c r="B15" s="35">
        <v>41505</v>
      </c>
      <c r="C15" s="29" t="s">
        <v>16</v>
      </c>
      <c r="D15" s="36" t="s">
        <v>22</v>
      </c>
      <c r="E15" s="29">
        <v>50600</v>
      </c>
      <c r="F15" s="29">
        <v>50800</v>
      </c>
      <c r="G15" s="29">
        <v>30</v>
      </c>
      <c r="H15" s="37">
        <v>6000</v>
      </c>
      <c r="I15" s="20"/>
    </row>
    <row r="16" spans="1:10" x14ac:dyDescent="0.3">
      <c r="A16" s="20"/>
      <c r="B16" s="35">
        <v>41506</v>
      </c>
      <c r="C16" s="29" t="s">
        <v>23</v>
      </c>
      <c r="D16" s="36" t="s">
        <v>24</v>
      </c>
      <c r="E16" s="29">
        <v>30800</v>
      </c>
      <c r="F16" s="29">
        <v>30700</v>
      </c>
      <c r="G16" s="29">
        <v>100</v>
      </c>
      <c r="H16" s="37">
        <v>10000</v>
      </c>
      <c r="I16" s="20"/>
    </row>
    <row r="17" spans="1:9" x14ac:dyDescent="0.3">
      <c r="A17" s="20"/>
      <c r="B17" s="35">
        <v>41507</v>
      </c>
      <c r="C17" s="29" t="s">
        <v>16</v>
      </c>
      <c r="D17" s="36" t="s">
        <v>24</v>
      </c>
      <c r="E17" s="29">
        <v>30900</v>
      </c>
      <c r="F17" s="29">
        <v>31000</v>
      </c>
      <c r="G17" s="29">
        <v>100</v>
      </c>
      <c r="H17" s="37">
        <v>10000</v>
      </c>
      <c r="I17" s="20"/>
    </row>
    <row r="18" spans="1:9" x14ac:dyDescent="0.3">
      <c r="A18" s="20"/>
      <c r="B18" s="35">
        <v>41508</v>
      </c>
      <c r="C18" s="29" t="s">
        <v>16</v>
      </c>
      <c r="D18" s="36" t="s">
        <v>22</v>
      </c>
      <c r="E18" s="29">
        <v>51500</v>
      </c>
      <c r="F18" s="29">
        <v>51800</v>
      </c>
      <c r="G18" s="29">
        <v>30</v>
      </c>
      <c r="H18" s="37">
        <v>9000</v>
      </c>
      <c r="I18" s="20"/>
    </row>
    <row r="19" spans="1:9" x14ac:dyDescent="0.3">
      <c r="A19" s="20"/>
      <c r="B19" s="35">
        <v>41509</v>
      </c>
      <c r="C19" s="29" t="s">
        <v>16</v>
      </c>
      <c r="D19" s="36" t="s">
        <v>24</v>
      </c>
      <c r="E19" s="29">
        <v>31400</v>
      </c>
      <c r="F19" s="29">
        <v>31300</v>
      </c>
      <c r="G19" s="29">
        <v>100</v>
      </c>
      <c r="H19" s="37">
        <v>-10000</v>
      </c>
      <c r="I19" s="20"/>
    </row>
    <row r="20" spans="1:9" x14ac:dyDescent="0.3">
      <c r="A20" s="20"/>
      <c r="B20" s="35">
        <v>41512</v>
      </c>
      <c r="C20" s="29" t="s">
        <v>16</v>
      </c>
      <c r="D20" s="36" t="s">
        <v>22</v>
      </c>
      <c r="E20" s="29">
        <v>53800</v>
      </c>
      <c r="F20" s="29">
        <v>54000</v>
      </c>
      <c r="G20" s="29">
        <v>30</v>
      </c>
      <c r="H20" s="37">
        <v>6000</v>
      </c>
      <c r="I20" s="20"/>
    </row>
    <row r="21" spans="1:9" x14ac:dyDescent="0.3">
      <c r="A21" s="20"/>
      <c r="B21" s="35">
        <v>41513</v>
      </c>
      <c r="C21" s="29" t="s">
        <v>16</v>
      </c>
      <c r="D21" s="36" t="s">
        <v>24</v>
      </c>
      <c r="E21" s="29">
        <v>32500</v>
      </c>
      <c r="F21" s="29">
        <v>32600</v>
      </c>
      <c r="G21" s="29">
        <v>100</v>
      </c>
      <c r="H21" s="37">
        <v>10000</v>
      </c>
      <c r="I21" s="20"/>
    </row>
    <row r="22" spans="1:9" x14ac:dyDescent="0.3">
      <c r="A22" s="20"/>
      <c r="B22" s="35">
        <v>41514</v>
      </c>
      <c r="C22" s="29" t="s">
        <v>23</v>
      </c>
      <c r="D22" s="36" t="s">
        <v>22</v>
      </c>
      <c r="E22" s="29">
        <v>59000</v>
      </c>
      <c r="F22" s="29">
        <v>58600</v>
      </c>
      <c r="G22" s="29">
        <v>30</v>
      </c>
      <c r="H22" s="37">
        <v>12000</v>
      </c>
      <c r="I22" s="20"/>
    </row>
    <row r="23" spans="1:9" x14ac:dyDescent="0.3">
      <c r="A23" s="20"/>
      <c r="B23" s="35">
        <v>41515</v>
      </c>
      <c r="C23" s="29" t="s">
        <v>23</v>
      </c>
      <c r="D23" s="36" t="s">
        <v>24</v>
      </c>
      <c r="E23" s="29">
        <v>33700</v>
      </c>
      <c r="F23" s="29">
        <v>33600</v>
      </c>
      <c r="G23" s="29">
        <v>100</v>
      </c>
      <c r="H23" s="37">
        <v>10000</v>
      </c>
      <c r="I23" s="20"/>
    </row>
    <row r="24" spans="1:9" x14ac:dyDescent="0.3">
      <c r="A24" s="20"/>
      <c r="B24" s="35">
        <v>41516</v>
      </c>
      <c r="C24" s="29" t="s">
        <v>23</v>
      </c>
      <c r="D24" s="36" t="s">
        <v>24</v>
      </c>
      <c r="E24" s="29">
        <v>33200</v>
      </c>
      <c r="F24" s="29">
        <v>33100</v>
      </c>
      <c r="G24" s="29">
        <v>100</v>
      </c>
      <c r="H24" s="37">
        <v>10000</v>
      </c>
      <c r="I24" s="20"/>
    </row>
    <row r="25" spans="1:9" x14ac:dyDescent="0.3">
      <c r="A25" s="20"/>
      <c r="B25" s="35"/>
      <c r="C25" s="29"/>
      <c r="D25" s="36"/>
      <c r="E25" s="29"/>
      <c r="F25" s="29"/>
      <c r="G25" s="29"/>
      <c r="H25" s="38">
        <v>108500</v>
      </c>
      <c r="I25" s="20"/>
    </row>
    <row r="26" spans="1:9" x14ac:dyDescent="0.3">
      <c r="A26" s="20"/>
      <c r="B26" s="35"/>
      <c r="C26" s="37"/>
      <c r="D26" s="37"/>
      <c r="E26" s="37"/>
      <c r="F26" s="37"/>
      <c r="G26" s="37"/>
      <c r="H26" s="37"/>
      <c r="I26" s="20"/>
    </row>
    <row r="27" spans="1:9" x14ac:dyDescent="0.3">
      <c r="A27" s="20"/>
      <c r="B27" s="35"/>
      <c r="C27" s="45"/>
      <c r="D27" s="45"/>
      <c r="E27" s="45"/>
      <c r="F27" s="45"/>
      <c r="G27" s="45"/>
      <c r="H27" s="45"/>
      <c r="I27" s="20"/>
    </row>
    <row r="28" spans="1:9" ht="15.6" x14ac:dyDescent="0.3">
      <c r="A28" s="20"/>
      <c r="B28" s="35"/>
      <c r="C28" s="45"/>
      <c r="D28" s="45"/>
      <c r="E28" s="45"/>
      <c r="F28" s="45"/>
      <c r="G28" s="45"/>
      <c r="H28" s="46"/>
      <c r="I28" s="20"/>
    </row>
    <row r="29" spans="1:9" x14ac:dyDescent="0.3">
      <c r="A29" s="20"/>
      <c r="B29" s="35"/>
      <c r="C29" s="18"/>
      <c r="D29" s="18"/>
      <c r="E29" s="18"/>
      <c r="F29" s="18"/>
      <c r="G29" s="18"/>
      <c r="H29" s="18"/>
      <c r="I29" s="20"/>
    </row>
    <row r="30" spans="1:9" ht="15.6" x14ac:dyDescent="0.3">
      <c r="A30" s="20"/>
      <c r="B30" s="295" t="s">
        <v>58</v>
      </c>
      <c r="C30" s="295"/>
      <c r="D30" s="295"/>
      <c r="E30" s="295"/>
      <c r="F30" s="295"/>
      <c r="G30" s="295"/>
      <c r="H30" s="295"/>
      <c r="I30" s="20"/>
    </row>
    <row r="31" spans="1:9" x14ac:dyDescent="0.3">
      <c r="A31" s="20"/>
      <c r="B31" s="35">
        <v>41487</v>
      </c>
      <c r="C31" s="29" t="s">
        <v>23</v>
      </c>
      <c r="D31" s="36" t="s">
        <v>25</v>
      </c>
      <c r="E31" s="29">
        <v>6420</v>
      </c>
      <c r="F31" s="29">
        <v>6440</v>
      </c>
      <c r="G31" s="29">
        <v>100</v>
      </c>
      <c r="H31" s="29">
        <v>-2000</v>
      </c>
      <c r="I31" s="20"/>
    </row>
    <row r="32" spans="1:9" x14ac:dyDescent="0.3">
      <c r="A32" s="20"/>
      <c r="B32" s="35">
        <v>41488</v>
      </c>
      <c r="C32" s="29" t="s">
        <v>23</v>
      </c>
      <c r="D32" s="36" t="s">
        <v>25</v>
      </c>
      <c r="E32" s="29">
        <v>6610</v>
      </c>
      <c r="F32" s="29">
        <v>6570</v>
      </c>
      <c r="G32" s="29">
        <v>100</v>
      </c>
      <c r="H32" s="29">
        <v>4000</v>
      </c>
      <c r="I32" s="20"/>
    </row>
    <row r="33" spans="1:9" x14ac:dyDescent="0.3">
      <c r="A33" s="20"/>
      <c r="B33" s="35">
        <v>41491</v>
      </c>
      <c r="C33" s="29" t="s">
        <v>23</v>
      </c>
      <c r="D33" s="36" t="s">
        <v>25</v>
      </c>
      <c r="E33" s="29">
        <v>6530</v>
      </c>
      <c r="F33" s="29">
        <v>6500</v>
      </c>
      <c r="G33" s="29">
        <v>100</v>
      </c>
      <c r="H33" s="29">
        <v>3000</v>
      </c>
      <c r="I33" s="20"/>
    </row>
    <row r="34" spans="1:9" x14ac:dyDescent="0.3">
      <c r="A34" s="20"/>
      <c r="B34" s="35">
        <v>41492</v>
      </c>
      <c r="C34" s="29" t="s">
        <v>16</v>
      </c>
      <c r="D34" s="36" t="s">
        <v>25</v>
      </c>
      <c r="E34" s="29">
        <v>6570</v>
      </c>
      <c r="F34" s="29">
        <v>6590</v>
      </c>
      <c r="G34" s="29">
        <v>100</v>
      </c>
      <c r="H34" s="29">
        <v>2000</v>
      </c>
      <c r="I34" s="20"/>
    </row>
    <row r="35" spans="1:9" x14ac:dyDescent="0.3">
      <c r="A35" s="20"/>
      <c r="B35" s="35">
        <v>41493</v>
      </c>
      <c r="C35" s="29" t="s">
        <v>23</v>
      </c>
      <c r="D35" s="36" t="s">
        <v>25</v>
      </c>
      <c r="E35" s="29">
        <v>6470</v>
      </c>
      <c r="F35" s="29">
        <v>6450</v>
      </c>
      <c r="G35" s="29">
        <v>100</v>
      </c>
      <c r="H35" s="29">
        <v>2000</v>
      </c>
      <c r="I35" s="20"/>
    </row>
    <row r="36" spans="1:9" x14ac:dyDescent="0.3">
      <c r="A36" s="20"/>
      <c r="B36" s="35">
        <v>41494</v>
      </c>
      <c r="C36" s="29" t="s">
        <v>23</v>
      </c>
      <c r="D36" s="36" t="s">
        <v>25</v>
      </c>
      <c r="E36" s="29">
        <v>6400</v>
      </c>
      <c r="F36" s="29">
        <v>6360</v>
      </c>
      <c r="G36" s="29">
        <v>100</v>
      </c>
      <c r="H36" s="29">
        <v>4000</v>
      </c>
      <c r="I36" s="20"/>
    </row>
    <row r="37" spans="1:9" x14ac:dyDescent="0.3">
      <c r="A37" s="20"/>
      <c r="B37" s="35">
        <v>41498</v>
      </c>
      <c r="C37" s="39" t="s">
        <v>16</v>
      </c>
      <c r="D37" s="36" t="s">
        <v>25</v>
      </c>
      <c r="E37" s="39">
        <v>6450</v>
      </c>
      <c r="F37" s="39">
        <v>6500</v>
      </c>
      <c r="G37" s="39">
        <v>100</v>
      </c>
      <c r="H37" s="39">
        <v>5000</v>
      </c>
      <c r="I37" s="20"/>
    </row>
    <row r="38" spans="1:9" x14ac:dyDescent="0.3">
      <c r="A38" s="20"/>
      <c r="B38" s="35">
        <v>41499</v>
      </c>
      <c r="C38" s="29" t="s">
        <v>16</v>
      </c>
      <c r="D38" s="36" t="s">
        <v>25</v>
      </c>
      <c r="E38" s="29">
        <v>6530</v>
      </c>
      <c r="F38" s="29">
        <v>6515</v>
      </c>
      <c r="G38" s="29">
        <v>100</v>
      </c>
      <c r="H38" s="37">
        <v>-1500</v>
      </c>
      <c r="I38" s="20"/>
    </row>
    <row r="39" spans="1:9" x14ac:dyDescent="0.3">
      <c r="A39" s="20"/>
      <c r="B39" s="35">
        <v>41500</v>
      </c>
      <c r="C39" s="29" t="s">
        <v>23</v>
      </c>
      <c r="D39" s="36" t="s">
        <v>25</v>
      </c>
      <c r="E39" s="29">
        <v>6540</v>
      </c>
      <c r="F39" s="29">
        <v>6520</v>
      </c>
      <c r="G39" s="29">
        <v>100</v>
      </c>
      <c r="H39" s="37">
        <v>2000</v>
      </c>
      <c r="I39" s="20"/>
    </row>
    <row r="40" spans="1:9" x14ac:dyDescent="0.3">
      <c r="A40" s="20"/>
      <c r="B40" s="35">
        <v>41502</v>
      </c>
      <c r="C40" s="29" t="s">
        <v>16</v>
      </c>
      <c r="D40" s="36" t="s">
        <v>25</v>
      </c>
      <c r="E40" s="29">
        <v>6650</v>
      </c>
      <c r="F40" s="29">
        <v>6670</v>
      </c>
      <c r="G40" s="29">
        <v>100</v>
      </c>
      <c r="H40" s="37">
        <v>2000</v>
      </c>
      <c r="I40" s="20"/>
    </row>
    <row r="41" spans="1:9" x14ac:dyDescent="0.3">
      <c r="A41" s="20"/>
      <c r="B41" s="35">
        <v>41505</v>
      </c>
      <c r="C41" s="29" t="s">
        <v>23</v>
      </c>
      <c r="D41" s="36" t="s">
        <v>25</v>
      </c>
      <c r="E41" s="29">
        <v>6700</v>
      </c>
      <c r="F41" s="29">
        <v>6670</v>
      </c>
      <c r="G41" s="29">
        <v>100</v>
      </c>
      <c r="H41" s="37">
        <v>3000</v>
      </c>
      <c r="I41" s="20"/>
    </row>
    <row r="42" spans="1:9" x14ac:dyDescent="0.3">
      <c r="A42" s="20"/>
      <c r="B42" s="35">
        <v>41506</v>
      </c>
      <c r="C42" s="29" t="s">
        <v>23</v>
      </c>
      <c r="D42" s="36" t="s">
        <v>25</v>
      </c>
      <c r="E42" s="29">
        <v>6760</v>
      </c>
      <c r="F42" s="29">
        <v>6740</v>
      </c>
      <c r="G42" s="29">
        <v>100</v>
      </c>
      <c r="H42" s="37">
        <v>2000</v>
      </c>
      <c r="I42" s="20"/>
    </row>
    <row r="43" spans="1:9" x14ac:dyDescent="0.3">
      <c r="A43" s="20"/>
      <c r="B43" s="35">
        <v>41507</v>
      </c>
      <c r="C43" s="29" t="s">
        <v>16</v>
      </c>
      <c r="D43" s="36" t="s">
        <v>25</v>
      </c>
      <c r="E43" s="29">
        <v>6680</v>
      </c>
      <c r="F43" s="29">
        <v>6720</v>
      </c>
      <c r="G43" s="29">
        <v>100</v>
      </c>
      <c r="H43" s="37">
        <v>4000</v>
      </c>
      <c r="I43" s="20"/>
    </row>
    <row r="44" spans="1:9" x14ac:dyDescent="0.3">
      <c r="A44" s="20"/>
      <c r="B44" s="35">
        <v>41508</v>
      </c>
      <c r="C44" s="29" t="s">
        <v>16</v>
      </c>
      <c r="D44" s="36" t="s">
        <v>25</v>
      </c>
      <c r="E44" s="29">
        <v>6760</v>
      </c>
      <c r="F44" s="29">
        <v>6780</v>
      </c>
      <c r="G44" s="29">
        <v>100</v>
      </c>
      <c r="H44" s="37">
        <v>2000</v>
      </c>
      <c r="I44" s="20"/>
    </row>
    <row r="45" spans="1:9" x14ac:dyDescent="0.3">
      <c r="A45" s="20"/>
      <c r="B45" s="35">
        <v>41509</v>
      </c>
      <c r="C45" s="29" t="s">
        <v>23</v>
      </c>
      <c r="D45" s="36" t="s">
        <v>25</v>
      </c>
      <c r="E45" s="29">
        <v>6780</v>
      </c>
      <c r="F45" s="29">
        <v>6760</v>
      </c>
      <c r="G45" s="29">
        <v>100</v>
      </c>
      <c r="H45" s="37">
        <v>2000</v>
      </c>
      <c r="I45" s="20"/>
    </row>
    <row r="46" spans="1:9" x14ac:dyDescent="0.3">
      <c r="A46" s="20"/>
      <c r="B46" s="35">
        <v>41512</v>
      </c>
      <c r="C46" s="29" t="s">
        <v>23</v>
      </c>
      <c r="D46" s="36" t="s">
        <v>25</v>
      </c>
      <c r="E46" s="29">
        <v>6880</v>
      </c>
      <c r="F46" s="29">
        <v>6860</v>
      </c>
      <c r="G46" s="29">
        <v>100</v>
      </c>
      <c r="H46" s="37">
        <v>2000</v>
      </c>
      <c r="I46" s="20"/>
    </row>
    <row r="47" spans="1:9" x14ac:dyDescent="0.3">
      <c r="A47" s="20"/>
      <c r="B47" s="35">
        <v>41513</v>
      </c>
      <c r="C47" s="29" t="s">
        <v>16</v>
      </c>
      <c r="D47" s="36" t="s">
        <v>25</v>
      </c>
      <c r="E47" s="29">
        <v>6980</v>
      </c>
      <c r="F47" s="29">
        <v>7000</v>
      </c>
      <c r="G47" s="29">
        <v>100</v>
      </c>
      <c r="H47" s="37">
        <v>2000</v>
      </c>
      <c r="I47" s="20"/>
    </row>
    <row r="48" spans="1:9" x14ac:dyDescent="0.3">
      <c r="A48" s="20"/>
      <c r="B48" s="35">
        <v>41514</v>
      </c>
      <c r="C48" s="29" t="s">
        <v>23</v>
      </c>
      <c r="D48" s="36" t="s">
        <v>25</v>
      </c>
      <c r="E48" s="29">
        <v>7625</v>
      </c>
      <c r="F48" s="29">
        <v>7605</v>
      </c>
      <c r="G48" s="29">
        <v>100</v>
      </c>
      <c r="H48" s="37">
        <v>2000</v>
      </c>
      <c r="I48" s="20"/>
    </row>
    <row r="49" spans="1:9" x14ac:dyDescent="0.3">
      <c r="A49" s="20"/>
      <c r="B49" s="35">
        <v>41515</v>
      </c>
      <c r="C49" s="29" t="s">
        <v>23</v>
      </c>
      <c r="D49" s="36" t="s">
        <v>25</v>
      </c>
      <c r="E49" s="29">
        <v>7440</v>
      </c>
      <c r="F49" s="29">
        <v>7420</v>
      </c>
      <c r="G49" s="29">
        <v>100</v>
      </c>
      <c r="H49" s="37">
        <v>2000</v>
      </c>
      <c r="I49" s="20"/>
    </row>
    <row r="50" spans="1:9" x14ac:dyDescent="0.3">
      <c r="A50" s="20"/>
      <c r="B50" s="35">
        <v>41516</v>
      </c>
      <c r="C50" s="37" t="s">
        <v>16</v>
      </c>
      <c r="D50" s="36" t="s">
        <v>25</v>
      </c>
      <c r="E50" s="37">
        <v>7260</v>
      </c>
      <c r="F50" s="37">
        <v>7230</v>
      </c>
      <c r="G50" s="37">
        <v>100</v>
      </c>
      <c r="H50" s="37">
        <v>-3000</v>
      </c>
      <c r="I50" s="20"/>
    </row>
    <row r="51" spans="1:9" x14ac:dyDescent="0.3">
      <c r="A51" s="20"/>
      <c r="B51" s="35"/>
      <c r="C51" s="37"/>
      <c r="D51" s="36"/>
      <c r="E51" s="37"/>
      <c r="F51" s="37"/>
      <c r="G51" s="37"/>
      <c r="H51" s="38">
        <v>38500</v>
      </c>
      <c r="I51" s="20"/>
    </row>
    <row r="52" spans="1:9" x14ac:dyDescent="0.3">
      <c r="A52" s="20"/>
      <c r="B52" s="35"/>
      <c r="C52" s="37"/>
      <c r="D52" s="36"/>
      <c r="E52" s="37"/>
      <c r="F52" s="37"/>
      <c r="G52" s="37"/>
      <c r="H52" s="44"/>
      <c r="I52" s="20"/>
    </row>
    <row r="53" spans="1:9" x14ac:dyDescent="0.3">
      <c r="A53" s="20"/>
      <c r="B53" s="35"/>
      <c r="C53" s="45"/>
      <c r="D53" s="36"/>
      <c r="E53" s="45"/>
      <c r="F53" s="45"/>
      <c r="G53" s="45"/>
      <c r="H53" s="45"/>
      <c r="I53" s="20"/>
    </row>
    <row r="54" spans="1:9" ht="15.6" x14ac:dyDescent="0.3">
      <c r="A54" s="20"/>
      <c r="B54" s="35"/>
      <c r="C54" s="18"/>
      <c r="D54" s="18"/>
      <c r="E54" s="18"/>
      <c r="F54" s="18"/>
      <c r="G54" s="18"/>
      <c r="H54" s="46"/>
      <c r="I54" s="20"/>
    </row>
    <row r="55" spans="1:9" x14ac:dyDescent="0.3">
      <c r="A55" s="20"/>
      <c r="B55" s="35"/>
      <c r="C55" s="18"/>
      <c r="D55" s="18"/>
      <c r="E55" s="18"/>
      <c r="F55" s="18"/>
      <c r="G55" s="18"/>
      <c r="H55" s="18"/>
      <c r="I55" s="20"/>
    </row>
    <row r="56" spans="1:9" ht="15.6" x14ac:dyDescent="0.3">
      <c r="A56" s="20"/>
      <c r="B56" s="295" t="s">
        <v>59</v>
      </c>
      <c r="C56" s="295"/>
      <c r="D56" s="295"/>
      <c r="E56" s="295"/>
      <c r="F56" s="295"/>
      <c r="G56" s="295"/>
      <c r="H56" s="295"/>
      <c r="I56" s="20"/>
    </row>
    <row r="57" spans="1:9" x14ac:dyDescent="0.3">
      <c r="A57" s="20"/>
      <c r="B57" s="35">
        <v>41487</v>
      </c>
      <c r="C57" s="29" t="s">
        <v>16</v>
      </c>
      <c r="D57" s="36" t="s">
        <v>29</v>
      </c>
      <c r="E57" s="29">
        <v>421</v>
      </c>
      <c r="F57" s="29">
        <v>424</v>
      </c>
      <c r="G57" s="29">
        <v>1000</v>
      </c>
      <c r="H57" s="29">
        <v>3000</v>
      </c>
      <c r="I57" s="20"/>
    </row>
    <row r="58" spans="1:9" x14ac:dyDescent="0.3">
      <c r="A58" s="20"/>
      <c r="B58" s="35">
        <v>41488</v>
      </c>
      <c r="C58" s="29" t="s">
        <v>23</v>
      </c>
      <c r="D58" s="36" t="s">
        <v>29</v>
      </c>
      <c r="E58" s="29">
        <v>423</v>
      </c>
      <c r="F58" s="29">
        <v>427</v>
      </c>
      <c r="G58" s="29">
        <v>1000</v>
      </c>
      <c r="H58" s="29">
        <v>-4000</v>
      </c>
      <c r="I58" s="20"/>
    </row>
    <row r="59" spans="1:9" x14ac:dyDescent="0.3">
      <c r="A59" s="20"/>
      <c r="B59" s="35">
        <v>41491</v>
      </c>
      <c r="C59" s="29" t="s">
        <v>16</v>
      </c>
      <c r="D59" s="36" t="s">
        <v>27</v>
      </c>
      <c r="E59" s="29">
        <v>129</v>
      </c>
      <c r="F59" s="29">
        <v>129.5</v>
      </c>
      <c r="G59" s="29">
        <v>5000</v>
      </c>
      <c r="H59" s="29">
        <v>2500</v>
      </c>
      <c r="I59" s="20"/>
    </row>
    <row r="60" spans="1:9" x14ac:dyDescent="0.3">
      <c r="A60" s="20"/>
      <c r="B60" s="35">
        <v>41492</v>
      </c>
      <c r="C60" s="29" t="s">
        <v>16</v>
      </c>
      <c r="D60" s="36" t="s">
        <v>29</v>
      </c>
      <c r="E60" s="29">
        <v>432</v>
      </c>
      <c r="F60" s="29">
        <v>436</v>
      </c>
      <c r="G60" s="29">
        <v>1000</v>
      </c>
      <c r="H60" s="29">
        <v>4000</v>
      </c>
      <c r="I60" s="20"/>
    </row>
    <row r="61" spans="1:9" x14ac:dyDescent="0.3">
      <c r="A61" s="20"/>
      <c r="B61" s="35">
        <v>41493</v>
      </c>
      <c r="C61" s="29" t="s">
        <v>23</v>
      </c>
      <c r="D61" s="36" t="s">
        <v>28</v>
      </c>
      <c r="E61" s="29">
        <v>112.5</v>
      </c>
      <c r="F61" s="29">
        <v>112</v>
      </c>
      <c r="G61" s="29">
        <v>5000</v>
      </c>
      <c r="H61" s="29">
        <v>2500</v>
      </c>
      <c r="I61" s="20"/>
    </row>
    <row r="62" spans="1:9" x14ac:dyDescent="0.3">
      <c r="A62" s="20"/>
      <c r="B62" s="35">
        <v>41494</v>
      </c>
      <c r="C62" s="29" t="s">
        <v>16</v>
      </c>
      <c r="D62" s="36" t="s">
        <v>28</v>
      </c>
      <c r="E62" s="29">
        <v>113</v>
      </c>
      <c r="F62" s="29">
        <v>113.5</v>
      </c>
      <c r="G62" s="29">
        <v>5000</v>
      </c>
      <c r="H62" s="29">
        <v>2500</v>
      </c>
      <c r="I62" s="20"/>
    </row>
    <row r="63" spans="1:9" x14ac:dyDescent="0.3">
      <c r="A63" s="20"/>
      <c r="B63" s="35">
        <v>41498</v>
      </c>
      <c r="C63" s="29" t="s">
        <v>16</v>
      </c>
      <c r="D63" s="36" t="s">
        <v>28</v>
      </c>
      <c r="E63" s="29">
        <v>116</v>
      </c>
      <c r="F63" s="29">
        <v>117</v>
      </c>
      <c r="G63" s="29">
        <v>5000</v>
      </c>
      <c r="H63" s="37">
        <v>5000</v>
      </c>
      <c r="I63" s="20"/>
    </row>
    <row r="64" spans="1:9" x14ac:dyDescent="0.3">
      <c r="A64" s="20"/>
      <c r="B64" s="35">
        <v>41499</v>
      </c>
      <c r="C64" s="29" t="s">
        <v>16</v>
      </c>
      <c r="D64" s="36" t="s">
        <v>29</v>
      </c>
      <c r="E64" s="29">
        <v>448</v>
      </c>
      <c r="F64" s="29">
        <v>450</v>
      </c>
      <c r="G64" s="29">
        <v>1000</v>
      </c>
      <c r="H64" s="37">
        <v>2000</v>
      </c>
      <c r="I64" s="20"/>
    </row>
    <row r="65" spans="1:9" x14ac:dyDescent="0.3">
      <c r="A65" s="20"/>
      <c r="B65" s="35">
        <v>41500</v>
      </c>
      <c r="C65" s="29" t="s">
        <v>23</v>
      </c>
      <c r="D65" s="29" t="s">
        <v>27</v>
      </c>
      <c r="E65" s="29">
        <v>133.25</v>
      </c>
      <c r="F65" s="29">
        <v>132.75</v>
      </c>
      <c r="G65" s="29">
        <v>5000</v>
      </c>
      <c r="H65" s="37">
        <v>2500</v>
      </c>
      <c r="I65" s="20"/>
    </row>
    <row r="66" spans="1:9" x14ac:dyDescent="0.3">
      <c r="A66" s="20"/>
      <c r="B66" s="35">
        <v>41502</v>
      </c>
      <c r="C66" s="39" t="s">
        <v>23</v>
      </c>
      <c r="D66" s="40" t="s">
        <v>28</v>
      </c>
      <c r="E66" s="39">
        <v>121</v>
      </c>
      <c r="F66" s="39">
        <v>121.5</v>
      </c>
      <c r="G66" s="39">
        <v>5000</v>
      </c>
      <c r="H66" s="41">
        <v>-2500</v>
      </c>
      <c r="I66" s="20"/>
    </row>
    <row r="67" spans="1:9" x14ac:dyDescent="0.3">
      <c r="A67" s="20"/>
      <c r="B67" s="35">
        <v>41505</v>
      </c>
      <c r="C67" s="29" t="s">
        <v>16</v>
      </c>
      <c r="D67" s="36" t="s">
        <v>28</v>
      </c>
      <c r="E67" s="29">
        <v>123</v>
      </c>
      <c r="F67" s="29">
        <v>124</v>
      </c>
      <c r="G67" s="29">
        <v>5000</v>
      </c>
      <c r="H67" s="37">
        <v>5000</v>
      </c>
      <c r="I67" s="20"/>
    </row>
    <row r="68" spans="1:9" x14ac:dyDescent="0.3">
      <c r="A68" s="20"/>
      <c r="B68" s="35">
        <v>41506</v>
      </c>
      <c r="C68" s="29" t="s">
        <v>23</v>
      </c>
      <c r="D68" s="36" t="s">
        <v>27</v>
      </c>
      <c r="E68" s="29">
        <v>141</v>
      </c>
      <c r="F68" s="29">
        <v>140</v>
      </c>
      <c r="G68" s="29">
        <v>5000</v>
      </c>
      <c r="H68" s="37">
        <v>5000</v>
      </c>
      <c r="I68" s="20"/>
    </row>
    <row r="69" spans="1:9" x14ac:dyDescent="0.3">
      <c r="A69" s="20"/>
      <c r="B69" s="35">
        <v>41507</v>
      </c>
      <c r="C69" s="29" t="s">
        <v>16</v>
      </c>
      <c r="D69" s="36" t="s">
        <v>29</v>
      </c>
      <c r="E69" s="29">
        <v>465</v>
      </c>
      <c r="F69" s="29">
        <v>469</v>
      </c>
      <c r="G69" s="29">
        <v>1000</v>
      </c>
      <c r="H69" s="37">
        <v>4000</v>
      </c>
      <c r="I69" s="20"/>
    </row>
    <row r="70" spans="1:9" x14ac:dyDescent="0.3">
      <c r="A70" s="20"/>
      <c r="B70" s="35">
        <v>41508</v>
      </c>
      <c r="C70" s="29" t="s">
        <v>16</v>
      </c>
      <c r="D70" s="36" t="s">
        <v>28</v>
      </c>
      <c r="E70" s="29">
        <v>126.5</v>
      </c>
      <c r="F70" s="29">
        <v>127</v>
      </c>
      <c r="G70" s="29">
        <v>5000</v>
      </c>
      <c r="H70" s="37">
        <v>2500</v>
      </c>
      <c r="I70" s="20"/>
    </row>
    <row r="71" spans="1:9" x14ac:dyDescent="0.3">
      <c r="A71" s="20"/>
      <c r="B71" s="35">
        <v>41509</v>
      </c>
      <c r="C71" s="29" t="s">
        <v>23</v>
      </c>
      <c r="D71" s="36" t="s">
        <v>27</v>
      </c>
      <c r="E71" s="29">
        <v>142</v>
      </c>
      <c r="F71" s="29">
        <v>141.5</v>
      </c>
      <c r="G71" s="29">
        <v>5000</v>
      </c>
      <c r="H71" s="37">
        <v>2500</v>
      </c>
      <c r="I71" s="20"/>
    </row>
    <row r="72" spans="1:9" x14ac:dyDescent="0.3">
      <c r="A72" s="20"/>
      <c r="B72" s="35">
        <v>41512</v>
      </c>
      <c r="C72" s="29" t="s">
        <v>16</v>
      </c>
      <c r="D72" s="29" t="s">
        <v>29</v>
      </c>
      <c r="E72" s="29">
        <v>479</v>
      </c>
      <c r="F72" s="29">
        <v>477</v>
      </c>
      <c r="G72" s="29">
        <v>1000</v>
      </c>
      <c r="H72" s="37">
        <v>-2000</v>
      </c>
      <c r="I72" s="20"/>
    </row>
    <row r="73" spans="1:9" x14ac:dyDescent="0.3">
      <c r="A73" s="20"/>
      <c r="B73" s="35">
        <v>41513</v>
      </c>
      <c r="C73" s="29" t="s">
        <v>16</v>
      </c>
      <c r="D73" s="36" t="s">
        <v>28</v>
      </c>
      <c r="E73" s="29">
        <v>127</v>
      </c>
      <c r="F73" s="29">
        <v>128</v>
      </c>
      <c r="G73" s="29">
        <v>5000</v>
      </c>
      <c r="H73" s="37">
        <v>5000</v>
      </c>
      <c r="I73" s="20"/>
    </row>
    <row r="74" spans="1:9" x14ac:dyDescent="0.3">
      <c r="A74" s="20"/>
      <c r="B74" s="35">
        <v>41514</v>
      </c>
      <c r="C74" s="29" t="s">
        <v>23</v>
      </c>
      <c r="D74" s="36" t="s">
        <v>28</v>
      </c>
      <c r="E74" s="29">
        <v>134</v>
      </c>
      <c r="F74" s="29">
        <v>133</v>
      </c>
      <c r="G74" s="29">
        <v>5000</v>
      </c>
      <c r="H74" s="37">
        <v>5000</v>
      </c>
      <c r="I74" s="20"/>
    </row>
    <row r="75" spans="1:9" x14ac:dyDescent="0.3">
      <c r="A75" s="20"/>
      <c r="B75" s="35">
        <v>41515</v>
      </c>
      <c r="C75" s="29" t="s">
        <v>16</v>
      </c>
      <c r="D75" s="36" t="s">
        <v>29</v>
      </c>
      <c r="E75" s="29">
        <v>491</v>
      </c>
      <c r="F75" s="29">
        <v>494</v>
      </c>
      <c r="G75" s="29">
        <v>1000</v>
      </c>
      <c r="H75" s="37">
        <v>3000</v>
      </c>
      <c r="I75" s="20"/>
    </row>
    <row r="76" spans="1:9" x14ac:dyDescent="0.3">
      <c r="A76" s="20"/>
      <c r="B76" s="35">
        <v>41516</v>
      </c>
      <c r="C76" s="29" t="s">
        <v>23</v>
      </c>
      <c r="D76" s="29" t="s">
        <v>29</v>
      </c>
      <c r="E76" s="29">
        <v>492</v>
      </c>
      <c r="F76" s="29">
        <v>488</v>
      </c>
      <c r="G76" s="29">
        <v>1000</v>
      </c>
      <c r="H76" s="37">
        <v>4000</v>
      </c>
      <c r="I76" s="20"/>
    </row>
    <row r="77" spans="1:9" x14ac:dyDescent="0.3">
      <c r="A77" s="20"/>
      <c r="B77" s="35"/>
      <c r="C77" s="29"/>
      <c r="D77" s="29"/>
      <c r="E77" s="29"/>
      <c r="F77" s="29"/>
      <c r="G77" s="29"/>
      <c r="H77" s="38">
        <v>51500</v>
      </c>
      <c r="I77" s="20"/>
    </row>
    <row r="78" spans="1:9" x14ac:dyDescent="0.3">
      <c r="A78" s="20"/>
      <c r="B78" s="35"/>
      <c r="C78" s="37"/>
      <c r="D78" s="37"/>
      <c r="E78" s="37"/>
      <c r="F78" s="37"/>
      <c r="G78" s="37"/>
      <c r="H78" s="37"/>
      <c r="I78" s="20"/>
    </row>
    <row r="79" spans="1:9" x14ac:dyDescent="0.3">
      <c r="A79" s="42"/>
      <c r="B79" s="35"/>
      <c r="C79" s="45"/>
      <c r="D79" s="45"/>
      <c r="E79" s="45"/>
      <c r="F79" s="45"/>
      <c r="G79" s="45"/>
      <c r="H79" s="45"/>
      <c r="I79" s="42"/>
    </row>
    <row r="80" spans="1:9" ht="15.6" x14ac:dyDescent="0.3">
      <c r="A80" s="43"/>
      <c r="B80" s="18"/>
      <c r="C80" s="45"/>
      <c r="D80" s="45"/>
      <c r="E80" s="45"/>
      <c r="F80" s="45"/>
      <c r="G80" s="45"/>
      <c r="H80" s="46"/>
      <c r="I80" s="43"/>
    </row>
  </sheetData>
  <mergeCells count="5">
    <mergeCell ref="B1:H1"/>
    <mergeCell ref="B2:H2"/>
    <mergeCell ref="B3:H3"/>
    <mergeCell ref="B30:H30"/>
    <mergeCell ref="B56:H56"/>
  </mergeCells>
  <hyperlinks>
    <hyperlink ref="J2" location="MASTER!A1" display="Back" xr:uid="{00000000-0004-0000-0800-000000000000}"/>
  </hyperlinks>
  <pageMargins left="0.7" right="0.7" top="0.75" bottom="0.75" header="0.3" footer="0.3"/>
  <pageSetup orientation="portrait" horizontalDpi="300" verticalDpi="3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W102"/>
  <sheetViews>
    <sheetView topLeftCell="A79" zoomScale="98" zoomScaleNormal="98" workbookViewId="0">
      <selection activeCell="O97" sqref="O9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43952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18</v>
      </c>
      <c r="O4" s="355">
        <f>V39</f>
        <v>14</v>
      </c>
      <c r="P4" s="355">
        <f>W39</f>
        <v>4</v>
      </c>
      <c r="Q4" s="356">
        <f>N4-O4-P4</f>
        <v>0</v>
      </c>
      <c r="R4" s="343">
        <f>O4/N4</f>
        <v>0.77777777777777779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43955</v>
      </c>
      <c r="D6" s="192" t="s">
        <v>16</v>
      </c>
      <c r="E6" s="192" t="s">
        <v>24</v>
      </c>
      <c r="F6" s="193">
        <v>45580</v>
      </c>
      <c r="G6" s="193">
        <v>45780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COUNT(C47:C69)</f>
        <v>18</v>
      </c>
      <c r="O6" s="348">
        <f>V70</f>
        <v>14</v>
      </c>
      <c r="P6" s="348">
        <f>W70</f>
        <v>4</v>
      </c>
      <c r="Q6" s="349">
        <f>N6-O6-P6</f>
        <v>0</v>
      </c>
      <c r="R6" s="345">
        <f t="shared" ref="R6" si="0">O6/N6</f>
        <v>0.77777777777777779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43956</v>
      </c>
      <c r="D7" s="196" t="s">
        <v>16</v>
      </c>
      <c r="E7" s="196" t="s">
        <v>24</v>
      </c>
      <c r="F7" s="197">
        <v>45500</v>
      </c>
      <c r="G7" s="197">
        <v>45550</v>
      </c>
      <c r="H7" s="196">
        <v>50</v>
      </c>
      <c r="I7" s="197">
        <v>100</v>
      </c>
      <c r="J7" s="268">
        <f t="shared" ref="J7:J38" si="1">H7*I7</f>
        <v>5000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43957</v>
      </c>
      <c r="D8" s="196" t="s">
        <v>16</v>
      </c>
      <c r="E8" s="196" t="s">
        <v>24</v>
      </c>
      <c r="F8" s="197">
        <v>45800</v>
      </c>
      <c r="G8" s="197">
        <v>45700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COUNT(C78:C100)</f>
        <v>19</v>
      </c>
      <c r="O8" s="348">
        <f>V101</f>
        <v>19</v>
      </c>
      <c r="P8" s="348">
        <f>W101</f>
        <v>0</v>
      </c>
      <c r="Q8" s="349">
        <f>N8-O8-P8</f>
        <v>0</v>
      </c>
      <c r="R8" s="345">
        <f t="shared" ref="R8" si="4">O8/N8</f>
        <v>1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43959</v>
      </c>
      <c r="D9" s="196" t="s">
        <v>16</v>
      </c>
      <c r="E9" s="196" t="s">
        <v>24</v>
      </c>
      <c r="F9" s="197">
        <v>46120</v>
      </c>
      <c r="G9" s="197">
        <v>46320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43962</v>
      </c>
      <c r="D10" s="196" t="s">
        <v>16</v>
      </c>
      <c r="E10" s="196" t="s">
        <v>24</v>
      </c>
      <c r="F10" s="197">
        <v>45800</v>
      </c>
      <c r="G10" s="197">
        <v>45700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55</v>
      </c>
      <c r="O10" s="321">
        <f>SUM(O4:O9)</f>
        <v>47</v>
      </c>
      <c r="P10" s="321">
        <f>SUM(P4:P9)</f>
        <v>8</v>
      </c>
      <c r="Q10" s="341">
        <f>SUM(Q4:Q9)</f>
        <v>0</v>
      </c>
      <c r="R10" s="343">
        <f t="shared" ref="R10" si="5">O10/N10</f>
        <v>0.8545454545454545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43963</v>
      </c>
      <c r="D11" s="196" t="s">
        <v>23</v>
      </c>
      <c r="E11" s="196" t="s">
        <v>24</v>
      </c>
      <c r="F11" s="197">
        <v>45870</v>
      </c>
      <c r="G11" s="197">
        <v>45670</v>
      </c>
      <c r="H11" s="196">
        <v>200</v>
      </c>
      <c r="I11" s="197">
        <v>100</v>
      </c>
      <c r="J11" s="268">
        <f t="shared" si="1"/>
        <v>20000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43964</v>
      </c>
      <c r="D12" s="196" t="s">
        <v>16</v>
      </c>
      <c r="E12" s="196" t="s">
        <v>24</v>
      </c>
      <c r="F12" s="197">
        <v>45700</v>
      </c>
      <c r="G12" s="197">
        <v>45900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0.8545454545454545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43965</v>
      </c>
      <c r="D13" s="196" t="s">
        <v>16</v>
      </c>
      <c r="E13" s="196" t="s">
        <v>24</v>
      </c>
      <c r="F13" s="197">
        <v>46180</v>
      </c>
      <c r="G13" s="197">
        <v>46380</v>
      </c>
      <c r="H13" s="196">
        <v>200</v>
      </c>
      <c r="I13" s="197">
        <v>100</v>
      </c>
      <c r="J13" s="268">
        <f t="shared" si="1"/>
        <v>20000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43966</v>
      </c>
      <c r="D14" s="196" t="s">
        <v>16</v>
      </c>
      <c r="E14" s="196" t="s">
        <v>24</v>
      </c>
      <c r="F14" s="197">
        <v>46850</v>
      </c>
      <c r="G14" s="197">
        <v>47050</v>
      </c>
      <c r="H14" s="196">
        <v>200</v>
      </c>
      <c r="I14" s="197">
        <v>100</v>
      </c>
      <c r="J14" s="268">
        <f t="shared" si="1"/>
        <v>20000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43969</v>
      </c>
      <c r="D15" s="196" t="s">
        <v>16</v>
      </c>
      <c r="E15" s="196" t="s">
        <v>24</v>
      </c>
      <c r="F15" s="197">
        <v>47880</v>
      </c>
      <c r="G15" s="197">
        <v>47980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43970</v>
      </c>
      <c r="D16" s="196" t="s">
        <v>16</v>
      </c>
      <c r="E16" s="196" t="s">
        <v>24</v>
      </c>
      <c r="F16" s="197">
        <v>46680</v>
      </c>
      <c r="G16" s="197">
        <v>46880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43971</v>
      </c>
      <c r="D17" s="196" t="s">
        <v>16</v>
      </c>
      <c r="E17" s="196" t="s">
        <v>24</v>
      </c>
      <c r="F17" s="197">
        <v>47320</v>
      </c>
      <c r="G17" s="197">
        <v>47220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43972</v>
      </c>
      <c r="D18" s="196" t="s">
        <v>23</v>
      </c>
      <c r="E18" s="196" t="s">
        <v>24</v>
      </c>
      <c r="F18" s="197">
        <v>46670</v>
      </c>
      <c r="G18" s="197">
        <v>46620</v>
      </c>
      <c r="H18" s="196">
        <v>50</v>
      </c>
      <c r="I18" s="197">
        <v>100</v>
      </c>
      <c r="J18" s="268">
        <f t="shared" si="1"/>
        <v>5000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43973</v>
      </c>
      <c r="D19" s="196" t="s">
        <v>16</v>
      </c>
      <c r="E19" s="196" t="s">
        <v>24</v>
      </c>
      <c r="F19" s="197">
        <v>46750</v>
      </c>
      <c r="G19" s="197">
        <v>46950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43977</v>
      </c>
      <c r="D20" s="196" t="s">
        <v>23</v>
      </c>
      <c r="E20" s="196" t="s">
        <v>24</v>
      </c>
      <c r="F20" s="197">
        <v>46950</v>
      </c>
      <c r="G20" s="197">
        <v>46750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43978</v>
      </c>
      <c r="D21" s="196" t="s">
        <v>16</v>
      </c>
      <c r="E21" s="196" t="s">
        <v>24</v>
      </c>
      <c r="F21" s="197">
        <v>46020</v>
      </c>
      <c r="G21" s="197">
        <v>46170</v>
      </c>
      <c r="H21" s="196">
        <v>150</v>
      </c>
      <c r="I21" s="197">
        <v>100</v>
      </c>
      <c r="J21" s="268">
        <f t="shared" si="1"/>
        <v>15000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43979</v>
      </c>
      <c r="D22" s="196" t="s">
        <v>16</v>
      </c>
      <c r="E22" s="196" t="s">
        <v>24</v>
      </c>
      <c r="F22" s="197">
        <v>46560</v>
      </c>
      <c r="G22" s="197">
        <v>46760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43980</v>
      </c>
      <c r="D23" s="196" t="s">
        <v>16</v>
      </c>
      <c r="E23" s="196" t="s">
        <v>24</v>
      </c>
      <c r="F23" s="197">
        <v>46600</v>
      </c>
      <c r="G23" s="197">
        <v>46500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195000</v>
      </c>
      <c r="K39" s="185"/>
      <c r="V39" s="183">
        <f>SUM(V6:V38)</f>
        <v>14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43952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43955</v>
      </c>
      <c r="D47" s="192" t="s">
        <v>23</v>
      </c>
      <c r="E47" s="192" t="s">
        <v>25</v>
      </c>
      <c r="F47" s="193">
        <v>1420</v>
      </c>
      <c r="G47" s="193">
        <v>1390</v>
      </c>
      <c r="H47" s="192">
        <v>30</v>
      </c>
      <c r="I47" s="193">
        <v>100</v>
      </c>
      <c r="J47" s="267">
        <f t="shared" ref="J47:J69" si="6">I47*H47</f>
        <v>3000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43956</v>
      </c>
      <c r="D48" s="196" t="s">
        <v>23</v>
      </c>
      <c r="E48" s="196" t="s">
        <v>25</v>
      </c>
      <c r="F48" s="197">
        <v>1665</v>
      </c>
      <c r="G48" s="197">
        <v>1650</v>
      </c>
      <c r="H48" s="196">
        <v>15</v>
      </c>
      <c r="I48" s="197">
        <v>100</v>
      </c>
      <c r="J48" s="268">
        <f t="shared" si="6"/>
        <v>1500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43957</v>
      </c>
      <c r="D49" s="196" t="s">
        <v>16</v>
      </c>
      <c r="E49" s="196" t="s">
        <v>25</v>
      </c>
      <c r="F49" s="197">
        <v>1890</v>
      </c>
      <c r="G49" s="197">
        <v>1950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43959</v>
      </c>
      <c r="D50" s="196" t="s">
        <v>16</v>
      </c>
      <c r="E50" s="196" t="s">
        <v>25</v>
      </c>
      <c r="F50" s="197">
        <v>1870</v>
      </c>
      <c r="G50" s="197">
        <v>1890</v>
      </c>
      <c r="H50" s="196">
        <v>20</v>
      </c>
      <c r="I50" s="197">
        <v>100</v>
      </c>
      <c r="J50" s="268">
        <f t="shared" si="6"/>
        <v>2000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43962</v>
      </c>
      <c r="D51" s="196" t="s">
        <v>23</v>
      </c>
      <c r="E51" s="196" t="s">
        <v>25</v>
      </c>
      <c r="F51" s="197">
        <v>1850</v>
      </c>
      <c r="G51" s="197">
        <v>1820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43963</v>
      </c>
      <c r="D52" s="196" t="s">
        <v>23</v>
      </c>
      <c r="E52" s="196" t="s">
        <v>25</v>
      </c>
      <c r="F52" s="197">
        <v>1880</v>
      </c>
      <c r="G52" s="197">
        <v>1910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7</v>
      </c>
      <c r="C53" s="195">
        <v>43964</v>
      </c>
      <c r="D53" s="196" t="s">
        <v>16</v>
      </c>
      <c r="E53" s="196" t="s">
        <v>25</v>
      </c>
      <c r="F53" s="197">
        <v>1945</v>
      </c>
      <c r="G53" s="197">
        <v>1925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43965</v>
      </c>
      <c r="D54" s="196" t="s">
        <v>23</v>
      </c>
      <c r="E54" s="196" t="s">
        <v>25</v>
      </c>
      <c r="F54" s="197">
        <v>2015</v>
      </c>
      <c r="G54" s="197">
        <v>1955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43966</v>
      </c>
      <c r="D55" s="196" t="s">
        <v>23</v>
      </c>
      <c r="E55" s="196" t="s">
        <v>25</v>
      </c>
      <c r="F55" s="197">
        <v>2135</v>
      </c>
      <c r="G55" s="197">
        <v>2105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43969</v>
      </c>
      <c r="D56" s="196" t="s">
        <v>23</v>
      </c>
      <c r="E56" s="196" t="s">
        <v>25</v>
      </c>
      <c r="F56" s="197">
        <v>2240</v>
      </c>
      <c r="G56" s="197">
        <v>2270</v>
      </c>
      <c r="H56" s="196">
        <v>-30</v>
      </c>
      <c r="I56" s="197">
        <v>100</v>
      </c>
      <c r="J56" s="268">
        <f t="shared" si="6"/>
        <v>-3000</v>
      </c>
      <c r="K56" s="185"/>
      <c r="V56" s="183">
        <f t="shared" si="7"/>
        <v>0</v>
      </c>
      <c r="W56" s="183">
        <f t="shared" si="8"/>
        <v>1</v>
      </c>
    </row>
    <row r="57" spans="1:23" x14ac:dyDescent="0.3">
      <c r="A57" s="184"/>
      <c r="B57" s="194">
        <v>11</v>
      </c>
      <c r="C57" s="195">
        <v>43970</v>
      </c>
      <c r="D57" s="196" t="s">
        <v>23</v>
      </c>
      <c r="E57" s="196" t="s">
        <v>25</v>
      </c>
      <c r="F57" s="197">
        <v>2420</v>
      </c>
      <c r="G57" s="197">
        <v>2400</v>
      </c>
      <c r="H57" s="196">
        <v>20</v>
      </c>
      <c r="I57" s="197">
        <v>100</v>
      </c>
      <c r="J57" s="268">
        <f t="shared" si="6"/>
        <v>2000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43971</v>
      </c>
      <c r="D58" s="196" t="s">
        <v>23</v>
      </c>
      <c r="E58" s="196" t="s">
        <v>25</v>
      </c>
      <c r="F58" s="197">
        <v>2440</v>
      </c>
      <c r="G58" s="197">
        <v>2420</v>
      </c>
      <c r="H58" s="196">
        <v>20</v>
      </c>
      <c r="I58" s="197">
        <v>100</v>
      </c>
      <c r="J58" s="268">
        <f t="shared" si="6"/>
        <v>2000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43972</v>
      </c>
      <c r="D59" s="196" t="s">
        <v>23</v>
      </c>
      <c r="E59" s="196" t="s">
        <v>25</v>
      </c>
      <c r="F59" s="197">
        <v>2610</v>
      </c>
      <c r="G59" s="197">
        <v>2550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43973</v>
      </c>
      <c r="D60" s="196" t="s">
        <v>23</v>
      </c>
      <c r="E60" s="196" t="s">
        <v>25</v>
      </c>
      <c r="F60" s="197">
        <v>2430</v>
      </c>
      <c r="G60" s="197">
        <v>2390</v>
      </c>
      <c r="H60" s="196">
        <v>40</v>
      </c>
      <c r="I60" s="197">
        <v>100</v>
      </c>
      <c r="J60" s="268">
        <f t="shared" si="6"/>
        <v>4000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43977</v>
      </c>
      <c r="D61" s="196" t="s">
        <v>23</v>
      </c>
      <c r="E61" s="196" t="s">
        <v>25</v>
      </c>
      <c r="F61" s="197">
        <v>2625</v>
      </c>
      <c r="G61" s="197">
        <v>2565</v>
      </c>
      <c r="H61" s="196">
        <v>40</v>
      </c>
      <c r="I61" s="197">
        <v>100</v>
      </c>
      <c r="J61" s="268">
        <f t="shared" si="6"/>
        <v>4000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43978</v>
      </c>
      <c r="D62" s="196" t="s">
        <v>23</v>
      </c>
      <c r="E62" s="196" t="s">
        <v>25</v>
      </c>
      <c r="F62" s="197">
        <v>2590</v>
      </c>
      <c r="G62" s="197">
        <v>2545</v>
      </c>
      <c r="H62" s="196">
        <v>45</v>
      </c>
      <c r="I62" s="197">
        <v>100</v>
      </c>
      <c r="J62" s="268">
        <f t="shared" si="6"/>
        <v>4500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43979</v>
      </c>
      <c r="D63" s="196" t="s">
        <v>16</v>
      </c>
      <c r="E63" s="196" t="s">
        <v>25</v>
      </c>
      <c r="F63" s="197">
        <v>2430</v>
      </c>
      <c r="G63" s="197">
        <v>2400</v>
      </c>
      <c r="H63" s="196">
        <v>-30</v>
      </c>
      <c r="I63" s="197">
        <v>100</v>
      </c>
      <c r="J63" s="268">
        <f t="shared" si="6"/>
        <v>-3000</v>
      </c>
      <c r="K63" s="185"/>
      <c r="V63" s="183">
        <f t="shared" si="7"/>
        <v>0</v>
      </c>
      <c r="W63" s="183">
        <f t="shared" si="8"/>
        <v>1</v>
      </c>
    </row>
    <row r="64" spans="1:23" x14ac:dyDescent="0.3">
      <c r="A64" s="255"/>
      <c r="B64" s="194">
        <v>18</v>
      </c>
      <c r="C64" s="195">
        <v>43980</v>
      </c>
      <c r="D64" s="196" t="s">
        <v>23</v>
      </c>
      <c r="E64" s="196" t="s">
        <v>25</v>
      </c>
      <c r="F64" s="197">
        <v>2505</v>
      </c>
      <c r="G64" s="197">
        <v>2465</v>
      </c>
      <c r="H64" s="196">
        <v>40</v>
      </c>
      <c r="I64" s="197">
        <v>100</v>
      </c>
      <c r="J64" s="268">
        <f t="shared" si="6"/>
        <v>4000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39000</v>
      </c>
      <c r="K70" s="185"/>
      <c r="V70" s="183">
        <f>SUM(V47:V69)</f>
        <v>14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43952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43955</v>
      </c>
      <c r="D78" s="216" t="s">
        <v>23</v>
      </c>
      <c r="E78" s="256" t="s">
        <v>28</v>
      </c>
      <c r="F78" s="256">
        <v>149</v>
      </c>
      <c r="G78" s="256">
        <v>148.55000000000001</v>
      </c>
      <c r="H78" s="256">
        <v>0.45</v>
      </c>
      <c r="I78" s="218">
        <v>5000</v>
      </c>
      <c r="J78" s="273">
        <f>I78*H78</f>
        <v>2250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43956</v>
      </c>
      <c r="D79" s="196" t="s">
        <v>23</v>
      </c>
      <c r="E79" s="222" t="s">
        <v>28</v>
      </c>
      <c r="F79" s="222">
        <v>150.5</v>
      </c>
      <c r="G79" s="222">
        <v>149.5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43957</v>
      </c>
      <c r="D80" s="196" t="s">
        <v>16</v>
      </c>
      <c r="E80" s="222" t="s">
        <v>28</v>
      </c>
      <c r="F80" s="222">
        <v>152</v>
      </c>
      <c r="G80" s="222">
        <v>153.5</v>
      </c>
      <c r="H80" s="222">
        <v>1.5</v>
      </c>
      <c r="I80" s="197">
        <v>5000</v>
      </c>
      <c r="J80" s="268">
        <f t="shared" si="9"/>
        <v>7500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43958</v>
      </c>
      <c r="D81" s="196" t="s">
        <v>16</v>
      </c>
      <c r="E81" s="222" t="s">
        <v>28</v>
      </c>
      <c r="F81" s="222">
        <v>153.4</v>
      </c>
      <c r="G81" s="222">
        <v>154.9</v>
      </c>
      <c r="H81" s="222">
        <v>1.5</v>
      </c>
      <c r="I81" s="197">
        <v>5000</v>
      </c>
      <c r="J81" s="268">
        <f t="shared" si="9"/>
        <v>7500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43959</v>
      </c>
      <c r="D82" s="196" t="s">
        <v>23</v>
      </c>
      <c r="E82" s="222" t="s">
        <v>28</v>
      </c>
      <c r="F82" s="222">
        <v>154.30000000000001</v>
      </c>
      <c r="G82" s="222">
        <v>153.69999999999999</v>
      </c>
      <c r="H82" s="222">
        <v>0.6</v>
      </c>
      <c r="I82" s="197">
        <v>5000</v>
      </c>
      <c r="J82" s="268">
        <f t="shared" si="9"/>
        <v>3000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43962</v>
      </c>
      <c r="D83" s="196" t="s">
        <v>23</v>
      </c>
      <c r="E83" s="222" t="s">
        <v>28</v>
      </c>
      <c r="F83" s="222">
        <v>155.4</v>
      </c>
      <c r="G83" s="222">
        <v>154.6</v>
      </c>
      <c r="H83" s="222">
        <v>0.8</v>
      </c>
      <c r="I83" s="197">
        <v>5000</v>
      </c>
      <c r="J83" s="268">
        <f t="shared" si="9"/>
        <v>4000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43963</v>
      </c>
      <c r="D84" s="196" t="s">
        <v>23</v>
      </c>
      <c r="E84" s="222" t="s">
        <v>28</v>
      </c>
      <c r="F84" s="222">
        <v>155.5</v>
      </c>
      <c r="G84" s="222">
        <v>153.5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43964</v>
      </c>
      <c r="D85" s="196" t="s">
        <v>23</v>
      </c>
      <c r="E85" s="222" t="s">
        <v>28</v>
      </c>
      <c r="F85" s="222">
        <v>152.80000000000001</v>
      </c>
      <c r="G85" s="222">
        <v>152.19999999999999</v>
      </c>
      <c r="H85" s="222">
        <v>0.6</v>
      </c>
      <c r="I85" s="197">
        <v>5000</v>
      </c>
      <c r="J85" s="268">
        <f t="shared" si="9"/>
        <v>3000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43965</v>
      </c>
      <c r="D86" s="196" t="s">
        <v>23</v>
      </c>
      <c r="E86" s="222" t="s">
        <v>28</v>
      </c>
      <c r="F86" s="222">
        <v>151.6</v>
      </c>
      <c r="G86" s="222">
        <v>151.1</v>
      </c>
      <c r="H86" s="222">
        <v>0.5</v>
      </c>
      <c r="I86" s="197">
        <v>5000</v>
      </c>
      <c r="J86" s="268">
        <f t="shared" si="9"/>
        <v>2500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43966</v>
      </c>
      <c r="D87" s="196" t="s">
        <v>23</v>
      </c>
      <c r="E87" s="222" t="s">
        <v>28</v>
      </c>
      <c r="F87" s="222">
        <v>154.19999999999999</v>
      </c>
      <c r="G87" s="222">
        <v>153.19999999999999</v>
      </c>
      <c r="H87" s="222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43969</v>
      </c>
      <c r="D88" s="196" t="s">
        <v>23</v>
      </c>
      <c r="E88" s="222" t="s">
        <v>28</v>
      </c>
      <c r="F88" s="222">
        <v>155.19999999999999</v>
      </c>
      <c r="G88" s="222">
        <v>154.69999999999999</v>
      </c>
      <c r="H88" s="274">
        <v>0.5</v>
      </c>
      <c r="I88" s="197">
        <v>5000</v>
      </c>
      <c r="J88" s="268">
        <f t="shared" si="9"/>
        <v>2500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43970</v>
      </c>
      <c r="D89" s="196" t="s">
        <v>23</v>
      </c>
      <c r="E89" s="222" t="s">
        <v>28</v>
      </c>
      <c r="F89" s="222">
        <v>157</v>
      </c>
      <c r="G89" s="222">
        <v>156.69999999999999</v>
      </c>
      <c r="H89" s="274">
        <v>0.3</v>
      </c>
      <c r="I89" s="197">
        <v>5000</v>
      </c>
      <c r="J89" s="268">
        <f t="shared" si="9"/>
        <v>1500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43971</v>
      </c>
      <c r="D90" s="196" t="s">
        <v>23</v>
      </c>
      <c r="E90" s="222" t="s">
        <v>28</v>
      </c>
      <c r="F90" s="222">
        <v>156.6</v>
      </c>
      <c r="G90" s="222">
        <v>155.6</v>
      </c>
      <c r="H90" s="274">
        <v>1</v>
      </c>
      <c r="I90" s="197">
        <v>5000</v>
      </c>
      <c r="J90" s="268">
        <f t="shared" si="9"/>
        <v>5000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43972</v>
      </c>
      <c r="D91" s="196" t="s">
        <v>23</v>
      </c>
      <c r="E91" s="222" t="s">
        <v>28</v>
      </c>
      <c r="F91" s="222">
        <v>157.19999999999999</v>
      </c>
      <c r="G91" s="222">
        <v>155.19999999999999</v>
      </c>
      <c r="H91" s="274">
        <v>2</v>
      </c>
      <c r="I91" s="197">
        <v>5000</v>
      </c>
      <c r="J91" s="268">
        <f t="shared" si="9"/>
        <v>10000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43973</v>
      </c>
      <c r="D92" s="196" t="s">
        <v>16</v>
      </c>
      <c r="E92" s="222" t="s">
        <v>28</v>
      </c>
      <c r="F92" s="223">
        <v>154.19999999999999</v>
      </c>
      <c r="G92" s="222">
        <v>156.19999999999999</v>
      </c>
      <c r="H92" s="274">
        <v>2</v>
      </c>
      <c r="I92" s="197">
        <v>5000</v>
      </c>
      <c r="J92" s="268">
        <f t="shared" si="9"/>
        <v>10000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43977</v>
      </c>
      <c r="D93" s="196" t="s">
        <v>23</v>
      </c>
      <c r="E93" s="222" t="s">
        <v>28</v>
      </c>
      <c r="F93" s="222">
        <v>158.5</v>
      </c>
      <c r="G93" s="222">
        <v>158</v>
      </c>
      <c r="H93" s="274">
        <v>0.5</v>
      </c>
      <c r="I93" s="197">
        <v>5000</v>
      </c>
      <c r="J93" s="268">
        <f t="shared" si="9"/>
        <v>2500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43978</v>
      </c>
      <c r="D94" s="196" t="s">
        <v>23</v>
      </c>
      <c r="E94" s="222" t="s">
        <v>28</v>
      </c>
      <c r="F94" s="222">
        <v>157.30000000000001</v>
      </c>
      <c r="G94" s="222">
        <v>155.30000000000001</v>
      </c>
      <c r="H94" s="274">
        <v>2</v>
      </c>
      <c r="I94" s="197">
        <v>5000</v>
      </c>
      <c r="J94" s="268">
        <f t="shared" si="9"/>
        <v>10000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43979</v>
      </c>
      <c r="D95" s="196" t="s">
        <v>23</v>
      </c>
      <c r="E95" s="222" t="s">
        <v>28</v>
      </c>
      <c r="F95" s="222">
        <v>156.19999999999999</v>
      </c>
      <c r="G95" s="222">
        <v>155.19999999999999</v>
      </c>
      <c r="H95" s="274">
        <v>1</v>
      </c>
      <c r="I95" s="197">
        <v>5000</v>
      </c>
      <c r="J95" s="268">
        <f t="shared" si="9"/>
        <v>5000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43980</v>
      </c>
      <c r="D96" s="196" t="s">
        <v>16</v>
      </c>
      <c r="E96" s="222" t="s">
        <v>28</v>
      </c>
      <c r="F96" s="222">
        <v>157.80000000000001</v>
      </c>
      <c r="G96" s="222">
        <v>158.80000000000001</v>
      </c>
      <c r="H96" s="274">
        <v>1</v>
      </c>
      <c r="I96" s="197">
        <v>5000</v>
      </c>
      <c r="J96" s="268">
        <f t="shared" si="9"/>
        <v>5000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101250</v>
      </c>
      <c r="K101" s="185"/>
      <c r="V101" s="183">
        <f>SUM(V78:V100)</f>
        <v>19</v>
      </c>
      <c r="W101" s="183">
        <f>SUM(W78:W100)</f>
        <v>0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900-000000000000}"/>
    <hyperlink ref="B70" r:id="rId2" xr:uid="{00000000-0004-0000-5900-000001000000}"/>
    <hyperlink ref="M4:M5" location="'MAY 2020'!A1" display="BULLION" xr:uid="{00000000-0004-0000-5900-000002000000}"/>
    <hyperlink ref="B101" r:id="rId3" xr:uid="{00000000-0004-0000-5900-000003000000}"/>
    <hyperlink ref="M8:M9" location="'MAY 2020'!A86" display="BASE METAL" xr:uid="{00000000-0004-0000-5900-000004000000}"/>
    <hyperlink ref="M1" location="MASTER!A1" display="Back" xr:uid="{00000000-0004-0000-5900-000005000000}"/>
    <hyperlink ref="M6:M7" location="'MAY 2020'!A54" display="ENERGY" xr:uid="{00000000-0004-0000-5900-000006000000}"/>
  </hyperlinks>
  <pageMargins left="0" right="0" top="0" bottom="0" header="0" footer="0"/>
  <pageSetup paperSize="9" orientation="portrait" r:id="rId4"/>
  <drawing r:id="rId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W102"/>
  <sheetViews>
    <sheetView zoomScale="98" zoomScaleNormal="98"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43983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22</v>
      </c>
      <c r="O4" s="355">
        <f>V39</f>
        <v>14</v>
      </c>
      <c r="P4" s="355">
        <f>W39</f>
        <v>8</v>
      </c>
      <c r="Q4" s="356">
        <f>N4-O4-P4</f>
        <v>0</v>
      </c>
      <c r="R4" s="343">
        <f>O4/N4</f>
        <v>0.63636363636363635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43983</v>
      </c>
      <c r="D6" s="192" t="s">
        <v>23</v>
      </c>
      <c r="E6" s="192" t="s">
        <v>24</v>
      </c>
      <c r="F6" s="193">
        <v>47200</v>
      </c>
      <c r="G6" s="193">
        <v>47000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COUNT(C47:C69)</f>
        <v>22</v>
      </c>
      <c r="O6" s="348">
        <f>V70</f>
        <v>16</v>
      </c>
      <c r="P6" s="348">
        <f>W70</f>
        <v>6</v>
      </c>
      <c r="Q6" s="349">
        <f>N6-O6-P6</f>
        <v>0</v>
      </c>
      <c r="R6" s="345">
        <f t="shared" ref="R6" si="0">O6/N6</f>
        <v>0.72727272727272729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43984</v>
      </c>
      <c r="D7" s="196" t="s">
        <v>16</v>
      </c>
      <c r="E7" s="196" t="s">
        <v>24</v>
      </c>
      <c r="F7" s="197">
        <v>47130</v>
      </c>
      <c r="G7" s="197">
        <v>47030</v>
      </c>
      <c r="H7" s="196">
        <v>-100</v>
      </c>
      <c r="I7" s="197">
        <v>100</v>
      </c>
      <c r="J7" s="268">
        <f t="shared" ref="J7:J38" si="1">H7*I7</f>
        <v>-10000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0</v>
      </c>
      <c r="W7" s="183">
        <f t="shared" ref="W7:W38" si="3">IF($J7&lt;0,1,0)</f>
        <v>1</v>
      </c>
    </row>
    <row r="8" spans="1:23" x14ac:dyDescent="0.3">
      <c r="A8" s="184"/>
      <c r="B8" s="194">
        <v>3</v>
      </c>
      <c r="C8" s="195">
        <v>43985</v>
      </c>
      <c r="D8" s="196" t="s">
        <v>16</v>
      </c>
      <c r="E8" s="196" t="s">
        <v>24</v>
      </c>
      <c r="F8" s="197">
        <v>46500</v>
      </c>
      <c r="G8" s="197">
        <v>46400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47">
        <f>COUNT(C78:C100)</f>
        <v>22</v>
      </c>
      <c r="O8" s="348">
        <f>V101</f>
        <v>19</v>
      </c>
      <c r="P8" s="348">
        <f>W101</f>
        <v>3</v>
      </c>
      <c r="Q8" s="349">
        <f>N8-O8-P8</f>
        <v>0</v>
      </c>
      <c r="R8" s="345">
        <f t="shared" ref="R8" si="4">O8/N8</f>
        <v>0.86363636363636365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43986</v>
      </c>
      <c r="D9" s="196" t="s">
        <v>16</v>
      </c>
      <c r="E9" s="196" t="s">
        <v>24</v>
      </c>
      <c r="F9" s="197">
        <v>46100</v>
      </c>
      <c r="G9" s="197">
        <v>46300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43987</v>
      </c>
      <c r="D10" s="196" t="s">
        <v>16</v>
      </c>
      <c r="E10" s="196" t="s">
        <v>24</v>
      </c>
      <c r="F10" s="197">
        <v>46380</v>
      </c>
      <c r="G10" s="197">
        <v>43520</v>
      </c>
      <c r="H10" s="196">
        <v>140</v>
      </c>
      <c r="I10" s="197">
        <v>100</v>
      </c>
      <c r="J10" s="268">
        <f t="shared" si="1"/>
        <v>14000</v>
      </c>
      <c r="K10" s="185"/>
      <c r="M10" s="319" t="s">
        <v>300</v>
      </c>
      <c r="N10" s="321">
        <f>SUM(N4:N9)</f>
        <v>66</v>
      </c>
      <c r="O10" s="321">
        <f>SUM(O4:O9)</f>
        <v>49</v>
      </c>
      <c r="P10" s="321">
        <f>SUM(P4:P9)</f>
        <v>17</v>
      </c>
      <c r="Q10" s="341">
        <f>SUM(Q4:Q9)</f>
        <v>0</v>
      </c>
      <c r="R10" s="343">
        <f t="shared" ref="R10" si="5">O10/N10</f>
        <v>0.74242424242424243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43990</v>
      </c>
      <c r="D11" s="196" t="s">
        <v>16</v>
      </c>
      <c r="E11" s="196" t="s">
        <v>24</v>
      </c>
      <c r="F11" s="197">
        <v>46050</v>
      </c>
      <c r="G11" s="197">
        <v>45950</v>
      </c>
      <c r="H11" s="196">
        <v>-100</v>
      </c>
      <c r="I11" s="197">
        <v>100</v>
      </c>
      <c r="J11" s="268">
        <f t="shared" si="1"/>
        <v>-10000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43991</v>
      </c>
      <c r="D12" s="196" t="s">
        <v>23</v>
      </c>
      <c r="E12" s="196" t="s">
        <v>24</v>
      </c>
      <c r="F12" s="197">
        <v>46310</v>
      </c>
      <c r="G12" s="197">
        <v>46410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0.74242424242424243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43992</v>
      </c>
      <c r="D13" s="196" t="s">
        <v>23</v>
      </c>
      <c r="E13" s="196" t="s">
        <v>24</v>
      </c>
      <c r="F13" s="197">
        <v>46620</v>
      </c>
      <c r="G13" s="197">
        <v>46720</v>
      </c>
      <c r="H13" s="196">
        <v>-100</v>
      </c>
      <c r="I13" s="197">
        <v>100</v>
      </c>
      <c r="J13" s="268">
        <f t="shared" si="1"/>
        <v>-10000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43993</v>
      </c>
      <c r="D14" s="196" t="s">
        <v>23</v>
      </c>
      <c r="E14" s="196" t="s">
        <v>24</v>
      </c>
      <c r="F14" s="197">
        <v>47140</v>
      </c>
      <c r="G14" s="197">
        <v>46940</v>
      </c>
      <c r="H14" s="196">
        <v>200</v>
      </c>
      <c r="I14" s="197">
        <v>100</v>
      </c>
      <c r="J14" s="268">
        <f t="shared" si="1"/>
        <v>20000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43994</v>
      </c>
      <c r="D15" s="196" t="s">
        <v>16</v>
      </c>
      <c r="E15" s="196" t="s">
        <v>24</v>
      </c>
      <c r="F15" s="197">
        <v>47240</v>
      </c>
      <c r="G15" s="197">
        <v>47440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43997</v>
      </c>
      <c r="D16" s="196" t="s">
        <v>23</v>
      </c>
      <c r="E16" s="196" t="s">
        <v>24</v>
      </c>
      <c r="F16" s="197">
        <v>46950</v>
      </c>
      <c r="G16" s="197">
        <v>46750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43998</v>
      </c>
      <c r="D17" s="196" t="s">
        <v>23</v>
      </c>
      <c r="E17" s="196" t="s">
        <v>24</v>
      </c>
      <c r="F17" s="197">
        <v>47330</v>
      </c>
      <c r="G17" s="197">
        <v>47150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43999</v>
      </c>
      <c r="D18" s="196" t="s">
        <v>23</v>
      </c>
      <c r="E18" s="196" t="s">
        <v>24</v>
      </c>
      <c r="F18" s="197">
        <v>47070</v>
      </c>
      <c r="G18" s="197">
        <v>47170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44000</v>
      </c>
      <c r="D19" s="196" t="s">
        <v>23</v>
      </c>
      <c r="E19" s="196" t="s">
        <v>24</v>
      </c>
      <c r="F19" s="197">
        <v>47440</v>
      </c>
      <c r="G19" s="197">
        <v>47240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44001</v>
      </c>
      <c r="D20" s="196" t="s">
        <v>23</v>
      </c>
      <c r="E20" s="196" t="s">
        <v>24</v>
      </c>
      <c r="F20" s="197">
        <v>47400</v>
      </c>
      <c r="G20" s="197">
        <v>47330</v>
      </c>
      <c r="H20" s="196"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44004</v>
      </c>
      <c r="D21" s="196" t="s">
        <v>16</v>
      </c>
      <c r="E21" s="196" t="s">
        <v>24</v>
      </c>
      <c r="F21" s="197">
        <v>47980</v>
      </c>
      <c r="G21" s="197">
        <v>47880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44005</v>
      </c>
      <c r="D22" s="196" t="s">
        <v>16</v>
      </c>
      <c r="E22" s="196" t="s">
        <v>24</v>
      </c>
      <c r="F22" s="197">
        <v>47980</v>
      </c>
      <c r="G22" s="197">
        <v>47880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44006</v>
      </c>
      <c r="D23" s="196" t="s">
        <v>16</v>
      </c>
      <c r="E23" s="196" t="s">
        <v>24</v>
      </c>
      <c r="F23" s="197">
        <v>48500</v>
      </c>
      <c r="G23" s="197">
        <v>48570</v>
      </c>
      <c r="H23" s="196">
        <v>70</v>
      </c>
      <c r="I23" s="197">
        <v>100</v>
      </c>
      <c r="J23" s="268">
        <f t="shared" si="1"/>
        <v>7000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44007</v>
      </c>
      <c r="D24" s="196" t="s">
        <v>23</v>
      </c>
      <c r="E24" s="196" t="s">
        <v>24</v>
      </c>
      <c r="F24" s="197">
        <v>47960</v>
      </c>
      <c r="G24" s="197">
        <v>47860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44008</v>
      </c>
      <c r="D25" s="196" t="s">
        <v>16</v>
      </c>
      <c r="E25" s="196" t="s">
        <v>24</v>
      </c>
      <c r="F25" s="197">
        <v>47830</v>
      </c>
      <c r="G25" s="197">
        <v>48030</v>
      </c>
      <c r="H25" s="196">
        <v>200</v>
      </c>
      <c r="I25" s="197">
        <v>100</v>
      </c>
      <c r="J25" s="268">
        <f t="shared" si="1"/>
        <v>20000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44011</v>
      </c>
      <c r="D26" s="196" t="s">
        <v>23</v>
      </c>
      <c r="E26" s="196" t="s">
        <v>24</v>
      </c>
      <c r="F26" s="197">
        <v>48370</v>
      </c>
      <c r="G26" s="197">
        <v>48270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44012</v>
      </c>
      <c r="D27" s="196" t="s">
        <v>23</v>
      </c>
      <c r="E27" s="196" t="s">
        <v>24</v>
      </c>
      <c r="F27" s="197">
        <v>48370</v>
      </c>
      <c r="G27" s="197">
        <v>48270</v>
      </c>
      <c r="H27" s="196">
        <v>100</v>
      </c>
      <c r="I27" s="197">
        <v>100</v>
      </c>
      <c r="J27" s="268">
        <f t="shared" si="1"/>
        <v>10000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137000</v>
      </c>
      <c r="K39" s="185"/>
      <c r="V39" s="183">
        <f>SUM(V6:V38)</f>
        <v>14</v>
      </c>
      <c r="W39" s="183">
        <f>SUM(W6:W38)</f>
        <v>8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43983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43983</v>
      </c>
      <c r="D47" s="192" t="s">
        <v>23</v>
      </c>
      <c r="E47" s="192" t="s">
        <v>25</v>
      </c>
      <c r="F47" s="193">
        <v>2665</v>
      </c>
      <c r="G47" s="193">
        <v>2695</v>
      </c>
      <c r="H47" s="192">
        <v>-30</v>
      </c>
      <c r="I47" s="193">
        <v>100</v>
      </c>
      <c r="J47" s="267">
        <f t="shared" ref="J47:J69" si="6">I47*H47</f>
        <v>-3000</v>
      </c>
      <c r="K47" s="185"/>
      <c r="V47" s="183">
        <f>IF($J47&gt;0,1,0)</f>
        <v>0</v>
      </c>
      <c r="W47" s="183">
        <f>IF($J47&lt;0,1,0)</f>
        <v>1</v>
      </c>
    </row>
    <row r="48" spans="1:23" x14ac:dyDescent="0.3">
      <c r="A48" s="184"/>
      <c r="B48" s="194">
        <v>2</v>
      </c>
      <c r="C48" s="195">
        <v>43984</v>
      </c>
      <c r="D48" s="196" t="s">
        <v>23</v>
      </c>
      <c r="E48" s="196" t="s">
        <v>25</v>
      </c>
      <c r="F48" s="197">
        <v>2705</v>
      </c>
      <c r="G48" s="197">
        <v>2735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43985</v>
      </c>
      <c r="D49" s="196" t="s">
        <v>23</v>
      </c>
      <c r="E49" s="196" t="s">
        <v>25</v>
      </c>
      <c r="F49" s="197">
        <v>2850</v>
      </c>
      <c r="G49" s="197">
        <v>2790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43986</v>
      </c>
      <c r="D50" s="196" t="s">
        <v>23</v>
      </c>
      <c r="E50" s="196" t="s">
        <v>25</v>
      </c>
      <c r="F50" s="197">
        <v>2770</v>
      </c>
      <c r="G50" s="197">
        <v>2800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43987</v>
      </c>
      <c r="D51" s="196" t="s">
        <v>23</v>
      </c>
      <c r="E51" s="196" t="s">
        <v>25</v>
      </c>
      <c r="F51" s="197">
        <v>2870</v>
      </c>
      <c r="G51" s="197">
        <v>2900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43990</v>
      </c>
      <c r="D52" s="196" t="s">
        <v>23</v>
      </c>
      <c r="E52" s="196" t="s">
        <v>25</v>
      </c>
      <c r="F52" s="197">
        <v>3025</v>
      </c>
      <c r="G52" s="197">
        <v>2965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43991</v>
      </c>
      <c r="D53" s="196" t="s">
        <v>23</v>
      </c>
      <c r="E53" s="196" t="s">
        <v>25</v>
      </c>
      <c r="F53" s="197">
        <v>2830</v>
      </c>
      <c r="G53" s="197">
        <v>2805</v>
      </c>
      <c r="H53" s="196">
        <v>25</v>
      </c>
      <c r="I53" s="197">
        <v>100</v>
      </c>
      <c r="J53" s="268">
        <f t="shared" si="6"/>
        <v>2500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43992</v>
      </c>
      <c r="D54" s="196" t="s">
        <v>23</v>
      </c>
      <c r="E54" s="196" t="s">
        <v>25</v>
      </c>
      <c r="F54" s="197">
        <v>2880</v>
      </c>
      <c r="G54" s="197">
        <v>2850</v>
      </c>
      <c r="H54" s="196">
        <v>30</v>
      </c>
      <c r="I54" s="197">
        <v>100</v>
      </c>
      <c r="J54" s="268">
        <f t="shared" si="6"/>
        <v>3000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43993</v>
      </c>
      <c r="D55" s="196" t="s">
        <v>16</v>
      </c>
      <c r="E55" s="196" t="s">
        <v>25</v>
      </c>
      <c r="F55" s="197">
        <v>2915</v>
      </c>
      <c r="G55" s="197">
        <v>2875</v>
      </c>
      <c r="H55" s="196">
        <v>-40</v>
      </c>
      <c r="I55" s="197">
        <v>100</v>
      </c>
      <c r="J55" s="268">
        <f t="shared" si="6"/>
        <v>-4000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10</v>
      </c>
      <c r="C56" s="195">
        <v>43994</v>
      </c>
      <c r="D56" s="196" t="s">
        <v>23</v>
      </c>
      <c r="E56" s="196" t="s">
        <v>25</v>
      </c>
      <c r="F56" s="197">
        <v>2770</v>
      </c>
      <c r="G56" s="197">
        <v>2744</v>
      </c>
      <c r="H56" s="196">
        <v>26</v>
      </c>
      <c r="I56" s="197">
        <v>100</v>
      </c>
      <c r="J56" s="268">
        <f t="shared" si="6"/>
        <v>2600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43997</v>
      </c>
      <c r="D57" s="196" t="s">
        <v>23</v>
      </c>
      <c r="E57" s="196" t="s">
        <v>25</v>
      </c>
      <c r="F57" s="197">
        <v>2700</v>
      </c>
      <c r="G57" s="197">
        <v>2640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43998</v>
      </c>
      <c r="D58" s="196" t="s">
        <v>23</v>
      </c>
      <c r="E58" s="196" t="s">
        <v>25</v>
      </c>
      <c r="F58" s="197">
        <v>2875</v>
      </c>
      <c r="G58" s="197">
        <v>2857</v>
      </c>
      <c r="H58" s="196">
        <v>20</v>
      </c>
      <c r="I58" s="197">
        <v>100</v>
      </c>
      <c r="J58" s="268">
        <f t="shared" si="6"/>
        <v>2000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43999</v>
      </c>
      <c r="D59" s="196" t="s">
        <v>23</v>
      </c>
      <c r="E59" s="196" t="s">
        <v>25</v>
      </c>
      <c r="F59" s="197">
        <v>2925</v>
      </c>
      <c r="G59" s="197">
        <v>2865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44000</v>
      </c>
      <c r="D60" s="196" t="s">
        <v>23</v>
      </c>
      <c r="E60" s="196" t="s">
        <v>25</v>
      </c>
      <c r="F60" s="197">
        <v>2905</v>
      </c>
      <c r="G60" s="197">
        <v>2875</v>
      </c>
      <c r="H60" s="196">
        <v>30</v>
      </c>
      <c r="I60" s="197">
        <v>100</v>
      </c>
      <c r="J60" s="268">
        <f t="shared" si="6"/>
        <v>3000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44001</v>
      </c>
      <c r="D61" s="196" t="s">
        <v>23</v>
      </c>
      <c r="E61" s="196" t="s">
        <v>25</v>
      </c>
      <c r="F61" s="197">
        <v>3060</v>
      </c>
      <c r="G61" s="197">
        <v>3000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44004</v>
      </c>
      <c r="D62" s="196" t="s">
        <v>23</v>
      </c>
      <c r="E62" s="196" t="s">
        <v>25</v>
      </c>
      <c r="F62" s="197">
        <v>3035</v>
      </c>
      <c r="G62" s="197">
        <v>3005</v>
      </c>
      <c r="H62" s="196">
        <v>30</v>
      </c>
      <c r="I62" s="197">
        <v>100</v>
      </c>
      <c r="J62" s="268">
        <f t="shared" si="6"/>
        <v>3000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44005</v>
      </c>
      <c r="D63" s="196" t="s">
        <v>23</v>
      </c>
      <c r="E63" s="196" t="s">
        <v>25</v>
      </c>
      <c r="F63" s="197">
        <v>3145</v>
      </c>
      <c r="G63" s="197">
        <v>3095</v>
      </c>
      <c r="H63" s="196">
        <v>50</v>
      </c>
      <c r="I63" s="197">
        <v>100</v>
      </c>
      <c r="J63" s="268">
        <f t="shared" si="6"/>
        <v>5000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44006</v>
      </c>
      <c r="D64" s="196" t="s">
        <v>23</v>
      </c>
      <c r="E64" s="196" t="s">
        <v>25</v>
      </c>
      <c r="F64" s="197">
        <v>3020</v>
      </c>
      <c r="G64" s="197">
        <v>2960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44007</v>
      </c>
      <c r="D65" s="196" t="s">
        <v>23</v>
      </c>
      <c r="E65" s="196" t="s">
        <v>25</v>
      </c>
      <c r="F65" s="197">
        <v>2870</v>
      </c>
      <c r="G65" s="197">
        <v>2825</v>
      </c>
      <c r="H65" s="196">
        <v>45</v>
      </c>
      <c r="I65" s="197">
        <v>100</v>
      </c>
      <c r="J65" s="268">
        <f t="shared" si="6"/>
        <v>4500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44008</v>
      </c>
      <c r="D66" s="196" t="s">
        <v>23</v>
      </c>
      <c r="E66" s="196" t="s">
        <v>25</v>
      </c>
      <c r="F66" s="197">
        <v>2965</v>
      </c>
      <c r="G66" s="197">
        <v>2825</v>
      </c>
      <c r="H66" s="196">
        <v>40</v>
      </c>
      <c r="I66" s="197">
        <v>100</v>
      </c>
      <c r="J66" s="268">
        <f t="shared" si="6"/>
        <v>4000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44011</v>
      </c>
      <c r="D67" s="196" t="s">
        <v>23</v>
      </c>
      <c r="E67" s="196" t="s">
        <v>25</v>
      </c>
      <c r="F67" s="197">
        <v>2880</v>
      </c>
      <c r="G67" s="197">
        <v>2850</v>
      </c>
      <c r="H67" s="196">
        <v>30</v>
      </c>
      <c r="I67" s="197">
        <v>100</v>
      </c>
      <c r="J67" s="268">
        <f t="shared" si="6"/>
        <v>3000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>
        <v>44012</v>
      </c>
      <c r="D68" s="196" t="s">
        <v>23</v>
      </c>
      <c r="E68" s="196" t="s">
        <v>25</v>
      </c>
      <c r="F68" s="197">
        <v>2960</v>
      </c>
      <c r="G68" s="197">
        <v>2990</v>
      </c>
      <c r="H68" s="196">
        <v>-30</v>
      </c>
      <c r="I68" s="197">
        <v>100</v>
      </c>
      <c r="J68" s="268">
        <f t="shared" si="6"/>
        <v>-3000</v>
      </c>
      <c r="K68" s="185"/>
      <c r="V68" s="183">
        <f t="shared" si="7"/>
        <v>0</v>
      </c>
      <c r="W68" s="183">
        <f t="shared" si="8"/>
        <v>1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49600</v>
      </c>
      <c r="K70" s="185"/>
      <c r="V70" s="183">
        <f>SUM(V47:V69)</f>
        <v>16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43983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43983</v>
      </c>
      <c r="D78" s="216" t="s">
        <v>23</v>
      </c>
      <c r="E78" s="256" t="s">
        <v>28</v>
      </c>
      <c r="F78" s="256">
        <v>159.4</v>
      </c>
      <c r="G78" s="256">
        <v>157.9</v>
      </c>
      <c r="H78" s="256">
        <v>1.5</v>
      </c>
      <c r="I78" s="218">
        <v>5000</v>
      </c>
      <c r="J78" s="273">
        <f>I78*H78</f>
        <v>7500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43984</v>
      </c>
      <c r="D79" s="196" t="s">
        <v>23</v>
      </c>
      <c r="E79" s="222" t="s">
        <v>28</v>
      </c>
      <c r="F79" s="222">
        <v>160.6</v>
      </c>
      <c r="G79" s="222">
        <v>161.6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43985</v>
      </c>
      <c r="D80" s="196" t="s">
        <v>23</v>
      </c>
      <c r="E80" s="222" t="s">
        <v>28</v>
      </c>
      <c r="F80" s="222">
        <v>159.30000000000001</v>
      </c>
      <c r="G80" s="222">
        <v>160.30000000000001</v>
      </c>
      <c r="H80" s="222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4</v>
      </c>
      <c r="C81" s="195">
        <v>43986</v>
      </c>
      <c r="D81" s="196" t="s">
        <v>16</v>
      </c>
      <c r="E81" s="222" t="s">
        <v>28</v>
      </c>
      <c r="F81" s="222">
        <v>159.5</v>
      </c>
      <c r="G81" s="222">
        <v>161.19999999999999</v>
      </c>
      <c r="H81" s="222">
        <v>1.7</v>
      </c>
      <c r="I81" s="197">
        <v>5000</v>
      </c>
      <c r="J81" s="268">
        <f t="shared" si="9"/>
        <v>8500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43987</v>
      </c>
      <c r="D82" s="196" t="s">
        <v>16</v>
      </c>
      <c r="E82" s="222" t="s">
        <v>28</v>
      </c>
      <c r="F82" s="222">
        <v>163</v>
      </c>
      <c r="G82" s="222">
        <v>165</v>
      </c>
      <c r="H82" s="222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43990</v>
      </c>
      <c r="D83" s="196" t="s">
        <v>23</v>
      </c>
      <c r="E83" s="222" t="s">
        <v>28</v>
      </c>
      <c r="F83" s="222">
        <v>164.4</v>
      </c>
      <c r="G83" s="222">
        <v>163.4</v>
      </c>
      <c r="H83" s="222">
        <v>1</v>
      </c>
      <c r="I83" s="197">
        <v>5000</v>
      </c>
      <c r="J83" s="268">
        <f t="shared" si="9"/>
        <v>5000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43991</v>
      </c>
      <c r="D84" s="196" t="s">
        <v>23</v>
      </c>
      <c r="E84" s="222" t="s">
        <v>28</v>
      </c>
      <c r="F84" s="222">
        <v>163.80000000000001</v>
      </c>
      <c r="G84" s="222">
        <v>162.80000000000001</v>
      </c>
      <c r="H84" s="274">
        <v>1</v>
      </c>
      <c r="I84" s="197">
        <v>5000</v>
      </c>
      <c r="J84" s="268">
        <f t="shared" si="9"/>
        <v>5000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43992</v>
      </c>
      <c r="D85" s="196" t="s">
        <v>23</v>
      </c>
      <c r="E85" s="222" t="s">
        <v>28</v>
      </c>
      <c r="F85" s="222">
        <v>162.80000000000001</v>
      </c>
      <c r="G85" s="222">
        <v>163.80000000000001</v>
      </c>
      <c r="H85" s="222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9</v>
      </c>
      <c r="C86" s="195">
        <v>43993</v>
      </c>
      <c r="D86" s="196" t="s">
        <v>23</v>
      </c>
      <c r="E86" s="222" t="s">
        <v>28</v>
      </c>
      <c r="F86" s="222">
        <v>163</v>
      </c>
      <c r="G86" s="222">
        <v>162</v>
      </c>
      <c r="H86" s="222">
        <v>1</v>
      </c>
      <c r="I86" s="197">
        <v>5000</v>
      </c>
      <c r="J86" s="268">
        <f t="shared" si="9"/>
        <v>5000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43994</v>
      </c>
      <c r="D87" s="196" t="s">
        <v>23</v>
      </c>
      <c r="E87" s="222" t="s">
        <v>28</v>
      </c>
      <c r="F87" s="222">
        <v>161.1</v>
      </c>
      <c r="G87" s="222">
        <v>159.80000000000001</v>
      </c>
      <c r="H87" s="222">
        <v>1.3</v>
      </c>
      <c r="I87" s="197">
        <v>5000</v>
      </c>
      <c r="J87" s="268">
        <f t="shared" si="9"/>
        <v>6500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43997</v>
      </c>
      <c r="D88" s="196" t="s">
        <v>23</v>
      </c>
      <c r="E88" s="222" t="s">
        <v>28</v>
      </c>
      <c r="F88" s="222">
        <v>157.5</v>
      </c>
      <c r="G88" s="222">
        <v>157.1</v>
      </c>
      <c r="H88" s="274">
        <v>0.4</v>
      </c>
      <c r="I88" s="197">
        <v>5000</v>
      </c>
      <c r="J88" s="268">
        <f t="shared" si="9"/>
        <v>2000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43998</v>
      </c>
      <c r="D89" s="196" t="s">
        <v>23</v>
      </c>
      <c r="E89" s="222" t="s">
        <v>28</v>
      </c>
      <c r="F89" s="222">
        <v>160.69999999999999</v>
      </c>
      <c r="G89" s="222">
        <v>160.19999999999999</v>
      </c>
      <c r="H89" s="274">
        <v>0.5</v>
      </c>
      <c r="I89" s="197">
        <v>5000</v>
      </c>
      <c r="J89" s="268">
        <f t="shared" si="9"/>
        <v>2500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43999</v>
      </c>
      <c r="D90" s="196" t="s">
        <v>23</v>
      </c>
      <c r="E90" s="222" t="s">
        <v>28</v>
      </c>
      <c r="F90" s="222">
        <v>159</v>
      </c>
      <c r="G90" s="222">
        <v>158.4</v>
      </c>
      <c r="H90" s="274">
        <v>0.6</v>
      </c>
      <c r="I90" s="197">
        <v>5000</v>
      </c>
      <c r="J90" s="268">
        <f t="shared" si="9"/>
        <v>3000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44000</v>
      </c>
      <c r="D91" s="196" t="s">
        <v>23</v>
      </c>
      <c r="E91" s="222" t="s">
        <v>28</v>
      </c>
      <c r="F91" s="222">
        <v>160.9</v>
      </c>
      <c r="G91" s="222">
        <v>160.5</v>
      </c>
      <c r="H91" s="274">
        <v>0.4</v>
      </c>
      <c r="I91" s="197">
        <v>5000</v>
      </c>
      <c r="J91" s="268">
        <f t="shared" si="9"/>
        <v>2000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44001</v>
      </c>
      <c r="D92" s="196" t="s">
        <v>23</v>
      </c>
      <c r="E92" s="222" t="s">
        <v>28</v>
      </c>
      <c r="F92" s="223">
        <v>163</v>
      </c>
      <c r="G92" s="222">
        <v>162</v>
      </c>
      <c r="H92" s="274">
        <v>1</v>
      </c>
      <c r="I92" s="197">
        <v>5000</v>
      </c>
      <c r="J92" s="268">
        <f t="shared" si="9"/>
        <v>5000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44004</v>
      </c>
      <c r="D93" s="196" t="s">
        <v>16</v>
      </c>
      <c r="E93" s="222" t="s">
        <v>28</v>
      </c>
      <c r="F93" s="222">
        <v>163.1</v>
      </c>
      <c r="G93" s="222">
        <v>163.6</v>
      </c>
      <c r="H93" s="274">
        <v>0.5</v>
      </c>
      <c r="I93" s="197">
        <v>5000</v>
      </c>
      <c r="J93" s="268">
        <f t="shared" si="9"/>
        <v>2500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44005</v>
      </c>
      <c r="D94" s="196" t="s">
        <v>23</v>
      </c>
      <c r="E94" s="222" t="s">
        <v>28</v>
      </c>
      <c r="F94" s="222">
        <v>161.80000000000001</v>
      </c>
      <c r="G94" s="222">
        <v>161.4</v>
      </c>
      <c r="H94" s="274">
        <v>0.4</v>
      </c>
      <c r="I94" s="197">
        <v>5000</v>
      </c>
      <c r="J94" s="268">
        <f t="shared" si="9"/>
        <v>2000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44006</v>
      </c>
      <c r="D95" s="196" t="s">
        <v>16</v>
      </c>
      <c r="E95" s="222" t="s">
        <v>28</v>
      </c>
      <c r="F95" s="222">
        <v>161.4</v>
      </c>
      <c r="G95" s="222">
        <v>161.9</v>
      </c>
      <c r="H95" s="274">
        <v>0.5</v>
      </c>
      <c r="I95" s="197">
        <v>5000</v>
      </c>
      <c r="J95" s="268">
        <f t="shared" si="9"/>
        <v>2500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44007</v>
      </c>
      <c r="D96" s="196" t="s">
        <v>23</v>
      </c>
      <c r="E96" s="222" t="s">
        <v>28</v>
      </c>
      <c r="F96" s="222">
        <v>161.80000000000001</v>
      </c>
      <c r="G96" s="222">
        <v>162.80000000000001</v>
      </c>
      <c r="H96" s="274">
        <v>-1</v>
      </c>
      <c r="I96" s="197">
        <v>5000</v>
      </c>
      <c r="J96" s="268">
        <f t="shared" si="9"/>
        <v>-5000</v>
      </c>
      <c r="K96" s="185"/>
      <c r="V96" s="183">
        <f t="shared" si="10"/>
        <v>0</v>
      </c>
      <c r="W96" s="183">
        <f t="shared" si="11"/>
        <v>1</v>
      </c>
    </row>
    <row r="97" spans="1:23" x14ac:dyDescent="0.3">
      <c r="A97" s="184"/>
      <c r="B97" s="194">
        <v>20</v>
      </c>
      <c r="C97" s="195">
        <v>44008</v>
      </c>
      <c r="D97" s="196" t="s">
        <v>16</v>
      </c>
      <c r="E97" s="222" t="s">
        <v>28</v>
      </c>
      <c r="F97" s="222">
        <v>165.2</v>
      </c>
      <c r="G97" s="222">
        <v>165.8</v>
      </c>
      <c r="H97" s="274">
        <v>0.6</v>
      </c>
      <c r="I97" s="197">
        <v>5000</v>
      </c>
      <c r="J97" s="268">
        <f t="shared" si="9"/>
        <v>3000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21</v>
      </c>
      <c r="C98" s="195">
        <v>44011</v>
      </c>
      <c r="D98" s="196" t="s">
        <v>16</v>
      </c>
      <c r="E98" s="222" t="s">
        <v>28</v>
      </c>
      <c r="F98" s="222">
        <v>164.4</v>
      </c>
      <c r="G98" s="222">
        <v>165.4</v>
      </c>
      <c r="H98" s="274">
        <v>1</v>
      </c>
      <c r="I98" s="197">
        <v>5000</v>
      </c>
      <c r="J98" s="268">
        <f t="shared" si="9"/>
        <v>5000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>
        <v>44012</v>
      </c>
      <c r="D99" s="196" t="s">
        <v>23</v>
      </c>
      <c r="E99" s="222" t="s">
        <v>28</v>
      </c>
      <c r="F99" s="222">
        <v>165</v>
      </c>
      <c r="G99" s="222">
        <v>163.5</v>
      </c>
      <c r="H99" s="222">
        <v>1.5</v>
      </c>
      <c r="I99" s="197">
        <v>5000</v>
      </c>
      <c r="J99" s="268">
        <f t="shared" si="9"/>
        <v>7500</v>
      </c>
      <c r="K99" s="185"/>
      <c r="V99" s="183">
        <f t="shared" si="10"/>
        <v>1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74500</v>
      </c>
      <c r="K101" s="185"/>
      <c r="V101" s="183">
        <f>SUM(V78:V100)</f>
        <v>19</v>
      </c>
      <c r="W101" s="183">
        <f>SUM(W78:W100)</f>
        <v>3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A00-000000000000}"/>
    <hyperlink ref="B70" r:id="rId2" xr:uid="{00000000-0004-0000-5A00-000001000000}"/>
    <hyperlink ref="M4:M5" location="'MAY 2020'!A1" display="BULLION" xr:uid="{00000000-0004-0000-5A00-000002000000}"/>
    <hyperlink ref="B101" r:id="rId3" xr:uid="{00000000-0004-0000-5A00-000003000000}"/>
    <hyperlink ref="M8:M9" location="'MAY 2020'!A86" display="BASE METAL" xr:uid="{00000000-0004-0000-5A00-000004000000}"/>
    <hyperlink ref="M1" location="MASTER!A1" display="Back" xr:uid="{00000000-0004-0000-5A00-000005000000}"/>
    <hyperlink ref="M6:M7" location="'MAY 2020'!A54" display="ENERGY" xr:uid="{00000000-0004-0000-5A00-000006000000}"/>
  </hyperlinks>
  <pageMargins left="0" right="0" top="0" bottom="0" header="0" footer="0"/>
  <pageSetup paperSize="9" orientation="portrait" r:id="rId4"/>
  <drawing r:id="rId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44013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22</v>
      </c>
      <c r="O4" s="355">
        <f>V39</f>
        <v>17</v>
      </c>
      <c r="P4" s="355">
        <f>W39</f>
        <v>5</v>
      </c>
      <c r="Q4" s="356">
        <f>N4-O4-P4</f>
        <v>0</v>
      </c>
      <c r="R4" s="343">
        <f>O4/N4</f>
        <v>0.77272727272727271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44013</v>
      </c>
      <c r="D6" s="192" t="s">
        <v>23</v>
      </c>
      <c r="E6" s="192" t="s">
        <v>24</v>
      </c>
      <c r="F6" s="193">
        <v>48900</v>
      </c>
      <c r="G6" s="193">
        <v>48700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COUNT(C47:C69)</f>
        <v>23</v>
      </c>
      <c r="O6" s="348">
        <f>V70</f>
        <v>19</v>
      </c>
      <c r="P6" s="348">
        <f>W70</f>
        <v>4</v>
      </c>
      <c r="Q6" s="349">
        <f>N6-O6-P6</f>
        <v>0</v>
      </c>
      <c r="R6" s="345">
        <f t="shared" ref="R6" si="0">O6/N6</f>
        <v>0.82608695652173914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44014</v>
      </c>
      <c r="D7" s="196" t="s">
        <v>16</v>
      </c>
      <c r="E7" s="196" t="s">
        <v>24</v>
      </c>
      <c r="F7" s="197">
        <v>48200</v>
      </c>
      <c r="G7" s="197">
        <v>48260</v>
      </c>
      <c r="H7" s="196">
        <v>60</v>
      </c>
      <c r="I7" s="197">
        <v>100</v>
      </c>
      <c r="J7" s="268">
        <f t="shared" ref="J7:J38" si="1">H7*I7</f>
        <v>6000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44015</v>
      </c>
      <c r="D8" s="196" t="s">
        <v>23</v>
      </c>
      <c r="E8" s="196" t="s">
        <v>24</v>
      </c>
      <c r="F8" s="197">
        <v>48130</v>
      </c>
      <c r="G8" s="197">
        <v>47990</v>
      </c>
      <c r="H8" s="196">
        <v>140</v>
      </c>
      <c r="I8" s="197">
        <v>100</v>
      </c>
      <c r="J8" s="268">
        <f t="shared" si="1"/>
        <v>14000</v>
      </c>
      <c r="K8" s="185"/>
      <c r="M8" s="362" t="s">
        <v>877</v>
      </c>
      <c r="N8" s="347">
        <f>COUNT(C78:C100)</f>
        <v>23</v>
      </c>
      <c r="O8" s="348">
        <f>V101</f>
        <v>19</v>
      </c>
      <c r="P8" s="348">
        <f>W101</f>
        <v>4</v>
      </c>
      <c r="Q8" s="349">
        <f>N8-O8-P8</f>
        <v>0</v>
      </c>
      <c r="R8" s="345">
        <f t="shared" ref="R8" si="4">O8/N8</f>
        <v>0.82608695652173914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44018</v>
      </c>
      <c r="D9" s="196" t="s">
        <v>16</v>
      </c>
      <c r="E9" s="196" t="s">
        <v>24</v>
      </c>
      <c r="F9" s="197">
        <v>48050</v>
      </c>
      <c r="G9" s="197">
        <v>47950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44019</v>
      </c>
      <c r="D10" s="196" t="s">
        <v>16</v>
      </c>
      <c r="E10" s="196" t="s">
        <v>24</v>
      </c>
      <c r="F10" s="197">
        <v>48150</v>
      </c>
      <c r="G10" s="197">
        <v>48350</v>
      </c>
      <c r="H10" s="196">
        <v>200</v>
      </c>
      <c r="I10" s="197">
        <v>100</v>
      </c>
      <c r="J10" s="268">
        <f t="shared" si="1"/>
        <v>20000</v>
      </c>
      <c r="K10" s="185"/>
      <c r="M10" s="319" t="s">
        <v>300</v>
      </c>
      <c r="N10" s="321">
        <f>SUM(N4:N9)</f>
        <v>68</v>
      </c>
      <c r="O10" s="321">
        <f>SUM(O4:O9)</f>
        <v>55</v>
      </c>
      <c r="P10" s="321">
        <f>SUM(P4:P9)</f>
        <v>13</v>
      </c>
      <c r="Q10" s="341">
        <f>SUM(Q4:Q9)</f>
        <v>0</v>
      </c>
      <c r="R10" s="343">
        <f t="shared" ref="R10" si="5">O10/N10</f>
        <v>0.80882352941176472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44020</v>
      </c>
      <c r="D11" s="196" t="s">
        <v>16</v>
      </c>
      <c r="E11" s="196" t="s">
        <v>24</v>
      </c>
      <c r="F11" s="197">
        <v>48830</v>
      </c>
      <c r="G11" s="197">
        <v>49030</v>
      </c>
      <c r="H11" s="196">
        <v>200</v>
      </c>
      <c r="I11" s="197">
        <v>100</v>
      </c>
      <c r="J11" s="268">
        <f t="shared" si="1"/>
        <v>20000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44021</v>
      </c>
      <c r="D12" s="196" t="s">
        <v>16</v>
      </c>
      <c r="E12" s="196" t="s">
        <v>24</v>
      </c>
      <c r="F12" s="197">
        <v>49250</v>
      </c>
      <c r="G12" s="197">
        <v>49150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0.80882352941176472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44022</v>
      </c>
      <c r="D13" s="196" t="s">
        <v>16</v>
      </c>
      <c r="E13" s="196" t="s">
        <v>24</v>
      </c>
      <c r="F13" s="197">
        <v>48980</v>
      </c>
      <c r="G13" s="197">
        <v>49180</v>
      </c>
      <c r="H13" s="196">
        <v>200</v>
      </c>
      <c r="I13" s="197">
        <v>100</v>
      </c>
      <c r="J13" s="268">
        <f t="shared" si="1"/>
        <v>20000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44025</v>
      </c>
      <c r="D14" s="196" t="s">
        <v>23</v>
      </c>
      <c r="E14" s="196" t="s">
        <v>24</v>
      </c>
      <c r="F14" s="197">
        <v>49000</v>
      </c>
      <c r="G14" s="197">
        <v>49100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44026</v>
      </c>
      <c r="D15" s="196" t="s">
        <v>16</v>
      </c>
      <c r="E15" s="196" t="s">
        <v>24</v>
      </c>
      <c r="F15" s="197">
        <v>49020</v>
      </c>
      <c r="G15" s="197">
        <v>49080</v>
      </c>
      <c r="H15" s="196">
        <v>60</v>
      </c>
      <c r="I15" s="197">
        <v>100</v>
      </c>
      <c r="J15" s="268">
        <f t="shared" si="1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44027</v>
      </c>
      <c r="D16" s="196" t="s">
        <v>23</v>
      </c>
      <c r="E16" s="196" t="s">
        <v>24</v>
      </c>
      <c r="F16" s="197">
        <v>49130</v>
      </c>
      <c r="G16" s="197">
        <v>49010</v>
      </c>
      <c r="H16" s="196">
        <v>120</v>
      </c>
      <c r="I16" s="197">
        <v>100</v>
      </c>
      <c r="J16" s="268">
        <f t="shared" si="1"/>
        <v>12000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44028</v>
      </c>
      <c r="D17" s="196" t="s">
        <v>23</v>
      </c>
      <c r="E17" s="196" t="s">
        <v>24</v>
      </c>
      <c r="F17" s="197">
        <v>49050</v>
      </c>
      <c r="G17" s="197">
        <v>48850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44029</v>
      </c>
      <c r="D18" s="196" t="s">
        <v>16</v>
      </c>
      <c r="E18" s="196" t="s">
        <v>24</v>
      </c>
      <c r="F18" s="197">
        <v>48780</v>
      </c>
      <c r="G18" s="197">
        <v>48980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44032</v>
      </c>
      <c r="D19" s="196" t="s">
        <v>23</v>
      </c>
      <c r="E19" s="196" t="s">
        <v>24</v>
      </c>
      <c r="F19" s="197">
        <v>48940</v>
      </c>
      <c r="G19" s="197">
        <v>48880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44033</v>
      </c>
      <c r="D20" s="196" t="s">
        <v>23</v>
      </c>
      <c r="E20" s="196" t="s">
        <v>24</v>
      </c>
      <c r="F20" s="197">
        <v>49200</v>
      </c>
      <c r="G20" s="197">
        <v>49120</v>
      </c>
      <c r="H20" s="196">
        <v>80</v>
      </c>
      <c r="I20" s="197">
        <v>100</v>
      </c>
      <c r="J20" s="268">
        <f t="shared" si="1"/>
        <v>8000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44034</v>
      </c>
      <c r="D21" s="196" t="s">
        <v>16</v>
      </c>
      <c r="E21" s="196" t="s">
        <v>24</v>
      </c>
      <c r="F21" s="197">
        <v>50030</v>
      </c>
      <c r="G21" s="197">
        <v>49930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44035</v>
      </c>
      <c r="D22" s="196" t="s">
        <v>16</v>
      </c>
      <c r="E22" s="196" t="s">
        <v>24</v>
      </c>
      <c r="F22" s="197">
        <v>50500</v>
      </c>
      <c r="G22" s="197">
        <v>50700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44036</v>
      </c>
      <c r="D23" s="196" t="s">
        <v>16</v>
      </c>
      <c r="E23" s="196" t="s">
        <v>24</v>
      </c>
      <c r="F23" s="197">
        <v>50780</v>
      </c>
      <c r="G23" s="197">
        <v>50920</v>
      </c>
      <c r="H23" s="196">
        <v>140</v>
      </c>
      <c r="I23" s="197">
        <v>100</v>
      </c>
      <c r="J23" s="268">
        <f t="shared" si="1"/>
        <v>14000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44039</v>
      </c>
      <c r="D24" s="196" t="s">
        <v>16</v>
      </c>
      <c r="E24" s="196" t="s">
        <v>24</v>
      </c>
      <c r="F24" s="197">
        <v>51880</v>
      </c>
      <c r="G24" s="197">
        <v>52080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44040</v>
      </c>
      <c r="D25" s="196" t="s">
        <v>16</v>
      </c>
      <c r="E25" s="196" t="s">
        <v>24</v>
      </c>
      <c r="F25" s="197">
        <v>51760</v>
      </c>
      <c r="G25" s="197">
        <v>51960</v>
      </c>
      <c r="H25" s="196">
        <v>200</v>
      </c>
      <c r="I25" s="197">
        <v>100</v>
      </c>
      <c r="J25" s="268">
        <f t="shared" si="1"/>
        <v>20000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44041</v>
      </c>
      <c r="D26" s="196" t="s">
        <v>16</v>
      </c>
      <c r="E26" s="196" t="s">
        <v>24</v>
      </c>
      <c r="F26" s="197">
        <v>52780</v>
      </c>
      <c r="G26" s="197">
        <v>52680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44043</v>
      </c>
      <c r="D27" s="196" t="s">
        <v>16</v>
      </c>
      <c r="E27" s="196" t="s">
        <v>24</v>
      </c>
      <c r="F27" s="197">
        <v>53350</v>
      </c>
      <c r="G27" s="197">
        <v>53550</v>
      </c>
      <c r="H27" s="196">
        <v>200</v>
      </c>
      <c r="I27" s="197">
        <v>100</v>
      </c>
      <c r="J27" s="268">
        <f t="shared" si="1"/>
        <v>20000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216000</v>
      </c>
      <c r="K39" s="185"/>
      <c r="V39" s="183">
        <f>SUM(V6:V38)</f>
        <v>17</v>
      </c>
      <c r="W39" s="183">
        <f>SUM(W6:W38)</f>
        <v>5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44013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44013</v>
      </c>
      <c r="D47" s="192" t="s">
        <v>23</v>
      </c>
      <c r="E47" s="192" t="s">
        <v>25</v>
      </c>
      <c r="F47" s="193">
        <v>3065</v>
      </c>
      <c r="G47" s="193">
        <v>3005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44014</v>
      </c>
      <c r="D48" s="196" t="s">
        <v>16</v>
      </c>
      <c r="E48" s="196" t="s">
        <v>25</v>
      </c>
      <c r="F48" s="197">
        <v>3015</v>
      </c>
      <c r="G48" s="197">
        <v>3045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44015</v>
      </c>
      <c r="D49" s="196" t="s">
        <v>23</v>
      </c>
      <c r="E49" s="196" t="s">
        <v>25</v>
      </c>
      <c r="F49" s="197">
        <v>3020</v>
      </c>
      <c r="G49" s="197">
        <v>2990</v>
      </c>
      <c r="H49" s="196">
        <v>30</v>
      </c>
      <c r="I49" s="197">
        <v>100</v>
      </c>
      <c r="J49" s="268">
        <f t="shared" si="6"/>
        <v>3000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44018</v>
      </c>
      <c r="D50" s="196" t="s">
        <v>23</v>
      </c>
      <c r="E50" s="196" t="s">
        <v>25</v>
      </c>
      <c r="F50" s="197">
        <v>3075</v>
      </c>
      <c r="G50" s="197">
        <v>3015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44019</v>
      </c>
      <c r="D51" s="196" t="s">
        <v>23</v>
      </c>
      <c r="E51" s="196" t="s">
        <v>25</v>
      </c>
      <c r="F51" s="197">
        <v>3010</v>
      </c>
      <c r="G51" s="197">
        <v>2995</v>
      </c>
      <c r="H51" s="196">
        <v>15</v>
      </c>
      <c r="I51" s="197">
        <v>100</v>
      </c>
      <c r="J51" s="268">
        <f t="shared" si="6"/>
        <v>1500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44020</v>
      </c>
      <c r="D52" s="196" t="s">
        <v>23</v>
      </c>
      <c r="E52" s="196" t="s">
        <v>25</v>
      </c>
      <c r="F52" s="197">
        <v>3045</v>
      </c>
      <c r="G52" s="197">
        <v>3075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7</v>
      </c>
      <c r="C53" s="195">
        <v>44021</v>
      </c>
      <c r="D53" s="196" t="s">
        <v>23</v>
      </c>
      <c r="E53" s="196" t="s">
        <v>25</v>
      </c>
      <c r="F53" s="197">
        <v>3065</v>
      </c>
      <c r="G53" s="197">
        <v>3005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44022</v>
      </c>
      <c r="D54" s="196" t="s">
        <v>23</v>
      </c>
      <c r="E54" s="196" t="s">
        <v>25</v>
      </c>
      <c r="F54" s="197">
        <v>2940</v>
      </c>
      <c r="G54" s="197">
        <v>2910</v>
      </c>
      <c r="H54" s="196">
        <v>30</v>
      </c>
      <c r="I54" s="197">
        <v>100</v>
      </c>
      <c r="J54" s="268">
        <f t="shared" si="6"/>
        <v>3000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44025</v>
      </c>
      <c r="D55" s="196" t="s">
        <v>23</v>
      </c>
      <c r="E55" s="196" t="s">
        <v>25</v>
      </c>
      <c r="F55" s="197">
        <v>3025</v>
      </c>
      <c r="G55" s="197">
        <v>2985</v>
      </c>
      <c r="H55" s="196">
        <v>40</v>
      </c>
      <c r="I55" s="197">
        <v>100</v>
      </c>
      <c r="J55" s="268">
        <f t="shared" si="6"/>
        <v>4000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44026</v>
      </c>
      <c r="D56" s="196" t="s">
        <v>23</v>
      </c>
      <c r="E56" s="196" t="s">
        <v>25</v>
      </c>
      <c r="F56" s="197">
        <v>2985</v>
      </c>
      <c r="G56" s="197">
        <v>2968</v>
      </c>
      <c r="H56" s="196">
        <v>17</v>
      </c>
      <c r="I56" s="197">
        <v>100</v>
      </c>
      <c r="J56" s="268">
        <f t="shared" si="6"/>
        <v>1700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44027</v>
      </c>
      <c r="D57" s="196" t="s">
        <v>23</v>
      </c>
      <c r="E57" s="196" t="s">
        <v>25</v>
      </c>
      <c r="F57" s="197">
        <v>3060</v>
      </c>
      <c r="G57" s="197">
        <v>3015</v>
      </c>
      <c r="H57" s="196">
        <v>45</v>
      </c>
      <c r="I57" s="197">
        <v>100</v>
      </c>
      <c r="J57" s="268">
        <f t="shared" si="6"/>
        <v>4500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44028</v>
      </c>
      <c r="D58" s="196" t="s">
        <v>23</v>
      </c>
      <c r="E58" s="196" t="s">
        <v>25</v>
      </c>
      <c r="F58" s="197">
        <v>3075</v>
      </c>
      <c r="G58" s="197">
        <v>3060</v>
      </c>
      <c r="H58" s="196">
        <v>15</v>
      </c>
      <c r="I58" s="197">
        <v>100</v>
      </c>
      <c r="J58" s="268">
        <f t="shared" si="6"/>
        <v>1500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44029</v>
      </c>
      <c r="D59" s="196" t="s">
        <v>23</v>
      </c>
      <c r="E59" s="196" t="s">
        <v>25</v>
      </c>
      <c r="F59" s="197">
        <v>3035</v>
      </c>
      <c r="G59" s="197">
        <v>3065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44032</v>
      </c>
      <c r="D60" s="196" t="s">
        <v>23</v>
      </c>
      <c r="E60" s="196" t="s">
        <v>25</v>
      </c>
      <c r="F60" s="197">
        <v>3015</v>
      </c>
      <c r="G60" s="197">
        <v>2985</v>
      </c>
      <c r="H60" s="196">
        <v>25</v>
      </c>
      <c r="I60" s="197">
        <v>100</v>
      </c>
      <c r="J60" s="268">
        <f t="shared" si="6"/>
        <v>2500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44033</v>
      </c>
      <c r="D61" s="196" t="s">
        <v>23</v>
      </c>
      <c r="E61" s="196" t="s">
        <v>25</v>
      </c>
      <c r="F61" s="197">
        <v>3085</v>
      </c>
      <c r="G61" s="197">
        <v>3115</v>
      </c>
      <c r="H61" s="196">
        <v>-30</v>
      </c>
      <c r="I61" s="197">
        <v>100</v>
      </c>
      <c r="J61" s="268">
        <f t="shared" si="6"/>
        <v>-3000</v>
      </c>
      <c r="K61" s="185"/>
      <c r="V61" s="183">
        <f t="shared" si="7"/>
        <v>0</v>
      </c>
      <c r="W61" s="183">
        <f t="shared" si="8"/>
        <v>1</v>
      </c>
    </row>
    <row r="62" spans="1:23" x14ac:dyDescent="0.3">
      <c r="A62" s="184"/>
      <c r="B62" s="194">
        <v>16</v>
      </c>
      <c r="C62" s="195">
        <v>44034</v>
      </c>
      <c r="D62" s="196" t="s">
        <v>23</v>
      </c>
      <c r="E62" s="196" t="s">
        <v>25</v>
      </c>
      <c r="F62" s="197">
        <v>3120</v>
      </c>
      <c r="G62" s="197">
        <v>3075</v>
      </c>
      <c r="H62" s="196">
        <v>45</v>
      </c>
      <c r="I62" s="197">
        <v>100</v>
      </c>
      <c r="J62" s="268">
        <f t="shared" si="6"/>
        <v>4500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44035</v>
      </c>
      <c r="D63" s="196" t="s">
        <v>23</v>
      </c>
      <c r="E63" s="196" t="s">
        <v>25</v>
      </c>
      <c r="F63" s="197">
        <v>3170</v>
      </c>
      <c r="G63" s="197">
        <v>3130</v>
      </c>
      <c r="H63" s="196">
        <v>40</v>
      </c>
      <c r="I63" s="197">
        <v>100</v>
      </c>
      <c r="J63" s="268">
        <f t="shared" si="6"/>
        <v>4000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44036</v>
      </c>
      <c r="D64" s="196" t="s">
        <v>23</v>
      </c>
      <c r="E64" s="196" t="s">
        <v>25</v>
      </c>
      <c r="F64" s="197">
        <v>3075</v>
      </c>
      <c r="G64" s="197">
        <v>3057</v>
      </c>
      <c r="H64" s="196">
        <v>18</v>
      </c>
      <c r="I64" s="197">
        <v>100</v>
      </c>
      <c r="J64" s="268">
        <f t="shared" si="6"/>
        <v>1800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44039</v>
      </c>
      <c r="D65" s="196" t="s">
        <v>23</v>
      </c>
      <c r="E65" s="196" t="s">
        <v>25</v>
      </c>
      <c r="F65" s="197">
        <v>3085</v>
      </c>
      <c r="G65" s="197">
        <v>3115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20</v>
      </c>
      <c r="C66" s="195">
        <v>44040</v>
      </c>
      <c r="D66" s="196" t="s">
        <v>23</v>
      </c>
      <c r="E66" s="196" t="s">
        <v>25</v>
      </c>
      <c r="F66" s="197">
        <v>3120</v>
      </c>
      <c r="G66" s="197">
        <v>3060</v>
      </c>
      <c r="H66" s="196"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44041</v>
      </c>
      <c r="D67" s="196" t="s">
        <v>23</v>
      </c>
      <c r="E67" s="196" t="s">
        <v>25</v>
      </c>
      <c r="F67" s="197">
        <v>3095</v>
      </c>
      <c r="G67" s="197">
        <v>3080</v>
      </c>
      <c r="H67" s="196">
        <v>15</v>
      </c>
      <c r="I67" s="197">
        <v>100</v>
      </c>
      <c r="J67" s="268">
        <f t="shared" si="6"/>
        <v>1500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>
        <v>44042</v>
      </c>
      <c r="D68" s="196" t="s">
        <v>23</v>
      </c>
      <c r="E68" s="196" t="s">
        <v>25</v>
      </c>
      <c r="F68" s="197">
        <v>3075</v>
      </c>
      <c r="G68" s="197">
        <v>3033</v>
      </c>
      <c r="H68" s="196">
        <v>42</v>
      </c>
      <c r="I68" s="197">
        <v>100</v>
      </c>
      <c r="J68" s="268">
        <f t="shared" si="6"/>
        <v>4200</v>
      </c>
      <c r="K68" s="185"/>
      <c r="V68" s="183">
        <f t="shared" si="7"/>
        <v>1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>
        <v>44043</v>
      </c>
      <c r="D69" s="196" t="s">
        <v>23</v>
      </c>
      <c r="E69" s="196" t="s">
        <v>25</v>
      </c>
      <c r="F69" s="197">
        <v>3020</v>
      </c>
      <c r="G69" s="197">
        <v>3000</v>
      </c>
      <c r="H69" s="196">
        <v>20</v>
      </c>
      <c r="I69" s="202">
        <v>100</v>
      </c>
      <c r="J69" s="269">
        <f t="shared" si="6"/>
        <v>2000</v>
      </c>
      <c r="K69" s="185"/>
      <c r="V69" s="183">
        <f t="shared" si="7"/>
        <v>1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54700</v>
      </c>
      <c r="K70" s="185"/>
      <c r="V70" s="183">
        <f>SUM(V47:V69)</f>
        <v>19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44013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44013</v>
      </c>
      <c r="D78" s="216" t="s">
        <v>23</v>
      </c>
      <c r="E78" s="256" t="s">
        <v>28</v>
      </c>
      <c r="F78" s="256">
        <v>163.5</v>
      </c>
      <c r="G78" s="256">
        <v>163.1</v>
      </c>
      <c r="H78" s="256">
        <v>0.4</v>
      </c>
      <c r="I78" s="218">
        <v>5000</v>
      </c>
      <c r="J78" s="273">
        <f>I78*H78</f>
        <v>2000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44014</v>
      </c>
      <c r="D79" s="196" t="s">
        <v>16</v>
      </c>
      <c r="E79" s="222" t="s">
        <v>28</v>
      </c>
      <c r="F79" s="222">
        <v>164.7</v>
      </c>
      <c r="G79" s="222">
        <v>165.1</v>
      </c>
      <c r="H79" s="222">
        <v>0.6</v>
      </c>
      <c r="I79" s="197">
        <v>5000</v>
      </c>
      <c r="J79" s="268">
        <f t="shared" ref="J79:J100" si="9">I79*H79</f>
        <v>3000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44015</v>
      </c>
      <c r="D80" s="196" t="s">
        <v>23</v>
      </c>
      <c r="E80" s="222" t="s">
        <v>28</v>
      </c>
      <c r="F80" s="222">
        <v>162.30000000000001</v>
      </c>
      <c r="G80" s="222">
        <v>161.55000000000001</v>
      </c>
      <c r="H80" s="222">
        <v>0.75</v>
      </c>
      <c r="I80" s="197">
        <v>5000</v>
      </c>
      <c r="J80" s="268">
        <f t="shared" si="9"/>
        <v>3750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44018</v>
      </c>
      <c r="D81" s="196" t="s">
        <v>23</v>
      </c>
      <c r="E81" s="222" t="s">
        <v>28</v>
      </c>
      <c r="F81" s="222">
        <v>163.4</v>
      </c>
      <c r="G81" s="222">
        <v>164.4</v>
      </c>
      <c r="H81" s="222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5</v>
      </c>
      <c r="C82" s="195">
        <v>44019</v>
      </c>
      <c r="D82" s="196" t="s">
        <v>16</v>
      </c>
      <c r="E82" s="222" t="s">
        <v>28</v>
      </c>
      <c r="F82" s="222">
        <v>163.4</v>
      </c>
      <c r="G82" s="222">
        <v>165.4</v>
      </c>
      <c r="H82" s="222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44020</v>
      </c>
      <c r="D83" s="196" t="s">
        <v>23</v>
      </c>
      <c r="E83" s="222" t="s">
        <v>28</v>
      </c>
      <c r="F83" s="222">
        <v>166.2</v>
      </c>
      <c r="G83" s="222">
        <v>165.8</v>
      </c>
      <c r="H83" s="222">
        <v>0.4</v>
      </c>
      <c r="I83" s="197">
        <v>5000</v>
      </c>
      <c r="J83" s="268">
        <f t="shared" si="9"/>
        <v>2000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44021</v>
      </c>
      <c r="D84" s="196" t="s">
        <v>23</v>
      </c>
      <c r="E84" s="222" t="s">
        <v>28</v>
      </c>
      <c r="F84" s="222">
        <v>169.4</v>
      </c>
      <c r="G84" s="222">
        <v>168</v>
      </c>
      <c r="H84" s="274">
        <v>1.4</v>
      </c>
      <c r="I84" s="197">
        <v>5000</v>
      </c>
      <c r="J84" s="268">
        <f t="shared" si="9"/>
        <v>7000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44022</v>
      </c>
      <c r="D85" s="196" t="s">
        <v>23</v>
      </c>
      <c r="E85" s="222" t="s">
        <v>28</v>
      </c>
      <c r="F85" s="222">
        <v>168.6</v>
      </c>
      <c r="G85" s="222">
        <v>168.2</v>
      </c>
      <c r="H85" s="222">
        <v>0.4</v>
      </c>
      <c r="I85" s="197">
        <v>5000</v>
      </c>
      <c r="J85" s="268">
        <f t="shared" si="9"/>
        <v>2000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44025</v>
      </c>
      <c r="D86" s="196" t="s">
        <v>23</v>
      </c>
      <c r="E86" s="222" t="s">
        <v>28</v>
      </c>
      <c r="F86" s="222">
        <v>174</v>
      </c>
      <c r="G86" s="222">
        <v>172.6</v>
      </c>
      <c r="H86" s="222">
        <v>1.4</v>
      </c>
      <c r="I86" s="197">
        <v>5000</v>
      </c>
      <c r="J86" s="268">
        <f t="shared" si="9"/>
        <v>7000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44026</v>
      </c>
      <c r="D87" s="196" t="s">
        <v>16</v>
      </c>
      <c r="E87" s="222" t="s">
        <v>28</v>
      </c>
      <c r="F87" s="222">
        <v>175.2</v>
      </c>
      <c r="G87" s="222">
        <v>174.2</v>
      </c>
      <c r="H87" s="222">
        <v>-1</v>
      </c>
      <c r="I87" s="197">
        <v>5000</v>
      </c>
      <c r="J87" s="268">
        <f t="shared" si="9"/>
        <v>-5000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11</v>
      </c>
      <c r="C88" s="195">
        <v>44027</v>
      </c>
      <c r="D88" s="196" t="s">
        <v>23</v>
      </c>
      <c r="E88" s="222" t="s">
        <v>28</v>
      </c>
      <c r="F88" s="222">
        <v>174</v>
      </c>
      <c r="G88" s="222">
        <v>172.4</v>
      </c>
      <c r="H88" s="274">
        <v>1.6</v>
      </c>
      <c r="I88" s="197">
        <v>5000</v>
      </c>
      <c r="J88" s="268">
        <f t="shared" si="9"/>
        <v>8000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44028</v>
      </c>
      <c r="D89" s="196" t="s">
        <v>16</v>
      </c>
      <c r="E89" s="222" t="s">
        <v>28</v>
      </c>
      <c r="F89" s="222">
        <v>173.9</v>
      </c>
      <c r="G89" s="222">
        <v>175.9</v>
      </c>
      <c r="H89" s="274">
        <v>2</v>
      </c>
      <c r="I89" s="197">
        <v>5000</v>
      </c>
      <c r="J89" s="268">
        <f t="shared" si="9"/>
        <v>10000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44029</v>
      </c>
      <c r="D90" s="196" t="s">
        <v>16</v>
      </c>
      <c r="E90" s="222" t="s">
        <v>28</v>
      </c>
      <c r="F90" s="222">
        <v>174.9</v>
      </c>
      <c r="G90" s="222">
        <v>175.35</v>
      </c>
      <c r="H90" s="274">
        <v>0.45</v>
      </c>
      <c r="I90" s="197">
        <v>5000</v>
      </c>
      <c r="J90" s="268">
        <f t="shared" si="9"/>
        <v>2250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44032</v>
      </c>
      <c r="D91" s="196" t="s">
        <v>16</v>
      </c>
      <c r="E91" s="222" t="s">
        <v>28</v>
      </c>
      <c r="F91" s="222">
        <v>173.4</v>
      </c>
      <c r="G91" s="222">
        <v>175.2</v>
      </c>
      <c r="H91" s="274">
        <v>1.8</v>
      </c>
      <c r="I91" s="197">
        <v>5000</v>
      </c>
      <c r="J91" s="268">
        <f t="shared" si="9"/>
        <v>9000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44033</v>
      </c>
      <c r="D92" s="196" t="s">
        <v>16</v>
      </c>
      <c r="E92" s="222" t="s">
        <v>28</v>
      </c>
      <c r="F92" s="223">
        <v>175.8</v>
      </c>
      <c r="G92" s="222">
        <v>177.15</v>
      </c>
      <c r="H92" s="274">
        <v>1.35</v>
      </c>
      <c r="I92" s="197">
        <v>5000</v>
      </c>
      <c r="J92" s="268">
        <f t="shared" si="9"/>
        <v>6750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44034</v>
      </c>
      <c r="D93" s="196" t="s">
        <v>16</v>
      </c>
      <c r="E93" s="222" t="s">
        <v>28</v>
      </c>
      <c r="F93" s="222">
        <v>177.3</v>
      </c>
      <c r="G93" s="222">
        <v>176.3</v>
      </c>
      <c r="H93" s="274">
        <v>-1</v>
      </c>
      <c r="I93" s="197">
        <v>5000</v>
      </c>
      <c r="J93" s="268">
        <f t="shared" si="9"/>
        <v>-5000</v>
      </c>
      <c r="K93" s="185"/>
      <c r="V93" s="183">
        <f t="shared" si="10"/>
        <v>0</v>
      </c>
      <c r="W93" s="183">
        <f t="shared" si="11"/>
        <v>1</v>
      </c>
    </row>
    <row r="94" spans="1:23" x14ac:dyDescent="0.3">
      <c r="A94" s="184"/>
      <c r="B94" s="194">
        <v>17</v>
      </c>
      <c r="C94" s="195">
        <v>44035</v>
      </c>
      <c r="D94" s="196" t="s">
        <v>16</v>
      </c>
      <c r="E94" s="222" t="s">
        <v>28</v>
      </c>
      <c r="F94" s="222">
        <v>174.8</v>
      </c>
      <c r="G94" s="222">
        <v>175.8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44036</v>
      </c>
      <c r="D95" s="196" t="s">
        <v>16</v>
      </c>
      <c r="E95" s="222" t="s">
        <v>28</v>
      </c>
      <c r="F95" s="222">
        <v>174</v>
      </c>
      <c r="G95" s="222">
        <v>176</v>
      </c>
      <c r="H95" s="274">
        <v>2</v>
      </c>
      <c r="I95" s="197">
        <v>5000</v>
      </c>
      <c r="J95" s="268">
        <f t="shared" si="9"/>
        <v>10000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44039</v>
      </c>
      <c r="D96" s="196" t="s">
        <v>16</v>
      </c>
      <c r="E96" s="222" t="s">
        <v>28</v>
      </c>
      <c r="F96" s="222">
        <v>176.5</v>
      </c>
      <c r="G96" s="222">
        <v>177.5</v>
      </c>
      <c r="H96" s="274">
        <v>1</v>
      </c>
      <c r="I96" s="197">
        <v>5000</v>
      </c>
      <c r="J96" s="268">
        <f t="shared" si="9"/>
        <v>5000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44040</v>
      </c>
      <c r="D97" s="196" t="s">
        <v>16</v>
      </c>
      <c r="E97" s="222" t="s">
        <v>28</v>
      </c>
      <c r="F97" s="222">
        <v>176.5</v>
      </c>
      <c r="G97" s="222">
        <v>175.5</v>
      </c>
      <c r="H97" s="274">
        <v>-1</v>
      </c>
      <c r="I97" s="197">
        <v>5000</v>
      </c>
      <c r="J97" s="268">
        <f t="shared" si="9"/>
        <v>-5000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21</v>
      </c>
      <c r="C98" s="195">
        <v>44041</v>
      </c>
      <c r="D98" s="196" t="s">
        <v>16</v>
      </c>
      <c r="E98" s="222" t="s">
        <v>28</v>
      </c>
      <c r="F98" s="222">
        <v>180.6</v>
      </c>
      <c r="G98" s="222">
        <v>182.6</v>
      </c>
      <c r="H98" s="274">
        <v>2</v>
      </c>
      <c r="I98" s="197">
        <v>5000</v>
      </c>
      <c r="J98" s="268">
        <f t="shared" si="9"/>
        <v>10000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>
        <v>44042</v>
      </c>
      <c r="D99" s="196" t="s">
        <v>16</v>
      </c>
      <c r="E99" s="222" t="s">
        <v>28</v>
      </c>
      <c r="F99" s="222">
        <v>183</v>
      </c>
      <c r="G99" s="222">
        <v>182</v>
      </c>
      <c r="H99" s="222">
        <v>1</v>
      </c>
      <c r="I99" s="197">
        <v>5000</v>
      </c>
      <c r="J99" s="268">
        <f t="shared" si="9"/>
        <v>5000</v>
      </c>
      <c r="K99" s="185"/>
      <c r="V99" s="183">
        <f t="shared" si="10"/>
        <v>1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>
        <v>44043</v>
      </c>
      <c r="D100" s="221" t="s">
        <v>16</v>
      </c>
      <c r="E100" s="221" t="s">
        <v>28</v>
      </c>
      <c r="F100" s="222">
        <v>182.9</v>
      </c>
      <c r="G100" s="222">
        <v>184.4</v>
      </c>
      <c r="H100" s="222">
        <v>1.5</v>
      </c>
      <c r="I100" s="211">
        <v>5000</v>
      </c>
      <c r="J100" s="272">
        <f t="shared" si="9"/>
        <v>7500</v>
      </c>
      <c r="K100" s="185"/>
      <c r="V100" s="183">
        <f t="shared" si="10"/>
        <v>1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95250</v>
      </c>
      <c r="K101" s="185"/>
      <c r="V101" s="183">
        <f>SUM(V78:V100)</f>
        <v>19</v>
      </c>
      <c r="W101" s="183">
        <f>SUM(W78:W100)</f>
        <v>4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B00-000000000000}"/>
    <hyperlink ref="B70" r:id="rId2" xr:uid="{00000000-0004-0000-5B00-000001000000}"/>
    <hyperlink ref="M4:M5" location="'JULY 2020'!A1" display="BULLION" xr:uid="{00000000-0004-0000-5B00-000002000000}"/>
    <hyperlink ref="B101" r:id="rId3" xr:uid="{00000000-0004-0000-5B00-000003000000}"/>
    <hyperlink ref="M8:M9" location="'JULY 2020'!A86" display="BASE METAL" xr:uid="{00000000-0004-0000-5B00-000004000000}"/>
    <hyperlink ref="M1" location="MASTER!A1" display="Back" xr:uid="{00000000-0004-0000-5B00-000005000000}"/>
    <hyperlink ref="M6:M7" location="'JULY 2020'!A54" display="ENERGY" xr:uid="{00000000-0004-0000-5B00-000006000000}"/>
  </hyperlinks>
  <pageMargins left="0" right="0" top="0" bottom="0" header="0" footer="0"/>
  <pageSetup paperSize="9" orientation="portrait" r:id="rId4"/>
  <drawing r:id="rId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44044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21</v>
      </c>
      <c r="O4" s="355">
        <f>V39</f>
        <v>15</v>
      </c>
      <c r="P4" s="355">
        <f>W39</f>
        <v>6</v>
      </c>
      <c r="Q4" s="356">
        <f>N4-O4-P4</f>
        <v>0</v>
      </c>
      <c r="R4" s="343">
        <f>O4/N4</f>
        <v>0.7142857142857143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44046</v>
      </c>
      <c r="D6" s="192" t="s">
        <v>16</v>
      </c>
      <c r="E6" s="192" t="s">
        <v>24</v>
      </c>
      <c r="F6" s="193">
        <v>53620</v>
      </c>
      <c r="G6" s="193">
        <v>53700</v>
      </c>
      <c r="H6" s="192">
        <v>80</v>
      </c>
      <c r="I6" s="193">
        <v>100</v>
      </c>
      <c r="J6" s="267">
        <f>H6*I6</f>
        <v>8000</v>
      </c>
      <c r="K6" s="185"/>
      <c r="M6" s="364" t="s">
        <v>258</v>
      </c>
      <c r="N6" s="347">
        <f>COUNT(C47:C69)</f>
        <v>21</v>
      </c>
      <c r="O6" s="348">
        <f>V70</f>
        <v>19</v>
      </c>
      <c r="P6" s="348">
        <f>W70</f>
        <v>2</v>
      </c>
      <c r="Q6" s="349">
        <f>N6-O6-P6</f>
        <v>0</v>
      </c>
      <c r="R6" s="345">
        <f t="shared" ref="R6" si="0">O6/N6</f>
        <v>0.90476190476190477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44047</v>
      </c>
      <c r="D7" s="196" t="s">
        <v>16</v>
      </c>
      <c r="E7" s="196" t="s">
        <v>24</v>
      </c>
      <c r="F7" s="197">
        <v>53730</v>
      </c>
      <c r="G7" s="197">
        <v>53785</v>
      </c>
      <c r="H7" s="196">
        <v>55</v>
      </c>
      <c r="I7" s="197">
        <v>100</v>
      </c>
      <c r="J7" s="268">
        <f t="shared" ref="J7:J38" si="1">H7*I7</f>
        <v>5500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44048</v>
      </c>
      <c r="D8" s="196" t="s">
        <v>23</v>
      </c>
      <c r="E8" s="196" t="s">
        <v>24</v>
      </c>
      <c r="F8" s="197">
        <v>55160</v>
      </c>
      <c r="G8" s="197">
        <v>55060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COUNT(C78:C100)</f>
        <v>21</v>
      </c>
      <c r="O8" s="348">
        <f>V101</f>
        <v>15</v>
      </c>
      <c r="P8" s="348">
        <f>W101</f>
        <v>6</v>
      </c>
      <c r="Q8" s="349">
        <f>N8-O8-P8</f>
        <v>0</v>
      </c>
      <c r="R8" s="345">
        <f t="shared" ref="R8" si="4">O8/N8</f>
        <v>0.7142857142857143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44049</v>
      </c>
      <c r="D9" s="196" t="s">
        <v>16</v>
      </c>
      <c r="E9" s="196" t="s">
        <v>24</v>
      </c>
      <c r="F9" s="197">
        <v>55450</v>
      </c>
      <c r="G9" s="197">
        <v>55650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44050</v>
      </c>
      <c r="D10" s="196" t="s">
        <v>16</v>
      </c>
      <c r="E10" s="196" t="s">
        <v>24</v>
      </c>
      <c r="F10" s="197">
        <v>55900</v>
      </c>
      <c r="G10" s="197">
        <v>55800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63</v>
      </c>
      <c r="O10" s="321">
        <f>SUM(O4:O9)</f>
        <v>49</v>
      </c>
      <c r="P10" s="321">
        <f>SUM(P4:P9)</f>
        <v>14</v>
      </c>
      <c r="Q10" s="341">
        <f>SUM(Q4:Q9)</f>
        <v>0</v>
      </c>
      <c r="R10" s="343">
        <f t="shared" ref="R10" si="5">O10/N10</f>
        <v>0.77777777777777779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44053</v>
      </c>
      <c r="D11" s="196" t="s">
        <v>16</v>
      </c>
      <c r="E11" s="196" t="s">
        <v>24</v>
      </c>
      <c r="F11" s="197">
        <v>54980</v>
      </c>
      <c r="G11" s="197">
        <v>55080</v>
      </c>
      <c r="H11" s="196">
        <v>100</v>
      </c>
      <c r="I11" s="197">
        <v>100</v>
      </c>
      <c r="J11" s="268">
        <f t="shared" si="1"/>
        <v>10000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44054</v>
      </c>
      <c r="D12" s="196" t="s">
        <v>23</v>
      </c>
      <c r="E12" s="196" t="s">
        <v>24</v>
      </c>
      <c r="F12" s="197">
        <v>53550</v>
      </c>
      <c r="G12" s="197">
        <v>53650</v>
      </c>
      <c r="H12" s="196">
        <v>-100</v>
      </c>
      <c r="I12" s="197">
        <v>100</v>
      </c>
      <c r="J12" s="268">
        <f t="shared" si="1"/>
        <v>-10000</v>
      </c>
      <c r="K12" s="185"/>
      <c r="M12" s="323" t="s">
        <v>878</v>
      </c>
      <c r="N12" s="324"/>
      <c r="O12" s="325"/>
      <c r="P12" s="332">
        <f>R10</f>
        <v>0.77777777777777779</v>
      </c>
      <c r="Q12" s="333"/>
      <c r="R12" s="334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44055</v>
      </c>
      <c r="D13" s="196" t="s">
        <v>16</v>
      </c>
      <c r="E13" s="196" t="s">
        <v>24</v>
      </c>
      <c r="F13" s="197">
        <v>50750</v>
      </c>
      <c r="G13" s="197">
        <v>50950</v>
      </c>
      <c r="H13" s="196">
        <v>200</v>
      </c>
      <c r="I13" s="197">
        <v>100</v>
      </c>
      <c r="J13" s="268">
        <f t="shared" si="1"/>
        <v>20000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44056</v>
      </c>
      <c r="D14" s="196" t="s">
        <v>16</v>
      </c>
      <c r="E14" s="196" t="s">
        <v>24</v>
      </c>
      <c r="F14" s="197">
        <v>52150</v>
      </c>
      <c r="G14" s="197">
        <v>52050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44057</v>
      </c>
      <c r="D15" s="196" t="s">
        <v>16</v>
      </c>
      <c r="E15" s="196" t="s">
        <v>24</v>
      </c>
      <c r="F15" s="197">
        <v>52450</v>
      </c>
      <c r="G15" s="197">
        <v>52600</v>
      </c>
      <c r="H15" s="196">
        <v>150</v>
      </c>
      <c r="I15" s="197">
        <v>100</v>
      </c>
      <c r="J15" s="268">
        <f t="shared" si="1"/>
        <v>15000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44060</v>
      </c>
      <c r="D16" s="196" t="s">
        <v>16</v>
      </c>
      <c r="E16" s="196" t="s">
        <v>24</v>
      </c>
      <c r="F16" s="197">
        <v>52680</v>
      </c>
      <c r="G16" s="197">
        <v>52580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44061</v>
      </c>
      <c r="D17" s="196" t="s">
        <v>16</v>
      </c>
      <c r="E17" s="196" t="s">
        <v>24</v>
      </c>
      <c r="F17" s="197">
        <v>53850</v>
      </c>
      <c r="G17" s="197">
        <v>53750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44062</v>
      </c>
      <c r="D18" s="196" t="s">
        <v>16</v>
      </c>
      <c r="E18" s="196" t="s">
        <v>24</v>
      </c>
      <c r="F18" s="197">
        <v>53100</v>
      </c>
      <c r="G18" s="197">
        <v>53300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44063</v>
      </c>
      <c r="D19" s="196" t="s">
        <v>16</v>
      </c>
      <c r="E19" s="196" t="s">
        <v>24</v>
      </c>
      <c r="F19" s="197">
        <v>51900</v>
      </c>
      <c r="G19" s="197">
        <v>52100</v>
      </c>
      <c r="H19" s="196">
        <v>300</v>
      </c>
      <c r="I19" s="197">
        <v>100</v>
      </c>
      <c r="J19" s="268">
        <f t="shared" si="1"/>
        <v>30000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44064</v>
      </c>
      <c r="D20" s="196" t="s">
        <v>16</v>
      </c>
      <c r="E20" s="196" t="s">
        <v>24</v>
      </c>
      <c r="F20" s="197">
        <v>51830</v>
      </c>
      <c r="G20" s="197">
        <v>51970</v>
      </c>
      <c r="H20" s="196">
        <v>140</v>
      </c>
      <c r="I20" s="197">
        <v>100</v>
      </c>
      <c r="J20" s="268">
        <f t="shared" si="1"/>
        <v>14000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44067</v>
      </c>
      <c r="D21" s="196" t="s">
        <v>16</v>
      </c>
      <c r="E21" s="196" t="s">
        <v>24</v>
      </c>
      <c r="F21" s="197">
        <v>51770</v>
      </c>
      <c r="G21" s="197">
        <v>51970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44068</v>
      </c>
      <c r="D22" s="196" t="s">
        <v>16</v>
      </c>
      <c r="E22" s="196" t="s">
        <v>24</v>
      </c>
      <c r="F22" s="197">
        <v>51150</v>
      </c>
      <c r="G22" s="197">
        <v>51250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44069</v>
      </c>
      <c r="D23" s="196" t="s">
        <v>16</v>
      </c>
      <c r="E23" s="196" t="s">
        <v>24</v>
      </c>
      <c r="F23" s="197">
        <v>50950</v>
      </c>
      <c r="G23" s="197">
        <v>51010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44070</v>
      </c>
      <c r="D24" s="196" t="s">
        <v>23</v>
      </c>
      <c r="E24" s="196" t="s">
        <v>24</v>
      </c>
      <c r="F24" s="197">
        <v>51380</v>
      </c>
      <c r="G24" s="197">
        <v>51480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44071</v>
      </c>
      <c r="D25" s="196" t="s">
        <v>23</v>
      </c>
      <c r="E25" s="196" t="s">
        <v>24</v>
      </c>
      <c r="F25" s="197">
        <v>51270</v>
      </c>
      <c r="G25" s="197">
        <v>51170</v>
      </c>
      <c r="H25" s="196">
        <v>100</v>
      </c>
      <c r="I25" s="197">
        <v>100</v>
      </c>
      <c r="J25" s="268">
        <f t="shared" si="1"/>
        <v>10000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44074</v>
      </c>
      <c r="D26" s="196" t="s">
        <v>16</v>
      </c>
      <c r="E26" s="196" t="s">
        <v>24</v>
      </c>
      <c r="F26" s="197">
        <v>51800</v>
      </c>
      <c r="G26" s="197">
        <v>51870</v>
      </c>
      <c r="H26" s="196">
        <v>70</v>
      </c>
      <c r="I26" s="197">
        <v>100</v>
      </c>
      <c r="J26" s="268">
        <f t="shared" si="1"/>
        <v>7000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145500</v>
      </c>
      <c r="K39" s="185"/>
      <c r="V39" s="183">
        <f>SUM(V6:V38)</f>
        <v>15</v>
      </c>
      <c r="W39" s="183">
        <f>SUM(W6:W38)</f>
        <v>6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44044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44046</v>
      </c>
      <c r="D47" s="192" t="s">
        <v>23</v>
      </c>
      <c r="E47" s="192" t="s">
        <v>25</v>
      </c>
      <c r="F47" s="193">
        <v>3010</v>
      </c>
      <c r="G47" s="193">
        <v>2980</v>
      </c>
      <c r="H47" s="192">
        <v>30</v>
      </c>
      <c r="I47" s="193">
        <v>100</v>
      </c>
      <c r="J47" s="267">
        <f t="shared" ref="J47:J69" si="6">I47*H47</f>
        <v>3000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44047</v>
      </c>
      <c r="D48" s="196" t="s">
        <v>23</v>
      </c>
      <c r="E48" s="196" t="s">
        <v>25</v>
      </c>
      <c r="F48" s="197">
        <v>3060</v>
      </c>
      <c r="G48" s="197">
        <v>3030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44048</v>
      </c>
      <c r="D49" s="196" t="s">
        <v>23</v>
      </c>
      <c r="E49" s="196" t="s">
        <v>25</v>
      </c>
      <c r="F49" s="197">
        <v>3150</v>
      </c>
      <c r="G49" s="197">
        <v>3180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4</v>
      </c>
      <c r="C50" s="195">
        <v>44049</v>
      </c>
      <c r="D50" s="196" t="s">
        <v>23</v>
      </c>
      <c r="E50" s="196" t="s">
        <v>25</v>
      </c>
      <c r="F50" s="197">
        <v>3175</v>
      </c>
      <c r="G50" s="197">
        <v>3135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44050</v>
      </c>
      <c r="D51" s="196" t="s">
        <v>23</v>
      </c>
      <c r="E51" s="196" t="s">
        <v>25</v>
      </c>
      <c r="F51" s="197">
        <v>3145</v>
      </c>
      <c r="G51" s="197">
        <v>3105</v>
      </c>
      <c r="H51" s="196">
        <v>40</v>
      </c>
      <c r="I51" s="197">
        <v>100</v>
      </c>
      <c r="J51" s="268">
        <f t="shared" si="6"/>
        <v>4000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44053</v>
      </c>
      <c r="D52" s="196" t="s">
        <v>23</v>
      </c>
      <c r="E52" s="196" t="s">
        <v>25</v>
      </c>
      <c r="F52" s="197">
        <v>3150</v>
      </c>
      <c r="G52" s="197">
        <v>3110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44054</v>
      </c>
      <c r="D53" s="196" t="s">
        <v>23</v>
      </c>
      <c r="E53" s="196" t="s">
        <v>25</v>
      </c>
      <c r="F53" s="197">
        <v>3175</v>
      </c>
      <c r="G53" s="197">
        <v>3125</v>
      </c>
      <c r="H53" s="196">
        <v>50</v>
      </c>
      <c r="I53" s="197">
        <v>100</v>
      </c>
      <c r="J53" s="268">
        <f t="shared" si="6"/>
        <v>5000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44055</v>
      </c>
      <c r="D54" s="196" t="s">
        <v>23</v>
      </c>
      <c r="E54" s="196" t="s">
        <v>25</v>
      </c>
      <c r="F54" s="197">
        <v>3155</v>
      </c>
      <c r="G54" s="197">
        <v>3140</v>
      </c>
      <c r="H54" s="196">
        <v>15</v>
      </c>
      <c r="I54" s="197">
        <v>100</v>
      </c>
      <c r="J54" s="268">
        <f t="shared" si="6"/>
        <v>1500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44056</v>
      </c>
      <c r="D55" s="196" t="s">
        <v>23</v>
      </c>
      <c r="E55" s="196" t="s">
        <v>25</v>
      </c>
      <c r="F55" s="197">
        <v>3185</v>
      </c>
      <c r="G55" s="197">
        <v>3155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44057</v>
      </c>
      <c r="D56" s="196" t="s">
        <v>23</v>
      </c>
      <c r="E56" s="196" t="s">
        <v>25</v>
      </c>
      <c r="F56" s="197">
        <v>3155</v>
      </c>
      <c r="G56" s="197">
        <v>3135</v>
      </c>
      <c r="H56" s="196">
        <v>20</v>
      </c>
      <c r="I56" s="197">
        <v>100</v>
      </c>
      <c r="J56" s="268">
        <f t="shared" si="6"/>
        <v>2000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44060</v>
      </c>
      <c r="D57" s="196" t="s">
        <v>23</v>
      </c>
      <c r="E57" s="196" t="s">
        <v>25</v>
      </c>
      <c r="F57" s="197">
        <v>3170</v>
      </c>
      <c r="G57" s="197">
        <v>3110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44061</v>
      </c>
      <c r="D58" s="196" t="s">
        <v>23</v>
      </c>
      <c r="E58" s="196" t="s">
        <v>25</v>
      </c>
      <c r="F58" s="197">
        <v>3195</v>
      </c>
      <c r="G58" s="197">
        <v>3150</v>
      </c>
      <c r="H58" s="196">
        <v>45</v>
      </c>
      <c r="I58" s="197">
        <v>100</v>
      </c>
      <c r="J58" s="268">
        <f t="shared" si="6"/>
        <v>4500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44062</v>
      </c>
      <c r="D59" s="196" t="s">
        <v>23</v>
      </c>
      <c r="E59" s="196" t="s">
        <v>25</v>
      </c>
      <c r="F59" s="197">
        <v>3185</v>
      </c>
      <c r="G59" s="197">
        <v>3215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44063</v>
      </c>
      <c r="D60" s="196" t="s">
        <v>23</v>
      </c>
      <c r="E60" s="196" t="s">
        <v>25</v>
      </c>
      <c r="F60" s="197">
        <v>3215</v>
      </c>
      <c r="G60" s="197">
        <v>3155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44064</v>
      </c>
      <c r="D61" s="196" t="s">
        <v>23</v>
      </c>
      <c r="E61" s="196" t="s">
        <v>25</v>
      </c>
      <c r="F61" s="197">
        <v>3210</v>
      </c>
      <c r="G61" s="197">
        <v>3150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44067</v>
      </c>
      <c r="D62" s="196" t="s">
        <v>23</v>
      </c>
      <c r="E62" s="196" t="s">
        <v>25</v>
      </c>
      <c r="F62" s="197">
        <v>3175</v>
      </c>
      <c r="G62" s="197">
        <v>3148</v>
      </c>
      <c r="H62" s="196">
        <v>27</v>
      </c>
      <c r="I62" s="197">
        <v>100</v>
      </c>
      <c r="J62" s="268">
        <f t="shared" si="6"/>
        <v>2700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44068</v>
      </c>
      <c r="D63" s="196" t="s">
        <v>23</v>
      </c>
      <c r="E63" s="196" t="s">
        <v>25</v>
      </c>
      <c r="F63" s="197">
        <v>3180</v>
      </c>
      <c r="G63" s="197">
        <v>3162</v>
      </c>
      <c r="H63" s="196">
        <v>18</v>
      </c>
      <c r="I63" s="197">
        <v>100</v>
      </c>
      <c r="J63" s="268">
        <f t="shared" si="6"/>
        <v>1800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44069</v>
      </c>
      <c r="D64" s="196" t="s">
        <v>23</v>
      </c>
      <c r="E64" s="196" t="s">
        <v>25</v>
      </c>
      <c r="F64" s="197">
        <v>3225</v>
      </c>
      <c r="G64" s="197">
        <v>3212</v>
      </c>
      <c r="H64" s="196">
        <v>13</v>
      </c>
      <c r="I64" s="197">
        <v>100</v>
      </c>
      <c r="J64" s="268">
        <f t="shared" si="6"/>
        <v>1300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44070</v>
      </c>
      <c r="D65" s="196" t="s">
        <v>23</v>
      </c>
      <c r="E65" s="196" t="s">
        <v>25</v>
      </c>
      <c r="F65" s="197">
        <v>3230</v>
      </c>
      <c r="G65" s="197">
        <v>3170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44071</v>
      </c>
      <c r="D66" s="196" t="s">
        <v>23</v>
      </c>
      <c r="E66" s="196" t="s">
        <v>25</v>
      </c>
      <c r="F66" s="197">
        <v>3160</v>
      </c>
      <c r="G66" s="197">
        <v>3135</v>
      </c>
      <c r="H66" s="196">
        <v>25</v>
      </c>
      <c r="I66" s="197">
        <v>100</v>
      </c>
      <c r="J66" s="268">
        <f t="shared" si="6"/>
        <v>2500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44074</v>
      </c>
      <c r="D67" s="196" t="s">
        <v>23</v>
      </c>
      <c r="E67" s="196" t="s">
        <v>25</v>
      </c>
      <c r="F67" s="197">
        <v>3210</v>
      </c>
      <c r="G67" s="197">
        <v>3165</v>
      </c>
      <c r="H67" s="196">
        <v>45</v>
      </c>
      <c r="I67" s="197">
        <v>100</v>
      </c>
      <c r="J67" s="268">
        <f t="shared" si="6"/>
        <v>4500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64800</v>
      </c>
      <c r="K70" s="185"/>
      <c r="V70" s="183">
        <f>SUM(V47:V69)</f>
        <v>19</v>
      </c>
      <c r="W70" s="183">
        <f>SUM(W47:W69)</f>
        <v>2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44044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44046</v>
      </c>
      <c r="D78" s="216" t="s">
        <v>16</v>
      </c>
      <c r="E78" s="256" t="s">
        <v>28</v>
      </c>
      <c r="F78" s="256">
        <v>184</v>
      </c>
      <c r="G78" s="256">
        <v>183</v>
      </c>
      <c r="H78" s="256">
        <v>-1</v>
      </c>
      <c r="I78" s="218">
        <v>5000</v>
      </c>
      <c r="J78" s="273">
        <f>I78*H78</f>
        <v>-5000</v>
      </c>
      <c r="K78" s="185"/>
      <c r="M78" s="183" t="s">
        <v>870</v>
      </c>
      <c r="V78" s="183">
        <f>IF($J78&gt;0,1,0)</f>
        <v>0</v>
      </c>
      <c r="W78" s="183">
        <f>IF($J78&lt;0,1,0)</f>
        <v>1</v>
      </c>
    </row>
    <row r="79" spans="1:23" x14ac:dyDescent="0.3">
      <c r="A79" s="184"/>
      <c r="B79" s="194">
        <v>2</v>
      </c>
      <c r="C79" s="195">
        <v>44047</v>
      </c>
      <c r="D79" s="196" t="s">
        <v>23</v>
      </c>
      <c r="E79" s="222" t="s">
        <v>28</v>
      </c>
      <c r="F79" s="222">
        <v>184.6</v>
      </c>
      <c r="G79" s="222">
        <v>183.6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44048</v>
      </c>
      <c r="D80" s="196" t="s">
        <v>16</v>
      </c>
      <c r="E80" s="222" t="s">
        <v>28</v>
      </c>
      <c r="F80" s="222">
        <v>186.4</v>
      </c>
      <c r="G80" s="222">
        <v>188.4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44049</v>
      </c>
      <c r="D81" s="196" t="s">
        <v>23</v>
      </c>
      <c r="E81" s="222" t="s">
        <v>28</v>
      </c>
      <c r="F81" s="222">
        <v>190.8</v>
      </c>
      <c r="G81" s="222">
        <v>190.4</v>
      </c>
      <c r="H81" s="222">
        <v>0.4</v>
      </c>
      <c r="I81" s="197">
        <v>5000</v>
      </c>
      <c r="J81" s="268">
        <f t="shared" si="9"/>
        <v>2000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44050</v>
      </c>
      <c r="D82" s="196" t="s">
        <v>23</v>
      </c>
      <c r="E82" s="222" t="s">
        <v>28</v>
      </c>
      <c r="F82" s="222">
        <v>190.6</v>
      </c>
      <c r="G82" s="222">
        <v>191.6</v>
      </c>
      <c r="H82" s="222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6</v>
      </c>
      <c r="C83" s="195">
        <v>44053</v>
      </c>
      <c r="D83" s="196" t="s">
        <v>16</v>
      </c>
      <c r="E83" s="222" t="s">
        <v>28</v>
      </c>
      <c r="F83" s="222">
        <v>189</v>
      </c>
      <c r="G83" s="222">
        <v>189.5</v>
      </c>
      <c r="H83" s="222">
        <v>0.5</v>
      </c>
      <c r="I83" s="197">
        <v>5000</v>
      </c>
      <c r="J83" s="268">
        <f t="shared" si="9"/>
        <v>2500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44054</v>
      </c>
      <c r="D84" s="196" t="s">
        <v>16</v>
      </c>
      <c r="E84" s="222" t="s">
        <v>28</v>
      </c>
      <c r="F84" s="222">
        <v>189</v>
      </c>
      <c r="G84" s="222">
        <v>188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8</v>
      </c>
      <c r="C85" s="195">
        <v>44055</v>
      </c>
      <c r="D85" s="196" t="s">
        <v>16</v>
      </c>
      <c r="E85" s="222" t="s">
        <v>28</v>
      </c>
      <c r="F85" s="222">
        <v>187.8</v>
      </c>
      <c r="G85" s="222">
        <v>188.8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44056</v>
      </c>
      <c r="D86" s="196" t="s">
        <v>16</v>
      </c>
      <c r="E86" s="222" t="s">
        <v>28</v>
      </c>
      <c r="F86" s="222">
        <v>189.1</v>
      </c>
      <c r="G86" s="222">
        <v>188.1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44057</v>
      </c>
      <c r="D87" s="196" t="s">
        <v>23</v>
      </c>
      <c r="E87" s="222" t="s">
        <v>28</v>
      </c>
      <c r="F87" s="222">
        <v>188.1</v>
      </c>
      <c r="G87" s="222">
        <v>187.35</v>
      </c>
      <c r="H87" s="222">
        <v>0.75</v>
      </c>
      <c r="I87" s="197">
        <v>5000</v>
      </c>
      <c r="J87" s="268">
        <f t="shared" si="9"/>
        <v>3750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44060</v>
      </c>
      <c r="D88" s="196" t="s">
        <v>16</v>
      </c>
      <c r="E88" s="222" t="s">
        <v>28</v>
      </c>
      <c r="F88" s="222">
        <v>191.1</v>
      </c>
      <c r="G88" s="222">
        <v>191.6</v>
      </c>
      <c r="H88" s="274">
        <v>50</v>
      </c>
      <c r="I88" s="197">
        <v>5000</v>
      </c>
      <c r="J88" s="268">
        <f t="shared" si="9"/>
        <v>250000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44061</v>
      </c>
      <c r="D89" s="196" t="s">
        <v>16</v>
      </c>
      <c r="E89" s="222" t="s">
        <v>28</v>
      </c>
      <c r="F89" s="222">
        <v>193</v>
      </c>
      <c r="G89" s="222">
        <v>195</v>
      </c>
      <c r="H89" s="274">
        <v>2</v>
      </c>
      <c r="I89" s="197">
        <v>5000</v>
      </c>
      <c r="J89" s="268">
        <f t="shared" si="9"/>
        <v>10000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44062</v>
      </c>
      <c r="D90" s="196" t="s">
        <v>16</v>
      </c>
      <c r="E90" s="222" t="s">
        <v>28</v>
      </c>
      <c r="F90" s="222">
        <v>195</v>
      </c>
      <c r="G90" s="222">
        <v>197</v>
      </c>
      <c r="H90" s="274">
        <v>2</v>
      </c>
      <c r="I90" s="197">
        <v>5000</v>
      </c>
      <c r="J90" s="268">
        <f t="shared" si="9"/>
        <v>10000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44063</v>
      </c>
      <c r="D91" s="196" t="s">
        <v>16</v>
      </c>
      <c r="E91" s="222" t="s">
        <v>28</v>
      </c>
      <c r="F91" s="222">
        <v>196</v>
      </c>
      <c r="G91" s="222">
        <v>198</v>
      </c>
      <c r="H91" s="274">
        <v>2</v>
      </c>
      <c r="I91" s="197">
        <v>5000</v>
      </c>
      <c r="J91" s="268">
        <f t="shared" si="9"/>
        <v>10000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44064</v>
      </c>
      <c r="D92" s="196" t="s">
        <v>16</v>
      </c>
      <c r="E92" s="222" t="s">
        <v>28</v>
      </c>
      <c r="F92" s="223">
        <v>197.3</v>
      </c>
      <c r="G92" s="222">
        <v>196.3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44067</v>
      </c>
      <c r="D93" s="196" t="s">
        <v>16</v>
      </c>
      <c r="E93" s="222" t="s">
        <v>28</v>
      </c>
      <c r="F93" s="222">
        <v>194</v>
      </c>
      <c r="G93" s="222">
        <v>194.6</v>
      </c>
      <c r="H93" s="274">
        <v>0.6</v>
      </c>
      <c r="I93" s="197">
        <v>5000</v>
      </c>
      <c r="J93" s="268">
        <f t="shared" si="9"/>
        <v>3000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44068</v>
      </c>
      <c r="D94" s="196" t="s">
        <v>23</v>
      </c>
      <c r="E94" s="222" t="s">
        <v>28</v>
      </c>
      <c r="F94" s="222">
        <v>193.6</v>
      </c>
      <c r="G94" s="222">
        <v>194.6</v>
      </c>
      <c r="H94" s="274">
        <v>-1</v>
      </c>
      <c r="I94" s="197">
        <v>5000</v>
      </c>
      <c r="J94" s="268">
        <f t="shared" si="9"/>
        <v>-5000</v>
      </c>
      <c r="K94" s="185"/>
      <c r="V94" s="183">
        <f t="shared" si="10"/>
        <v>0</v>
      </c>
      <c r="W94" s="183">
        <f t="shared" si="11"/>
        <v>1</v>
      </c>
    </row>
    <row r="95" spans="1:23" x14ac:dyDescent="0.3">
      <c r="A95" s="184"/>
      <c r="B95" s="194">
        <v>18</v>
      </c>
      <c r="C95" s="195">
        <v>44069</v>
      </c>
      <c r="D95" s="196" t="s">
        <v>16</v>
      </c>
      <c r="E95" s="222" t="s">
        <v>28</v>
      </c>
      <c r="F95" s="222">
        <v>195.6</v>
      </c>
      <c r="G95" s="222">
        <v>196.1</v>
      </c>
      <c r="H95" s="274">
        <v>0.5</v>
      </c>
      <c r="I95" s="197">
        <v>5000</v>
      </c>
      <c r="J95" s="268">
        <f t="shared" si="9"/>
        <v>2500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44070</v>
      </c>
      <c r="D96" s="196" t="s">
        <v>16</v>
      </c>
      <c r="E96" s="222" t="s">
        <v>28</v>
      </c>
      <c r="F96" s="222">
        <v>194.2</v>
      </c>
      <c r="G96" s="222">
        <v>195.2</v>
      </c>
      <c r="H96" s="274">
        <v>1</v>
      </c>
      <c r="I96" s="197">
        <v>5000</v>
      </c>
      <c r="J96" s="268">
        <f t="shared" si="9"/>
        <v>5000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44071</v>
      </c>
      <c r="D97" s="196" t="s">
        <v>16</v>
      </c>
      <c r="E97" s="222" t="s">
        <v>28</v>
      </c>
      <c r="F97" s="222">
        <v>195.7</v>
      </c>
      <c r="G97" s="222">
        <v>196.7</v>
      </c>
      <c r="H97" s="274">
        <v>1</v>
      </c>
      <c r="I97" s="197">
        <v>5000</v>
      </c>
      <c r="J97" s="268">
        <f t="shared" si="9"/>
        <v>5000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21</v>
      </c>
      <c r="C98" s="195">
        <v>44074</v>
      </c>
      <c r="D98" s="196" t="s">
        <v>16</v>
      </c>
      <c r="E98" s="222" t="s">
        <v>28</v>
      </c>
      <c r="F98" s="222">
        <v>195.3</v>
      </c>
      <c r="G98" s="222">
        <v>194</v>
      </c>
      <c r="H98" s="274">
        <v>1.3</v>
      </c>
      <c r="I98" s="197">
        <v>5000</v>
      </c>
      <c r="J98" s="268">
        <f t="shared" si="9"/>
        <v>6500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300250</v>
      </c>
      <c r="K101" s="185"/>
      <c r="V101" s="183">
        <f>SUM(V78:V100)</f>
        <v>15</v>
      </c>
      <c r="W101" s="183">
        <f>SUM(W78:W100)</f>
        <v>6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C00-000000000000}"/>
    <hyperlink ref="B70" r:id="rId2" xr:uid="{00000000-0004-0000-5C00-000001000000}"/>
    <hyperlink ref="M4:M5" location="'AUGUST 2020'!A1" display="BULLION" xr:uid="{00000000-0004-0000-5C00-000002000000}"/>
    <hyperlink ref="B101" r:id="rId3" xr:uid="{00000000-0004-0000-5C00-000003000000}"/>
    <hyperlink ref="M8:M9" location="'AUGUST 2020'!A86" display="BASE METAL" xr:uid="{00000000-0004-0000-5C00-000004000000}"/>
    <hyperlink ref="M1" location="MASTER!A1" display="Back" xr:uid="{00000000-0004-0000-5C00-000005000000}"/>
    <hyperlink ref="M6:M7" location="'AUGUST 2020'!A54" display="ENERGY" xr:uid="{00000000-0004-0000-5C00-000006000000}"/>
  </hyperlinks>
  <pageMargins left="0" right="0" top="0" bottom="0" header="0" footer="0"/>
  <pageSetup paperSize="9" orientation="portrait" r:id="rId4"/>
  <drawing r:id="rId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W102"/>
  <sheetViews>
    <sheetView zoomScale="98" zoomScaleNormal="98"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44075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22</v>
      </c>
      <c r="O4" s="355">
        <f>V39</f>
        <v>18</v>
      </c>
      <c r="P4" s="355">
        <f>W39</f>
        <v>4</v>
      </c>
      <c r="Q4" s="356">
        <f>N4-O4-P4</f>
        <v>0</v>
      </c>
      <c r="R4" s="343">
        <f>O4/N4</f>
        <v>0.81818181818181823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44075</v>
      </c>
      <c r="D6" s="192" t="s">
        <v>140</v>
      </c>
      <c r="E6" s="192" t="s">
        <v>24</v>
      </c>
      <c r="F6" s="193">
        <v>51920</v>
      </c>
      <c r="G6" s="193">
        <v>51720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COUNT(C47:C69)</f>
        <v>22</v>
      </c>
      <c r="O6" s="348">
        <f>V70</f>
        <v>17</v>
      </c>
      <c r="P6" s="348">
        <f>W70</f>
        <v>5</v>
      </c>
      <c r="Q6" s="349">
        <f>N6-O6-P6</f>
        <v>0</v>
      </c>
      <c r="R6" s="345">
        <f t="shared" ref="R6" si="0">O6/N6</f>
        <v>0.77272727272727271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44076</v>
      </c>
      <c r="D7" s="196" t="s">
        <v>140</v>
      </c>
      <c r="E7" s="196" t="s">
        <v>24</v>
      </c>
      <c r="F7" s="197">
        <v>50900</v>
      </c>
      <c r="G7" s="197">
        <v>50800</v>
      </c>
      <c r="H7" s="196">
        <v>100</v>
      </c>
      <c r="I7" s="197">
        <v>100</v>
      </c>
      <c r="J7" s="268">
        <f t="shared" ref="J7:J38" si="1">H7*I7</f>
        <v>10000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44077</v>
      </c>
      <c r="D8" s="196" t="s">
        <v>16</v>
      </c>
      <c r="E8" s="196" t="s">
        <v>24</v>
      </c>
      <c r="F8" s="197">
        <v>50900</v>
      </c>
      <c r="G8" s="197">
        <v>51050</v>
      </c>
      <c r="H8" s="196">
        <v>150</v>
      </c>
      <c r="I8" s="197">
        <v>100</v>
      </c>
      <c r="J8" s="268">
        <f t="shared" si="1"/>
        <v>15000</v>
      </c>
      <c r="K8" s="185"/>
      <c r="M8" s="362" t="s">
        <v>877</v>
      </c>
      <c r="N8" s="347">
        <f>COUNT(C78:C100)</f>
        <v>21</v>
      </c>
      <c r="O8" s="348">
        <f>V101</f>
        <v>17</v>
      </c>
      <c r="P8" s="348">
        <f>W101</f>
        <v>3</v>
      </c>
      <c r="Q8" s="349">
        <f>N8-O8-P8</f>
        <v>1</v>
      </c>
      <c r="R8" s="345">
        <f t="shared" ref="R8" si="4">O8/N8</f>
        <v>0.80952380952380953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44078</v>
      </c>
      <c r="D9" s="196" t="s">
        <v>16</v>
      </c>
      <c r="E9" s="196" t="s">
        <v>24</v>
      </c>
      <c r="F9" s="197">
        <v>50850</v>
      </c>
      <c r="G9" s="197">
        <v>51050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44081</v>
      </c>
      <c r="D10" s="196" t="s">
        <v>140</v>
      </c>
      <c r="E10" s="196" t="s">
        <v>24</v>
      </c>
      <c r="F10" s="197">
        <v>50800</v>
      </c>
      <c r="G10" s="197">
        <v>50900</v>
      </c>
      <c r="H10" s="196">
        <v>-100</v>
      </c>
      <c r="I10" s="197">
        <v>100</v>
      </c>
      <c r="J10" s="268">
        <f t="shared" si="1"/>
        <v>-10000</v>
      </c>
      <c r="K10" s="185"/>
      <c r="M10" s="319" t="s">
        <v>300</v>
      </c>
      <c r="N10" s="321">
        <f>SUM(N4:N9)</f>
        <v>65</v>
      </c>
      <c r="O10" s="321">
        <f>SUM(O4:O9)</f>
        <v>52</v>
      </c>
      <c r="P10" s="321">
        <f>SUM(P4:P9)</f>
        <v>12</v>
      </c>
      <c r="Q10" s="341">
        <f>SUM(Q4:Q9)</f>
        <v>1</v>
      </c>
      <c r="R10" s="343">
        <f t="shared" ref="R10" si="5">O10/N10</f>
        <v>0.8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44082</v>
      </c>
      <c r="D11" s="196" t="s">
        <v>140</v>
      </c>
      <c r="E11" s="196" t="s">
        <v>24</v>
      </c>
      <c r="F11" s="197">
        <v>50820</v>
      </c>
      <c r="G11" s="197">
        <v>50670</v>
      </c>
      <c r="H11" s="196">
        <v>150</v>
      </c>
      <c r="I11" s="197">
        <v>100</v>
      </c>
      <c r="J11" s="268">
        <f t="shared" si="1"/>
        <v>15000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44083</v>
      </c>
      <c r="D12" s="196" t="s">
        <v>140</v>
      </c>
      <c r="E12" s="196" t="s">
        <v>24</v>
      </c>
      <c r="F12" s="197">
        <v>51050</v>
      </c>
      <c r="G12" s="197">
        <v>50890</v>
      </c>
      <c r="H12" s="196">
        <v>160</v>
      </c>
      <c r="I12" s="197">
        <v>100</v>
      </c>
      <c r="J12" s="268">
        <f t="shared" si="1"/>
        <v>16000</v>
      </c>
      <c r="K12" s="185"/>
      <c r="M12" s="323" t="s">
        <v>878</v>
      </c>
      <c r="N12" s="324"/>
      <c r="O12" s="325"/>
      <c r="P12" s="332">
        <f>R10</f>
        <v>0.8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44084</v>
      </c>
      <c r="D13" s="196" t="s">
        <v>16</v>
      </c>
      <c r="E13" s="196" t="s">
        <v>24</v>
      </c>
      <c r="F13" s="197">
        <v>51450</v>
      </c>
      <c r="G13" s="197">
        <v>51550</v>
      </c>
      <c r="H13" s="196">
        <v>100</v>
      </c>
      <c r="I13" s="197">
        <v>100</v>
      </c>
      <c r="J13" s="268">
        <f t="shared" si="1"/>
        <v>10000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44085</v>
      </c>
      <c r="D14" s="196" t="s">
        <v>140</v>
      </c>
      <c r="E14" s="196" t="s">
        <v>24</v>
      </c>
      <c r="F14" s="197">
        <v>51500</v>
      </c>
      <c r="G14" s="197">
        <v>51600</v>
      </c>
      <c r="H14" s="196">
        <v>-100</v>
      </c>
      <c r="I14" s="197">
        <v>100</v>
      </c>
      <c r="J14" s="268">
        <f t="shared" si="1"/>
        <v>-10000</v>
      </c>
      <c r="K14" s="185"/>
      <c r="M14" s="329"/>
      <c r="N14" s="330"/>
      <c r="O14" s="331"/>
      <c r="P14" s="338"/>
      <c r="Q14" s="339"/>
      <c r="R14" s="340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44088</v>
      </c>
      <c r="D15" s="196" t="s">
        <v>16</v>
      </c>
      <c r="E15" s="196" t="s">
        <v>24</v>
      </c>
      <c r="F15" s="197">
        <v>51550</v>
      </c>
      <c r="G15" s="197">
        <v>51750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44089</v>
      </c>
      <c r="D16" s="196" t="s">
        <v>16</v>
      </c>
      <c r="E16" s="196" t="s">
        <v>24</v>
      </c>
      <c r="F16" s="197">
        <v>52100</v>
      </c>
      <c r="G16" s="197">
        <v>52155</v>
      </c>
      <c r="H16" s="196">
        <v>55</v>
      </c>
      <c r="I16" s="197">
        <v>100</v>
      </c>
      <c r="J16" s="268">
        <f t="shared" si="1"/>
        <v>5500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44090</v>
      </c>
      <c r="D17" s="196" t="s">
        <v>140</v>
      </c>
      <c r="E17" s="196" t="s">
        <v>24</v>
      </c>
      <c r="F17" s="197">
        <v>51900</v>
      </c>
      <c r="G17" s="197">
        <v>52000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44091</v>
      </c>
      <c r="D18" s="196" t="s">
        <v>140</v>
      </c>
      <c r="E18" s="196" t="s">
        <v>24</v>
      </c>
      <c r="F18" s="197">
        <v>51440</v>
      </c>
      <c r="G18" s="197">
        <v>51240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44092</v>
      </c>
      <c r="D19" s="196" t="s">
        <v>16</v>
      </c>
      <c r="E19" s="196" t="s">
        <v>24</v>
      </c>
      <c r="F19" s="197">
        <v>51560</v>
      </c>
      <c r="G19" s="197">
        <v>51760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44095</v>
      </c>
      <c r="D20" s="196" t="s">
        <v>140</v>
      </c>
      <c r="E20" s="196" t="s">
        <v>24</v>
      </c>
      <c r="F20" s="197">
        <v>51150</v>
      </c>
      <c r="G20" s="197">
        <v>50950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44096</v>
      </c>
      <c r="D21" s="196" t="s">
        <v>140</v>
      </c>
      <c r="E21" s="196" t="s">
        <v>24</v>
      </c>
      <c r="F21" s="197">
        <v>50350</v>
      </c>
      <c r="G21" s="197">
        <v>50300</v>
      </c>
      <c r="H21" s="196">
        <v>50</v>
      </c>
      <c r="I21" s="197">
        <v>100</v>
      </c>
      <c r="J21" s="268">
        <f t="shared" si="1"/>
        <v>5000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44097</v>
      </c>
      <c r="D22" s="196" t="s">
        <v>16</v>
      </c>
      <c r="E22" s="196" t="s">
        <v>24</v>
      </c>
      <c r="F22" s="197">
        <v>49800</v>
      </c>
      <c r="G22" s="197">
        <v>49700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44098</v>
      </c>
      <c r="D23" s="196" t="s">
        <v>16</v>
      </c>
      <c r="E23" s="196" t="s">
        <v>24</v>
      </c>
      <c r="F23" s="197">
        <v>43430</v>
      </c>
      <c r="G23" s="197">
        <v>43630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44099</v>
      </c>
      <c r="D24" s="196" t="s">
        <v>140</v>
      </c>
      <c r="E24" s="196" t="s">
        <v>24</v>
      </c>
      <c r="F24" s="197">
        <v>49700</v>
      </c>
      <c r="G24" s="197">
        <v>49500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44102</v>
      </c>
      <c r="D25" s="196" t="s">
        <v>16</v>
      </c>
      <c r="E25" s="196" t="s">
        <v>24</v>
      </c>
      <c r="F25" s="197">
        <v>49400</v>
      </c>
      <c r="G25" s="197">
        <v>49600</v>
      </c>
      <c r="H25" s="196">
        <v>200</v>
      </c>
      <c r="I25" s="197">
        <v>100</v>
      </c>
      <c r="J25" s="268">
        <f t="shared" si="1"/>
        <v>20000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44103</v>
      </c>
      <c r="D26" s="196" t="s">
        <v>140</v>
      </c>
      <c r="E26" s="196" t="s">
        <v>24</v>
      </c>
      <c r="F26" s="197">
        <v>50350</v>
      </c>
      <c r="G26" s="197">
        <v>50150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44104</v>
      </c>
      <c r="D27" s="196" t="s">
        <v>16</v>
      </c>
      <c r="E27" s="196" t="s">
        <v>24</v>
      </c>
      <c r="F27" s="197">
        <v>50240</v>
      </c>
      <c r="G27" s="197">
        <v>50440</v>
      </c>
      <c r="H27" s="196">
        <v>200</v>
      </c>
      <c r="I27" s="197">
        <v>100</v>
      </c>
      <c r="J27" s="268">
        <f t="shared" si="1"/>
        <v>20000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256500</v>
      </c>
      <c r="K39" s="185"/>
      <c r="V39" s="183">
        <f>SUM(V6:V38)</f>
        <v>18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44075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44075</v>
      </c>
      <c r="D47" s="192" t="s">
        <v>23</v>
      </c>
      <c r="E47" s="192" t="s">
        <v>25</v>
      </c>
      <c r="F47" s="193">
        <v>3150</v>
      </c>
      <c r="G47" s="193">
        <v>3135</v>
      </c>
      <c r="H47" s="192">
        <v>15</v>
      </c>
      <c r="I47" s="193">
        <v>100</v>
      </c>
      <c r="J47" s="267">
        <f t="shared" ref="J47:J69" si="6">I47*H47</f>
        <v>1500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44076</v>
      </c>
      <c r="D48" s="196" t="s">
        <v>23</v>
      </c>
      <c r="E48" s="196" t="s">
        <v>25</v>
      </c>
      <c r="F48" s="197">
        <v>3145</v>
      </c>
      <c r="G48" s="197">
        <v>3085</v>
      </c>
      <c r="H48" s="196">
        <v>40</v>
      </c>
      <c r="I48" s="197">
        <v>100</v>
      </c>
      <c r="J48" s="268">
        <f t="shared" si="6"/>
        <v>4000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44077</v>
      </c>
      <c r="D49" s="196" t="s">
        <v>23</v>
      </c>
      <c r="E49" s="196" t="s">
        <v>25</v>
      </c>
      <c r="F49" s="197">
        <v>3045</v>
      </c>
      <c r="G49" s="197">
        <v>2985</v>
      </c>
      <c r="H49" s="196">
        <v>40</v>
      </c>
      <c r="I49" s="197">
        <v>100</v>
      </c>
      <c r="J49" s="268">
        <f t="shared" si="6"/>
        <v>4000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44078</v>
      </c>
      <c r="D50" s="196" t="s">
        <v>23</v>
      </c>
      <c r="E50" s="196" t="s">
        <v>25</v>
      </c>
      <c r="F50" s="197">
        <v>3050</v>
      </c>
      <c r="G50" s="197">
        <v>3010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44081</v>
      </c>
      <c r="D51" s="196" t="s">
        <v>23</v>
      </c>
      <c r="E51" s="196" t="s">
        <v>25</v>
      </c>
      <c r="F51" s="197">
        <v>2880</v>
      </c>
      <c r="G51" s="197">
        <v>2910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44082</v>
      </c>
      <c r="D52" s="196" t="s">
        <v>23</v>
      </c>
      <c r="E52" s="196" t="s">
        <v>25</v>
      </c>
      <c r="F52" s="197">
        <v>2825</v>
      </c>
      <c r="G52" s="197">
        <v>2765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44083</v>
      </c>
      <c r="D53" s="196" t="s">
        <v>23</v>
      </c>
      <c r="E53" s="196" t="s">
        <v>25</v>
      </c>
      <c r="F53" s="197">
        <v>2760</v>
      </c>
      <c r="G53" s="197">
        <v>2730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44084</v>
      </c>
      <c r="D54" s="196" t="s">
        <v>23</v>
      </c>
      <c r="E54" s="196" t="s">
        <v>25</v>
      </c>
      <c r="F54" s="197">
        <v>2760</v>
      </c>
      <c r="G54" s="197">
        <v>2730</v>
      </c>
      <c r="H54" s="196">
        <v>30</v>
      </c>
      <c r="I54" s="197">
        <v>100</v>
      </c>
      <c r="J54" s="268">
        <f t="shared" si="6"/>
        <v>3000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44085</v>
      </c>
      <c r="D55" s="196" t="s">
        <v>23</v>
      </c>
      <c r="E55" s="196" t="s">
        <v>25</v>
      </c>
      <c r="F55" s="197">
        <v>2745</v>
      </c>
      <c r="G55" s="197">
        <v>2705</v>
      </c>
      <c r="H55" s="196">
        <v>40</v>
      </c>
      <c r="I55" s="197">
        <v>100</v>
      </c>
      <c r="J55" s="268">
        <f t="shared" si="6"/>
        <v>4000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44088</v>
      </c>
      <c r="D56" s="196" t="s">
        <v>23</v>
      </c>
      <c r="E56" s="196" t="s">
        <v>25</v>
      </c>
      <c r="F56" s="197">
        <v>2740</v>
      </c>
      <c r="G56" s="197">
        <v>2710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44089</v>
      </c>
      <c r="D57" s="196" t="s">
        <v>23</v>
      </c>
      <c r="E57" s="196" t="s">
        <v>25</v>
      </c>
      <c r="F57" s="197">
        <v>2735</v>
      </c>
      <c r="G57" s="197">
        <v>2765</v>
      </c>
      <c r="H57" s="196">
        <v>-30</v>
      </c>
      <c r="I57" s="197">
        <v>100</v>
      </c>
      <c r="J57" s="268">
        <f t="shared" si="6"/>
        <v>-3000</v>
      </c>
      <c r="K57" s="185"/>
      <c r="V57" s="183">
        <f t="shared" si="7"/>
        <v>0</v>
      </c>
      <c r="W57" s="183">
        <f t="shared" si="8"/>
        <v>1</v>
      </c>
    </row>
    <row r="58" spans="1:23" x14ac:dyDescent="0.3">
      <c r="A58" s="184"/>
      <c r="B58" s="194">
        <v>12</v>
      </c>
      <c r="C58" s="195">
        <v>44090</v>
      </c>
      <c r="D58" s="196" t="s">
        <v>23</v>
      </c>
      <c r="E58" s="196" t="s">
        <v>25</v>
      </c>
      <c r="F58" s="197">
        <v>2880</v>
      </c>
      <c r="G58" s="197">
        <v>2910</v>
      </c>
      <c r="H58" s="196">
        <v>-30</v>
      </c>
      <c r="I58" s="197">
        <v>100</v>
      </c>
      <c r="J58" s="268">
        <f t="shared" si="6"/>
        <v>-3000</v>
      </c>
      <c r="K58" s="185"/>
      <c r="V58" s="183">
        <f t="shared" si="7"/>
        <v>0</v>
      </c>
      <c r="W58" s="183">
        <f t="shared" si="8"/>
        <v>1</v>
      </c>
    </row>
    <row r="59" spans="1:23" x14ac:dyDescent="0.3">
      <c r="A59" s="184"/>
      <c r="B59" s="194">
        <v>13</v>
      </c>
      <c r="C59" s="195">
        <v>44091</v>
      </c>
      <c r="D59" s="196" t="s">
        <v>23</v>
      </c>
      <c r="E59" s="196" t="s">
        <v>25</v>
      </c>
      <c r="F59" s="197">
        <v>2955</v>
      </c>
      <c r="G59" s="197">
        <v>2936</v>
      </c>
      <c r="H59" s="196">
        <v>19</v>
      </c>
      <c r="I59" s="197">
        <v>100</v>
      </c>
      <c r="J59" s="268">
        <f t="shared" si="6"/>
        <v>1900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44092</v>
      </c>
      <c r="D60" s="196" t="s">
        <v>23</v>
      </c>
      <c r="E60" s="196" t="s">
        <v>25</v>
      </c>
      <c r="F60" s="197">
        <v>2995</v>
      </c>
      <c r="G60" s="197">
        <v>2966</v>
      </c>
      <c r="H60" s="196">
        <v>29</v>
      </c>
      <c r="I60" s="197">
        <v>100</v>
      </c>
      <c r="J60" s="268">
        <f t="shared" si="6"/>
        <v>2900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44095</v>
      </c>
      <c r="D61" s="196" t="s">
        <v>23</v>
      </c>
      <c r="E61" s="196" t="s">
        <v>25</v>
      </c>
      <c r="F61" s="197">
        <v>2950</v>
      </c>
      <c r="G61" s="197">
        <v>2890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44096</v>
      </c>
      <c r="D62" s="196" t="s">
        <v>23</v>
      </c>
      <c r="E62" s="196" t="s">
        <v>25</v>
      </c>
      <c r="F62" s="197">
        <v>2960</v>
      </c>
      <c r="G62" s="197">
        <v>2920</v>
      </c>
      <c r="H62" s="196">
        <v>40</v>
      </c>
      <c r="I62" s="197">
        <v>100</v>
      </c>
      <c r="J62" s="268">
        <f t="shared" si="6"/>
        <v>4000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44097</v>
      </c>
      <c r="D63" s="196" t="s">
        <v>16</v>
      </c>
      <c r="E63" s="196" t="s">
        <v>25</v>
      </c>
      <c r="F63" s="197">
        <v>2900</v>
      </c>
      <c r="G63" s="197">
        <v>2960</v>
      </c>
      <c r="H63" s="196">
        <v>60</v>
      </c>
      <c r="I63" s="197">
        <v>100</v>
      </c>
      <c r="J63" s="268">
        <f t="shared" si="6"/>
        <v>6000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44098</v>
      </c>
      <c r="D64" s="196" t="s">
        <v>23</v>
      </c>
      <c r="E64" s="196" t="s">
        <v>25</v>
      </c>
      <c r="F64" s="197">
        <v>2930</v>
      </c>
      <c r="G64" s="197">
        <v>2960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19</v>
      </c>
      <c r="C65" s="195">
        <v>44099</v>
      </c>
      <c r="D65" s="196" t="s">
        <v>23</v>
      </c>
      <c r="E65" s="196" t="s">
        <v>25</v>
      </c>
      <c r="F65" s="197">
        <v>2980</v>
      </c>
      <c r="G65" s="197">
        <v>2940</v>
      </c>
      <c r="H65" s="196">
        <v>40</v>
      </c>
      <c r="I65" s="197">
        <v>100</v>
      </c>
      <c r="J65" s="268">
        <f t="shared" si="6"/>
        <v>4000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44102</v>
      </c>
      <c r="D66" s="196" t="s">
        <v>16</v>
      </c>
      <c r="E66" s="196" t="s">
        <v>25</v>
      </c>
      <c r="F66" s="197">
        <v>2945</v>
      </c>
      <c r="G66" s="197">
        <v>3005</v>
      </c>
      <c r="H66" s="196"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44103</v>
      </c>
      <c r="D67" s="196" t="s">
        <v>23</v>
      </c>
      <c r="E67" s="196" t="s">
        <v>25</v>
      </c>
      <c r="F67" s="197">
        <v>2980</v>
      </c>
      <c r="G67" s="197">
        <v>2940</v>
      </c>
      <c r="H67" s="196">
        <v>40</v>
      </c>
      <c r="I67" s="197">
        <v>100</v>
      </c>
      <c r="J67" s="268">
        <f t="shared" si="6"/>
        <v>4000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>
        <v>44104</v>
      </c>
      <c r="D68" s="196" t="s">
        <v>23</v>
      </c>
      <c r="E68" s="196" t="s">
        <v>25</v>
      </c>
      <c r="F68" s="197">
        <v>2870</v>
      </c>
      <c r="G68" s="197">
        <v>2900</v>
      </c>
      <c r="H68" s="196">
        <v>-30</v>
      </c>
      <c r="I68" s="197">
        <v>100</v>
      </c>
      <c r="J68" s="268">
        <f t="shared" si="6"/>
        <v>-3000</v>
      </c>
      <c r="K68" s="185"/>
      <c r="V68" s="183">
        <f t="shared" si="7"/>
        <v>0</v>
      </c>
      <c r="W68" s="183">
        <f t="shared" si="8"/>
        <v>1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52300</v>
      </c>
      <c r="K70" s="185"/>
      <c r="V70" s="183">
        <f>SUM(V47:V69)</f>
        <v>17</v>
      </c>
      <c r="W70" s="183">
        <f>SUM(W47:W69)</f>
        <v>5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44075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44075</v>
      </c>
      <c r="D78" s="216" t="s">
        <v>16</v>
      </c>
      <c r="E78" s="256" t="s">
        <v>28</v>
      </c>
      <c r="F78" s="256">
        <v>198.7</v>
      </c>
      <c r="G78" s="256">
        <v>199.3</v>
      </c>
      <c r="H78" s="256">
        <v>0.6</v>
      </c>
      <c r="I78" s="218">
        <v>5000</v>
      </c>
      <c r="J78" s="273">
        <f>I78*H78</f>
        <v>3000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44076</v>
      </c>
      <c r="D79" s="196" t="s">
        <v>23</v>
      </c>
      <c r="E79" s="222" t="s">
        <v>28</v>
      </c>
      <c r="F79" s="222">
        <v>198.5</v>
      </c>
      <c r="G79" s="222">
        <v>196.6</v>
      </c>
      <c r="H79" s="222">
        <v>1.9</v>
      </c>
      <c r="I79" s="197">
        <v>5000</v>
      </c>
      <c r="J79" s="268">
        <f t="shared" ref="J79:J100" si="9">I79*H79</f>
        <v>9500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44077</v>
      </c>
      <c r="D80" s="196" t="s">
        <v>16</v>
      </c>
      <c r="E80" s="222" t="s">
        <v>28</v>
      </c>
      <c r="F80" s="222">
        <v>195.5</v>
      </c>
      <c r="G80" s="222">
        <v>197</v>
      </c>
      <c r="H80" s="222">
        <v>1.5</v>
      </c>
      <c r="I80" s="197">
        <v>5000</v>
      </c>
      <c r="J80" s="268">
        <f t="shared" si="9"/>
        <v>7500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44078</v>
      </c>
      <c r="D81" s="196" t="s">
        <v>16</v>
      </c>
      <c r="E81" s="222" t="s">
        <v>28</v>
      </c>
      <c r="F81" s="222">
        <v>193.3</v>
      </c>
      <c r="G81" s="222">
        <v>194.3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44081</v>
      </c>
      <c r="D82" s="196" t="s">
        <v>16</v>
      </c>
      <c r="E82" s="222" t="s">
        <v>28</v>
      </c>
      <c r="F82" s="222">
        <v>193.5</v>
      </c>
      <c r="G82" s="222">
        <v>194.5</v>
      </c>
      <c r="H82" s="222">
        <v>1</v>
      </c>
      <c r="I82" s="197">
        <v>5000</v>
      </c>
      <c r="J82" s="268">
        <f t="shared" si="9"/>
        <v>5000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44083</v>
      </c>
      <c r="D83" s="196" t="s">
        <v>16</v>
      </c>
      <c r="E83" s="222" t="s">
        <v>28</v>
      </c>
      <c r="F83" s="222">
        <v>187.9</v>
      </c>
      <c r="G83" s="222">
        <v>188.9</v>
      </c>
      <c r="H83" s="222">
        <v>1</v>
      </c>
      <c r="I83" s="197">
        <v>5000</v>
      </c>
      <c r="J83" s="268">
        <f t="shared" si="9"/>
        <v>5000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44084</v>
      </c>
      <c r="D84" s="196" t="s">
        <v>16</v>
      </c>
      <c r="E84" s="222" t="s">
        <v>28</v>
      </c>
      <c r="F84" s="222">
        <v>186.6</v>
      </c>
      <c r="G84" s="222">
        <v>188</v>
      </c>
      <c r="H84" s="274">
        <v>1.4</v>
      </c>
      <c r="I84" s="197">
        <v>5000</v>
      </c>
      <c r="J84" s="268">
        <f t="shared" si="9"/>
        <v>7000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44085</v>
      </c>
      <c r="D85" s="196" t="s">
        <v>23</v>
      </c>
      <c r="E85" s="222" t="s">
        <v>28</v>
      </c>
      <c r="F85" s="222">
        <v>190.6</v>
      </c>
      <c r="G85" s="222">
        <v>189.75</v>
      </c>
      <c r="H85" s="222">
        <v>1.1499999999999999</v>
      </c>
      <c r="I85" s="197">
        <v>5000</v>
      </c>
      <c r="J85" s="268">
        <f t="shared" si="9"/>
        <v>5750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44088</v>
      </c>
      <c r="D86" s="196" t="s">
        <v>16</v>
      </c>
      <c r="E86" s="222" t="s">
        <v>28</v>
      </c>
      <c r="F86" s="222">
        <v>192.4</v>
      </c>
      <c r="G86" s="222">
        <v>192.8</v>
      </c>
      <c r="H86" s="222">
        <v>0.4</v>
      </c>
      <c r="I86" s="197">
        <v>5000</v>
      </c>
      <c r="J86" s="268">
        <f t="shared" si="9"/>
        <v>2000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44089</v>
      </c>
      <c r="D87" s="196" t="s">
        <v>23</v>
      </c>
      <c r="E87" s="222" t="s">
        <v>28</v>
      </c>
      <c r="F87" s="222">
        <v>194.7</v>
      </c>
      <c r="G87" s="222">
        <v>195.7</v>
      </c>
      <c r="H87" s="222">
        <v>-1</v>
      </c>
      <c r="I87" s="197">
        <v>5000</v>
      </c>
      <c r="J87" s="268">
        <f t="shared" si="9"/>
        <v>-5000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11</v>
      </c>
      <c r="C88" s="195">
        <v>44090</v>
      </c>
      <c r="D88" s="196" t="s">
        <v>23</v>
      </c>
      <c r="E88" s="222" t="s">
        <v>28</v>
      </c>
      <c r="F88" s="222">
        <v>194.6</v>
      </c>
      <c r="G88" s="222">
        <v>193.9</v>
      </c>
      <c r="H88" s="274">
        <v>0.7</v>
      </c>
      <c r="I88" s="197">
        <v>5000</v>
      </c>
      <c r="J88" s="268">
        <f t="shared" si="9"/>
        <v>3500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44091</v>
      </c>
      <c r="D89" s="196" t="s">
        <v>16</v>
      </c>
      <c r="E89" s="222" t="s">
        <v>28</v>
      </c>
      <c r="F89" s="222">
        <v>193</v>
      </c>
      <c r="G89" s="222">
        <v>195</v>
      </c>
      <c r="H89" s="274">
        <v>2</v>
      </c>
      <c r="I89" s="197">
        <v>5000</v>
      </c>
      <c r="J89" s="268">
        <f t="shared" si="9"/>
        <v>10000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44092</v>
      </c>
      <c r="D90" s="196" t="s">
        <v>23</v>
      </c>
      <c r="E90" s="222" t="s">
        <v>28</v>
      </c>
      <c r="F90" s="222">
        <v>195.8</v>
      </c>
      <c r="G90" s="222">
        <v>196.8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44095</v>
      </c>
      <c r="D91" s="196" t="s">
        <v>16</v>
      </c>
      <c r="E91" s="222" t="s">
        <v>28</v>
      </c>
      <c r="F91" s="222">
        <v>195</v>
      </c>
      <c r="G91" s="222">
        <v>195.85</v>
      </c>
      <c r="H91" s="274">
        <v>0.85</v>
      </c>
      <c r="I91" s="197">
        <v>5000</v>
      </c>
      <c r="J91" s="268">
        <f t="shared" si="9"/>
        <v>4250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44096</v>
      </c>
      <c r="D92" s="196" t="s">
        <v>23</v>
      </c>
      <c r="E92" s="222" t="s">
        <v>28</v>
      </c>
      <c r="F92" s="223">
        <v>194.2</v>
      </c>
      <c r="G92" s="222">
        <v>193.6</v>
      </c>
      <c r="H92" s="274">
        <v>0.6</v>
      </c>
      <c r="I92" s="197">
        <v>5000</v>
      </c>
      <c r="J92" s="268">
        <f t="shared" si="9"/>
        <v>3000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44097</v>
      </c>
      <c r="D93" s="196" t="s">
        <v>16</v>
      </c>
      <c r="E93" s="222" t="s">
        <v>28</v>
      </c>
      <c r="F93" s="222">
        <v>192.6</v>
      </c>
      <c r="G93" s="222">
        <v>194.4</v>
      </c>
      <c r="H93" s="274">
        <v>1.8</v>
      </c>
      <c r="I93" s="197">
        <v>5000</v>
      </c>
      <c r="J93" s="268">
        <f t="shared" si="9"/>
        <v>9000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44098</v>
      </c>
      <c r="D94" s="196" t="s">
        <v>16</v>
      </c>
      <c r="E94" s="222" t="s">
        <v>28</v>
      </c>
      <c r="F94" s="222">
        <v>188.5</v>
      </c>
      <c r="G94" s="222">
        <v>188.9</v>
      </c>
      <c r="H94" s="274">
        <v>0.4</v>
      </c>
      <c r="I94" s="197">
        <v>5000</v>
      </c>
      <c r="J94" s="268">
        <f t="shared" si="9"/>
        <v>2000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44099</v>
      </c>
      <c r="D95" s="196" t="s">
        <v>23</v>
      </c>
      <c r="E95" s="222" t="s">
        <v>28</v>
      </c>
      <c r="F95" s="222">
        <v>188.6</v>
      </c>
      <c r="G95" s="222">
        <v>187.6</v>
      </c>
      <c r="H95" s="274">
        <v>1</v>
      </c>
      <c r="I95" s="197">
        <v>5000</v>
      </c>
      <c r="J95" s="268">
        <f t="shared" si="9"/>
        <v>5000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44102</v>
      </c>
      <c r="D96" s="196" t="s">
        <v>23</v>
      </c>
      <c r="E96" s="222" t="s">
        <v>28</v>
      </c>
      <c r="F96" s="222">
        <v>189.6</v>
      </c>
      <c r="G96" s="222">
        <v>190.6</v>
      </c>
      <c r="H96" s="274">
        <v>-1</v>
      </c>
      <c r="I96" s="197">
        <v>5000</v>
      </c>
      <c r="J96" s="268">
        <f t="shared" si="9"/>
        <v>-5000</v>
      </c>
      <c r="K96" s="185"/>
      <c r="V96" s="183">
        <f t="shared" si="10"/>
        <v>0</v>
      </c>
      <c r="W96" s="183">
        <f t="shared" si="11"/>
        <v>1</v>
      </c>
    </row>
    <row r="97" spans="1:23" x14ac:dyDescent="0.3">
      <c r="A97" s="184"/>
      <c r="B97" s="194">
        <v>20</v>
      </c>
      <c r="C97" s="195">
        <v>44103</v>
      </c>
      <c r="D97" s="196" t="s">
        <v>16</v>
      </c>
      <c r="E97" s="222" t="s">
        <v>28</v>
      </c>
      <c r="F97" s="222">
        <v>192.7</v>
      </c>
      <c r="G97" s="222">
        <v>192.7</v>
      </c>
      <c r="H97" s="274">
        <v>0</v>
      </c>
      <c r="I97" s="197">
        <v>5000</v>
      </c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>
        <v>44104</v>
      </c>
      <c r="D98" s="196" t="s">
        <v>16</v>
      </c>
      <c r="E98" s="222" t="s">
        <v>28</v>
      </c>
      <c r="F98" s="222">
        <v>190.7</v>
      </c>
      <c r="G98" s="222">
        <v>192.7</v>
      </c>
      <c r="H98" s="274">
        <v>2</v>
      </c>
      <c r="I98" s="197">
        <v>5000</v>
      </c>
      <c r="J98" s="268">
        <f t="shared" si="9"/>
        <v>10000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81500</v>
      </c>
      <c r="K101" s="185"/>
      <c r="V101" s="183">
        <f>SUM(V78:V100)</f>
        <v>17</v>
      </c>
      <c r="W101" s="183">
        <f>SUM(W78:W100)</f>
        <v>3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D00-000000000000}"/>
    <hyperlink ref="B70" r:id="rId2" xr:uid="{00000000-0004-0000-5D00-000001000000}"/>
    <hyperlink ref="M4:M5" location="'SEP 2020'!A1" display="BULLION" xr:uid="{00000000-0004-0000-5D00-000002000000}"/>
    <hyperlink ref="B101" r:id="rId3" xr:uid="{00000000-0004-0000-5D00-000003000000}"/>
    <hyperlink ref="M8:M9" location="'SEP 2020'!A86" display="BASE METAL" xr:uid="{00000000-0004-0000-5D00-000004000000}"/>
    <hyperlink ref="M1" location="MASTER!A1" display="Back" xr:uid="{00000000-0004-0000-5D00-000005000000}"/>
    <hyperlink ref="M6:M7" location="'SEP 2020'!A54" display="ENERGY" xr:uid="{00000000-0004-0000-5D00-000006000000}"/>
  </hyperlinks>
  <pageMargins left="0" right="0" top="0" bottom="0" header="0" footer="0"/>
  <pageSetup paperSize="9" orientation="portrait" r:id="rId4"/>
  <drawing r:id="rId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44105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21</v>
      </c>
      <c r="O4" s="355">
        <f>V39</f>
        <v>18</v>
      </c>
      <c r="P4" s="355">
        <f>W39</f>
        <v>3</v>
      </c>
      <c r="Q4" s="356">
        <f>N4-O4-P4</f>
        <v>0</v>
      </c>
      <c r="R4" s="343">
        <f>O4/N4</f>
        <v>0.8571428571428571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44105</v>
      </c>
      <c r="D6" s="192" t="s">
        <v>16</v>
      </c>
      <c r="E6" s="192" t="s">
        <v>24</v>
      </c>
      <c r="F6" s="193">
        <v>50200</v>
      </c>
      <c r="G6" s="193">
        <v>50400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COUNT(C47:C69)</f>
        <v>20</v>
      </c>
      <c r="O6" s="348">
        <f>V70</f>
        <v>16</v>
      </c>
      <c r="P6" s="348">
        <f>W70</f>
        <v>4</v>
      </c>
      <c r="Q6" s="349">
        <f>N6-O6-P6</f>
        <v>0</v>
      </c>
      <c r="R6" s="345">
        <f t="shared" ref="R6" si="0">O6/N6</f>
        <v>0.8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44109</v>
      </c>
      <c r="D7" s="196" t="s">
        <v>23</v>
      </c>
      <c r="E7" s="196" t="s">
        <v>24</v>
      </c>
      <c r="F7" s="197">
        <v>50310</v>
      </c>
      <c r="G7" s="197">
        <v>50260</v>
      </c>
      <c r="H7" s="196">
        <v>50</v>
      </c>
      <c r="I7" s="197">
        <v>100</v>
      </c>
      <c r="J7" s="268">
        <f t="shared" ref="J7:J38" si="1">H7*I7</f>
        <v>5000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44110</v>
      </c>
      <c r="D8" s="196" t="s">
        <v>16</v>
      </c>
      <c r="E8" s="196" t="s">
        <v>24</v>
      </c>
      <c r="F8" s="197">
        <v>50860</v>
      </c>
      <c r="G8" s="197">
        <v>50960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COUNT(C78:C100)</f>
        <v>20</v>
      </c>
      <c r="O8" s="348">
        <f>V101</f>
        <v>15</v>
      </c>
      <c r="P8" s="348">
        <f>W101</f>
        <v>5</v>
      </c>
      <c r="Q8" s="349">
        <f>N8-O8-P8</f>
        <v>0</v>
      </c>
      <c r="R8" s="345">
        <f t="shared" ref="R8" si="4">O8/N8</f>
        <v>0.75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44111</v>
      </c>
      <c r="D9" s="196" t="s">
        <v>23</v>
      </c>
      <c r="E9" s="196" t="s">
        <v>24</v>
      </c>
      <c r="F9" s="197">
        <v>49960</v>
      </c>
      <c r="G9" s="197">
        <v>50060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44112</v>
      </c>
      <c r="D10" s="196" t="s">
        <v>16</v>
      </c>
      <c r="E10" s="196" t="s">
        <v>24</v>
      </c>
      <c r="F10" s="197">
        <v>50150</v>
      </c>
      <c r="G10" s="197">
        <v>50350</v>
      </c>
      <c r="H10" s="196">
        <v>200</v>
      </c>
      <c r="I10" s="197">
        <v>100</v>
      </c>
      <c r="J10" s="268">
        <f t="shared" si="1"/>
        <v>20000</v>
      </c>
      <c r="K10" s="185"/>
      <c r="M10" s="319" t="s">
        <v>300</v>
      </c>
      <c r="N10" s="321">
        <f>SUM(N4:N9)</f>
        <v>61</v>
      </c>
      <c r="O10" s="321">
        <f>SUM(O4:O9)</f>
        <v>49</v>
      </c>
      <c r="P10" s="321">
        <f>SUM(P4:P9)</f>
        <v>12</v>
      </c>
      <c r="Q10" s="341">
        <f>SUM(Q4:Q9)</f>
        <v>0</v>
      </c>
      <c r="R10" s="343">
        <f t="shared" ref="R10" si="5">O10/N10</f>
        <v>0.80327868852459017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44113</v>
      </c>
      <c r="D11" s="196" t="s">
        <v>16</v>
      </c>
      <c r="E11" s="196" t="s">
        <v>22</v>
      </c>
      <c r="F11" s="197">
        <v>61650</v>
      </c>
      <c r="G11" s="197">
        <v>62450</v>
      </c>
      <c r="H11" s="196">
        <v>800</v>
      </c>
      <c r="I11" s="197">
        <v>30</v>
      </c>
      <c r="J11" s="268">
        <f t="shared" si="1"/>
        <v>24000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44116</v>
      </c>
      <c r="D12" s="196" t="s">
        <v>16</v>
      </c>
      <c r="E12" s="196" t="s">
        <v>24</v>
      </c>
      <c r="F12" s="197">
        <v>51060</v>
      </c>
      <c r="G12" s="197">
        <v>51140</v>
      </c>
      <c r="H12" s="196">
        <v>80</v>
      </c>
      <c r="I12" s="197">
        <v>100</v>
      </c>
      <c r="J12" s="268">
        <f t="shared" si="1"/>
        <v>8000</v>
      </c>
      <c r="K12" s="185"/>
      <c r="M12" s="323" t="s">
        <v>878</v>
      </c>
      <c r="N12" s="324"/>
      <c r="O12" s="325"/>
      <c r="P12" s="332">
        <f>R10</f>
        <v>0.80327868852459017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44117</v>
      </c>
      <c r="D13" s="196" t="s">
        <v>16</v>
      </c>
      <c r="E13" s="196" t="s">
        <v>24</v>
      </c>
      <c r="F13" s="197">
        <v>50980</v>
      </c>
      <c r="G13" s="197">
        <v>51070</v>
      </c>
      <c r="H13" s="196">
        <v>90</v>
      </c>
      <c r="I13" s="197">
        <v>100</v>
      </c>
      <c r="J13" s="268">
        <f t="shared" si="1"/>
        <v>9000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44118</v>
      </c>
      <c r="D14" s="196" t="s">
        <v>16</v>
      </c>
      <c r="E14" s="196" t="s">
        <v>24</v>
      </c>
      <c r="F14" s="197">
        <v>50600</v>
      </c>
      <c r="G14" s="197">
        <v>50740</v>
      </c>
      <c r="H14" s="196">
        <v>140</v>
      </c>
      <c r="I14" s="197">
        <v>100</v>
      </c>
      <c r="J14" s="268">
        <f t="shared" si="1"/>
        <v>14000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44119</v>
      </c>
      <c r="D15" s="196" t="s">
        <v>16</v>
      </c>
      <c r="E15" s="196" t="s">
        <v>24</v>
      </c>
      <c r="F15" s="197">
        <v>50350</v>
      </c>
      <c r="G15" s="197">
        <v>50550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44120</v>
      </c>
      <c r="D16" s="196" t="s">
        <v>16</v>
      </c>
      <c r="E16" s="196" t="s">
        <v>24</v>
      </c>
      <c r="F16" s="197">
        <v>50760</v>
      </c>
      <c r="G16" s="197">
        <v>50660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44123</v>
      </c>
      <c r="D17" s="196" t="s">
        <v>16</v>
      </c>
      <c r="E17" s="196" t="s">
        <v>24</v>
      </c>
      <c r="F17" s="197">
        <v>50780</v>
      </c>
      <c r="G17" s="197">
        <v>50930</v>
      </c>
      <c r="H17" s="196">
        <v>150</v>
      </c>
      <c r="I17" s="197">
        <v>100</v>
      </c>
      <c r="J17" s="268">
        <f t="shared" si="1"/>
        <v>15000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44124</v>
      </c>
      <c r="D18" s="196" t="s">
        <v>23</v>
      </c>
      <c r="E18" s="196" t="s">
        <v>24</v>
      </c>
      <c r="F18" s="197">
        <v>50710</v>
      </c>
      <c r="G18" s="197">
        <v>50630</v>
      </c>
      <c r="H18" s="196">
        <v>80</v>
      </c>
      <c r="I18" s="197">
        <v>100</v>
      </c>
      <c r="J18" s="268">
        <f t="shared" si="1"/>
        <v>8000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44125</v>
      </c>
      <c r="D19" s="196" t="s">
        <v>23</v>
      </c>
      <c r="E19" s="196" t="s">
        <v>24</v>
      </c>
      <c r="F19" s="197">
        <v>51180</v>
      </c>
      <c r="G19" s="197">
        <v>51125</v>
      </c>
      <c r="H19" s="196">
        <v>55</v>
      </c>
      <c r="I19" s="197">
        <v>100</v>
      </c>
      <c r="J19" s="268">
        <f t="shared" si="1"/>
        <v>5500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44126</v>
      </c>
      <c r="D20" s="196" t="s">
        <v>23</v>
      </c>
      <c r="E20" s="196" t="s">
        <v>24</v>
      </c>
      <c r="F20" s="197">
        <v>50900</v>
      </c>
      <c r="G20" s="197">
        <v>50700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44127</v>
      </c>
      <c r="D21" s="196" t="s">
        <v>23</v>
      </c>
      <c r="E21" s="196" t="s">
        <v>24</v>
      </c>
      <c r="F21" s="197">
        <v>51000</v>
      </c>
      <c r="G21" s="197">
        <v>50800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44130</v>
      </c>
      <c r="D22" s="196" t="s">
        <v>23</v>
      </c>
      <c r="E22" s="196" t="s">
        <v>24</v>
      </c>
      <c r="F22" s="197">
        <v>50920</v>
      </c>
      <c r="G22" s="197">
        <v>51020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44131</v>
      </c>
      <c r="D23" s="196" t="s">
        <v>16</v>
      </c>
      <c r="E23" s="196" t="s">
        <v>24</v>
      </c>
      <c r="F23" s="197">
        <v>50830</v>
      </c>
      <c r="G23" s="197">
        <v>50970</v>
      </c>
      <c r="H23" s="196">
        <v>140</v>
      </c>
      <c r="I23" s="197">
        <v>100</v>
      </c>
      <c r="J23" s="268">
        <f t="shared" si="1"/>
        <v>14000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44132</v>
      </c>
      <c r="D24" s="196" t="s">
        <v>23</v>
      </c>
      <c r="E24" s="196" t="s">
        <v>24</v>
      </c>
      <c r="F24" s="197">
        <v>50750</v>
      </c>
      <c r="G24" s="197">
        <v>50550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44133</v>
      </c>
      <c r="D25" s="196" t="s">
        <v>16</v>
      </c>
      <c r="E25" s="196" t="s">
        <v>24</v>
      </c>
      <c r="F25" s="197">
        <v>50500</v>
      </c>
      <c r="G25" s="197">
        <v>50600</v>
      </c>
      <c r="H25" s="196">
        <v>100</v>
      </c>
      <c r="I25" s="197">
        <v>100</v>
      </c>
      <c r="J25" s="268">
        <f t="shared" si="1"/>
        <v>10000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44133</v>
      </c>
      <c r="D26" s="196" t="s">
        <v>16</v>
      </c>
      <c r="E26" s="196" t="s">
        <v>22</v>
      </c>
      <c r="F26" s="197">
        <v>59800</v>
      </c>
      <c r="G26" s="197">
        <v>60037</v>
      </c>
      <c r="H26" s="196">
        <v>237</v>
      </c>
      <c r="I26" s="197">
        <v>30</v>
      </c>
      <c r="J26" s="268">
        <f t="shared" si="1"/>
        <v>7110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219610</v>
      </c>
      <c r="K39" s="185"/>
      <c r="V39" s="183">
        <f>SUM(V6:V38)</f>
        <v>18</v>
      </c>
      <c r="W39" s="183">
        <f>SUM(W6:W38)</f>
        <v>3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44105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44105</v>
      </c>
      <c r="D47" s="192" t="s">
        <v>23</v>
      </c>
      <c r="E47" s="192" t="s">
        <v>25</v>
      </c>
      <c r="F47" s="193">
        <v>2910</v>
      </c>
      <c r="G47" s="193">
        <v>2850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44109</v>
      </c>
      <c r="D48" s="196" t="s">
        <v>23</v>
      </c>
      <c r="E48" s="196" t="s">
        <v>25</v>
      </c>
      <c r="F48" s="197">
        <v>2830</v>
      </c>
      <c r="G48" s="197">
        <v>2813</v>
      </c>
      <c r="H48" s="196">
        <v>17</v>
      </c>
      <c r="I48" s="197">
        <v>100</v>
      </c>
      <c r="J48" s="268">
        <f t="shared" si="6"/>
        <v>1700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44110</v>
      </c>
      <c r="D49" s="196" t="s">
        <v>23</v>
      </c>
      <c r="E49" s="196" t="s">
        <v>25</v>
      </c>
      <c r="F49" s="197">
        <v>2905</v>
      </c>
      <c r="G49" s="197">
        <v>2935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4</v>
      </c>
      <c r="C50" s="195">
        <v>44111</v>
      </c>
      <c r="D50" s="196" t="s">
        <v>23</v>
      </c>
      <c r="E50" s="196" t="s">
        <v>25</v>
      </c>
      <c r="F50" s="197">
        <v>2900</v>
      </c>
      <c r="G50" s="197">
        <v>2930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44112</v>
      </c>
      <c r="D51" s="196" t="s">
        <v>23</v>
      </c>
      <c r="E51" s="196" t="s">
        <v>25</v>
      </c>
      <c r="F51" s="197">
        <v>2965</v>
      </c>
      <c r="G51" s="197">
        <v>2995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44113</v>
      </c>
      <c r="D52" s="196" t="s">
        <v>23</v>
      </c>
      <c r="E52" s="196" t="s">
        <v>25</v>
      </c>
      <c r="F52" s="197">
        <v>2980</v>
      </c>
      <c r="G52" s="197">
        <v>3024</v>
      </c>
      <c r="H52" s="196">
        <v>44</v>
      </c>
      <c r="I52" s="197">
        <v>100</v>
      </c>
      <c r="J52" s="268">
        <f t="shared" si="6"/>
        <v>4400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44116</v>
      </c>
      <c r="D53" s="196" t="s">
        <v>23</v>
      </c>
      <c r="E53" s="196" t="s">
        <v>25</v>
      </c>
      <c r="F53" s="197">
        <v>2935</v>
      </c>
      <c r="G53" s="197">
        <v>2875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44117</v>
      </c>
      <c r="D54" s="196" t="s">
        <v>23</v>
      </c>
      <c r="E54" s="196" t="s">
        <v>25</v>
      </c>
      <c r="F54" s="197">
        <v>2950</v>
      </c>
      <c r="G54" s="197">
        <v>2930</v>
      </c>
      <c r="H54" s="196">
        <v>20</v>
      </c>
      <c r="I54" s="197">
        <v>100</v>
      </c>
      <c r="J54" s="268">
        <f t="shared" si="6"/>
        <v>2000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44118</v>
      </c>
      <c r="D55" s="196" t="s">
        <v>16</v>
      </c>
      <c r="E55" s="196" t="s">
        <v>25</v>
      </c>
      <c r="F55" s="197">
        <v>2960</v>
      </c>
      <c r="G55" s="197">
        <v>3010</v>
      </c>
      <c r="H55" s="196">
        <v>50</v>
      </c>
      <c r="I55" s="197">
        <v>100</v>
      </c>
      <c r="J55" s="268">
        <f t="shared" si="6"/>
        <v>5000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44119</v>
      </c>
      <c r="D56" s="196" t="s">
        <v>23</v>
      </c>
      <c r="E56" s="196" t="s">
        <v>25</v>
      </c>
      <c r="F56" s="197">
        <v>2910</v>
      </c>
      <c r="G56" s="197">
        <v>2884</v>
      </c>
      <c r="H56" s="196">
        <v>26</v>
      </c>
      <c r="I56" s="197">
        <v>100</v>
      </c>
      <c r="J56" s="268">
        <f t="shared" si="6"/>
        <v>2600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44120</v>
      </c>
      <c r="D57" s="196" t="s">
        <v>23</v>
      </c>
      <c r="E57" s="196" t="s">
        <v>25</v>
      </c>
      <c r="F57" s="197">
        <v>2965</v>
      </c>
      <c r="G57" s="197">
        <v>2938</v>
      </c>
      <c r="H57" s="196">
        <v>27</v>
      </c>
      <c r="I57" s="197">
        <v>100</v>
      </c>
      <c r="J57" s="268">
        <f t="shared" si="6"/>
        <v>2700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44123</v>
      </c>
      <c r="D58" s="196" t="s">
        <v>16</v>
      </c>
      <c r="E58" s="196" t="s">
        <v>25</v>
      </c>
      <c r="F58" s="197">
        <v>2995</v>
      </c>
      <c r="G58" s="197">
        <v>3025</v>
      </c>
      <c r="H58" s="196">
        <v>30</v>
      </c>
      <c r="I58" s="197">
        <v>100</v>
      </c>
      <c r="J58" s="268">
        <f t="shared" si="6"/>
        <v>3000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44124</v>
      </c>
      <c r="D59" s="196" t="s">
        <v>23</v>
      </c>
      <c r="E59" s="196" t="s">
        <v>25</v>
      </c>
      <c r="F59" s="197">
        <v>3035</v>
      </c>
      <c r="G59" s="197">
        <v>3005</v>
      </c>
      <c r="H59" s="196">
        <v>30</v>
      </c>
      <c r="I59" s="197">
        <v>100</v>
      </c>
      <c r="J59" s="268">
        <f t="shared" si="6"/>
        <v>3000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44125</v>
      </c>
      <c r="D60" s="196" t="s">
        <v>23</v>
      </c>
      <c r="E60" s="196" t="s">
        <v>25</v>
      </c>
      <c r="F60" s="197">
        <v>3035</v>
      </c>
      <c r="G60" s="197">
        <v>2975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44126</v>
      </c>
      <c r="D61" s="196" t="s">
        <v>23</v>
      </c>
      <c r="E61" s="196" t="s">
        <v>25</v>
      </c>
      <c r="F61" s="197">
        <v>2960</v>
      </c>
      <c r="G61" s="197">
        <v>2990</v>
      </c>
      <c r="H61" s="196">
        <v>-30</v>
      </c>
      <c r="I61" s="197">
        <v>100</v>
      </c>
      <c r="J61" s="268">
        <f t="shared" si="6"/>
        <v>-3000</v>
      </c>
      <c r="K61" s="185"/>
      <c r="V61" s="183">
        <f t="shared" si="7"/>
        <v>0</v>
      </c>
      <c r="W61" s="183">
        <f t="shared" si="8"/>
        <v>1</v>
      </c>
    </row>
    <row r="62" spans="1:23" x14ac:dyDescent="0.3">
      <c r="A62" s="184"/>
      <c r="B62" s="194">
        <v>16</v>
      </c>
      <c r="C62" s="195">
        <v>44127</v>
      </c>
      <c r="D62" s="196" t="s">
        <v>23</v>
      </c>
      <c r="E62" s="196" t="s">
        <v>25</v>
      </c>
      <c r="F62" s="197">
        <v>3010</v>
      </c>
      <c r="G62" s="197">
        <v>2950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44130</v>
      </c>
      <c r="D63" s="196" t="s">
        <v>23</v>
      </c>
      <c r="E63" s="196" t="s">
        <v>25</v>
      </c>
      <c r="F63" s="197">
        <v>2890</v>
      </c>
      <c r="G63" s="197">
        <v>2845</v>
      </c>
      <c r="H63" s="196">
        <v>45</v>
      </c>
      <c r="I63" s="197">
        <v>100</v>
      </c>
      <c r="J63" s="268">
        <f t="shared" si="6"/>
        <v>4500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44131</v>
      </c>
      <c r="D64" s="196" t="s">
        <v>23</v>
      </c>
      <c r="E64" s="196" t="s">
        <v>25</v>
      </c>
      <c r="F64" s="197">
        <v>2885</v>
      </c>
      <c r="G64" s="197">
        <v>2845</v>
      </c>
      <c r="H64" s="196">
        <v>40</v>
      </c>
      <c r="I64" s="197">
        <v>100</v>
      </c>
      <c r="J64" s="268">
        <f t="shared" si="6"/>
        <v>4000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44132</v>
      </c>
      <c r="D65" s="196" t="s">
        <v>23</v>
      </c>
      <c r="E65" s="196" t="s">
        <v>25</v>
      </c>
      <c r="F65" s="197">
        <v>2820</v>
      </c>
      <c r="G65" s="197">
        <v>2760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44133</v>
      </c>
      <c r="D66" s="196" t="s">
        <v>23</v>
      </c>
      <c r="E66" s="196" t="s">
        <v>25</v>
      </c>
      <c r="F66" s="197">
        <v>2695</v>
      </c>
      <c r="G66" s="197">
        <v>2635</v>
      </c>
      <c r="H66" s="196"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56900</v>
      </c>
      <c r="K70" s="185"/>
      <c r="V70" s="183">
        <f>SUM(V47:V69)</f>
        <v>16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44105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44105</v>
      </c>
      <c r="D78" s="216" t="s">
        <v>23</v>
      </c>
      <c r="E78" s="256" t="s">
        <v>28</v>
      </c>
      <c r="F78" s="256">
        <v>190</v>
      </c>
      <c r="G78" s="256">
        <v>187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44109</v>
      </c>
      <c r="D79" s="196" t="s">
        <v>16</v>
      </c>
      <c r="E79" s="222" t="s">
        <v>28</v>
      </c>
      <c r="F79" s="222">
        <v>184.2</v>
      </c>
      <c r="G79" s="222">
        <v>185.7</v>
      </c>
      <c r="H79" s="222">
        <v>1.5</v>
      </c>
      <c r="I79" s="197">
        <v>5000</v>
      </c>
      <c r="J79" s="268">
        <f t="shared" ref="J79:J100" si="9">I79*H79</f>
        <v>7500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44110</v>
      </c>
      <c r="D80" s="196" t="s">
        <v>23</v>
      </c>
      <c r="E80" s="222" t="s">
        <v>28</v>
      </c>
      <c r="F80" s="222">
        <v>188</v>
      </c>
      <c r="G80" s="222">
        <v>187.75</v>
      </c>
      <c r="H80" s="222">
        <v>0.25</v>
      </c>
      <c r="I80" s="197">
        <v>5000</v>
      </c>
      <c r="J80" s="268">
        <f t="shared" si="9"/>
        <v>1250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44111</v>
      </c>
      <c r="D81" s="196" t="s">
        <v>16</v>
      </c>
      <c r="E81" s="222" t="s">
        <v>28</v>
      </c>
      <c r="F81" s="222">
        <v>190.2</v>
      </c>
      <c r="G81" s="222">
        <v>192.2</v>
      </c>
      <c r="H81" s="222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44112</v>
      </c>
      <c r="D82" s="196" t="s">
        <v>16</v>
      </c>
      <c r="E82" s="222" t="s">
        <v>28</v>
      </c>
      <c r="F82" s="222">
        <v>191.7</v>
      </c>
      <c r="G82" s="222">
        <v>192.4</v>
      </c>
      <c r="H82" s="222">
        <v>0.3</v>
      </c>
      <c r="I82" s="197">
        <v>5000</v>
      </c>
      <c r="J82" s="268">
        <f t="shared" si="9"/>
        <v>1500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44113</v>
      </c>
      <c r="D83" s="196" t="s">
        <v>16</v>
      </c>
      <c r="E83" s="222" t="s">
        <v>28</v>
      </c>
      <c r="F83" s="222">
        <v>195.5</v>
      </c>
      <c r="G83" s="222">
        <v>195.95</v>
      </c>
      <c r="H83" s="222">
        <v>0.45</v>
      </c>
      <c r="I83" s="197">
        <v>5000</v>
      </c>
      <c r="J83" s="268">
        <f t="shared" si="9"/>
        <v>2250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44116</v>
      </c>
      <c r="D84" s="196" t="s">
        <v>16</v>
      </c>
      <c r="E84" s="222" t="s">
        <v>28</v>
      </c>
      <c r="F84" s="222">
        <v>198</v>
      </c>
      <c r="G84" s="222">
        <v>198.3</v>
      </c>
      <c r="H84" s="274">
        <v>0.3</v>
      </c>
      <c r="I84" s="197">
        <v>5000</v>
      </c>
      <c r="J84" s="268">
        <f t="shared" si="9"/>
        <v>1500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44117</v>
      </c>
      <c r="D85" s="196" t="s">
        <v>16</v>
      </c>
      <c r="E85" s="222" t="s">
        <v>28</v>
      </c>
      <c r="F85" s="222">
        <v>197.2</v>
      </c>
      <c r="G85" s="222">
        <v>197.7</v>
      </c>
      <c r="H85" s="222">
        <v>0.5</v>
      </c>
      <c r="I85" s="197">
        <v>5000</v>
      </c>
      <c r="J85" s="268">
        <f t="shared" si="9"/>
        <v>2500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44118</v>
      </c>
      <c r="D86" s="196" t="s">
        <v>16</v>
      </c>
      <c r="E86" s="222" t="s">
        <v>28</v>
      </c>
      <c r="F86" s="222">
        <v>195.4</v>
      </c>
      <c r="G86" s="222">
        <v>194.4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44119</v>
      </c>
      <c r="D87" s="196" t="s">
        <v>16</v>
      </c>
      <c r="E87" s="222" t="s">
        <v>28</v>
      </c>
      <c r="F87" s="222">
        <v>191.5</v>
      </c>
      <c r="G87" s="222">
        <v>193.5</v>
      </c>
      <c r="H87" s="222">
        <v>2</v>
      </c>
      <c r="I87" s="197">
        <v>5000</v>
      </c>
      <c r="J87" s="268">
        <f t="shared" si="9"/>
        <v>10000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44120</v>
      </c>
      <c r="D88" s="196" t="s">
        <v>23</v>
      </c>
      <c r="E88" s="222" t="s">
        <v>28</v>
      </c>
      <c r="F88" s="222">
        <v>192.7</v>
      </c>
      <c r="G88" s="222">
        <v>193.7</v>
      </c>
      <c r="H88" s="274">
        <v>-1</v>
      </c>
      <c r="I88" s="197">
        <v>5000</v>
      </c>
      <c r="J88" s="268">
        <f t="shared" si="9"/>
        <v>-5000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12</v>
      </c>
      <c r="C89" s="195">
        <v>44123</v>
      </c>
      <c r="D89" s="196" t="s">
        <v>23</v>
      </c>
      <c r="E89" s="222" t="s">
        <v>28</v>
      </c>
      <c r="F89" s="222">
        <v>196.8</v>
      </c>
      <c r="G89" s="222">
        <v>195.4</v>
      </c>
      <c r="H89" s="274">
        <v>1.4</v>
      </c>
      <c r="I89" s="197">
        <v>5000</v>
      </c>
      <c r="J89" s="268">
        <f t="shared" si="9"/>
        <v>7000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44124</v>
      </c>
      <c r="D90" s="196" t="s">
        <v>23</v>
      </c>
      <c r="E90" s="222" t="s">
        <v>28</v>
      </c>
      <c r="F90" s="222">
        <v>198</v>
      </c>
      <c r="G90" s="222">
        <v>197.55</v>
      </c>
      <c r="H90" s="274">
        <v>0.45</v>
      </c>
      <c r="I90" s="197">
        <v>5000</v>
      </c>
      <c r="J90" s="268">
        <f t="shared" si="9"/>
        <v>2250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44125</v>
      </c>
      <c r="D91" s="196" t="s">
        <v>16</v>
      </c>
      <c r="E91" s="222" t="s">
        <v>28</v>
      </c>
      <c r="F91" s="222">
        <v>204.7</v>
      </c>
      <c r="G91" s="222">
        <v>205.15</v>
      </c>
      <c r="H91" s="274">
        <v>0.45</v>
      </c>
      <c r="I91" s="197">
        <v>5000</v>
      </c>
      <c r="J91" s="268">
        <f t="shared" si="9"/>
        <v>2250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44126</v>
      </c>
      <c r="D92" s="196" t="s">
        <v>23</v>
      </c>
      <c r="E92" s="222" t="s">
        <v>28</v>
      </c>
      <c r="F92" s="223">
        <v>202.7</v>
      </c>
      <c r="G92" s="222">
        <v>203.7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44127</v>
      </c>
      <c r="D93" s="196" t="s">
        <v>16</v>
      </c>
      <c r="E93" s="222" t="s">
        <v>28</v>
      </c>
      <c r="F93" s="222">
        <v>205.2</v>
      </c>
      <c r="G93" s="222">
        <v>206.7</v>
      </c>
      <c r="H93" s="274">
        <v>1.5</v>
      </c>
      <c r="I93" s="197">
        <v>5000</v>
      </c>
      <c r="J93" s="268">
        <f t="shared" si="9"/>
        <v>7500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44130</v>
      </c>
      <c r="D94" s="196" t="s">
        <v>16</v>
      </c>
      <c r="E94" s="222" t="s">
        <v>28</v>
      </c>
      <c r="F94" s="222">
        <v>201.5</v>
      </c>
      <c r="G94" s="222">
        <v>201.9</v>
      </c>
      <c r="H94" s="274">
        <v>0.4</v>
      </c>
      <c r="I94" s="197">
        <v>5000</v>
      </c>
      <c r="J94" s="268">
        <f t="shared" si="9"/>
        <v>2000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44131</v>
      </c>
      <c r="D95" s="196" t="s">
        <v>16</v>
      </c>
      <c r="E95" s="222" t="s">
        <v>28</v>
      </c>
      <c r="F95" s="222">
        <v>201.3</v>
      </c>
      <c r="G95" s="222">
        <v>201.75</v>
      </c>
      <c r="H95" s="274">
        <v>0.45</v>
      </c>
      <c r="I95" s="197">
        <v>5000</v>
      </c>
      <c r="J95" s="268">
        <f t="shared" si="9"/>
        <v>2250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44132</v>
      </c>
      <c r="D96" s="196" t="s">
        <v>16</v>
      </c>
      <c r="E96" s="222" t="s">
        <v>28</v>
      </c>
      <c r="F96" s="222">
        <v>203</v>
      </c>
      <c r="G96" s="222">
        <v>202</v>
      </c>
      <c r="H96" s="274">
        <v>-1</v>
      </c>
      <c r="I96" s="197">
        <v>5000</v>
      </c>
      <c r="J96" s="268">
        <f t="shared" si="9"/>
        <v>-5000</v>
      </c>
      <c r="K96" s="185"/>
      <c r="V96" s="183">
        <f t="shared" si="10"/>
        <v>0</v>
      </c>
      <c r="W96" s="183">
        <f t="shared" si="11"/>
        <v>1</v>
      </c>
    </row>
    <row r="97" spans="1:23" x14ac:dyDescent="0.3">
      <c r="A97" s="184"/>
      <c r="B97" s="194">
        <v>20</v>
      </c>
      <c r="C97" s="195">
        <v>44133</v>
      </c>
      <c r="D97" s="196" t="s">
        <v>16</v>
      </c>
      <c r="E97" s="222" t="s">
        <v>28</v>
      </c>
      <c r="F97" s="222">
        <v>201.6</v>
      </c>
      <c r="G97" s="222">
        <v>200.6</v>
      </c>
      <c r="H97" s="274">
        <v>-1</v>
      </c>
      <c r="I97" s="197">
        <v>5000</v>
      </c>
      <c r="J97" s="268">
        <f t="shared" si="9"/>
        <v>-5000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44750</v>
      </c>
      <c r="K101" s="185"/>
      <c r="V101" s="183">
        <f>SUM(V78:V100)</f>
        <v>15</v>
      </c>
      <c r="W101" s="183">
        <f>SUM(W78:W100)</f>
        <v>5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E00-000000000000}"/>
    <hyperlink ref="B70" r:id="rId2" xr:uid="{00000000-0004-0000-5E00-000001000000}"/>
    <hyperlink ref="M4:M5" location="'OCT 2020'!A1" display="BULLION" xr:uid="{00000000-0004-0000-5E00-000002000000}"/>
    <hyperlink ref="B101" r:id="rId3" xr:uid="{00000000-0004-0000-5E00-000003000000}"/>
    <hyperlink ref="M8:M9" location="'OCT 2020'!A86" display="BASE METAL" xr:uid="{00000000-0004-0000-5E00-000004000000}"/>
    <hyperlink ref="M1" location="MASTER!A1" display="Back" xr:uid="{00000000-0004-0000-5E00-000005000000}"/>
    <hyperlink ref="M6:M7" location="'OCT 2020'!A54" display="ENERGY" xr:uid="{00000000-0004-0000-5E00-000006000000}"/>
  </hyperlinks>
  <pageMargins left="0" right="0" top="0" bottom="0" header="0" footer="0"/>
  <pageSetup paperSize="9" orientation="portrait" r:id="rId4"/>
  <drawing r:id="rId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W102"/>
  <sheetViews>
    <sheetView zoomScale="98" zoomScaleNormal="98" workbookViewId="0">
      <selection activeCell="N18" sqref="N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44136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COUNT(C6:C38)</f>
        <v>30</v>
      </c>
      <c r="O4" s="355">
        <f>V39</f>
        <v>23</v>
      </c>
      <c r="P4" s="355">
        <f>W39</f>
        <v>7</v>
      </c>
      <c r="Q4" s="356">
        <f>N4-O4-P4</f>
        <v>0</v>
      </c>
      <c r="R4" s="343">
        <f>O4/N4</f>
        <v>0.76666666666666672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44137</v>
      </c>
      <c r="D6" s="192" t="s">
        <v>23</v>
      </c>
      <c r="E6" s="192" t="s">
        <v>24</v>
      </c>
      <c r="F6" s="193">
        <v>50850</v>
      </c>
      <c r="G6" s="193">
        <v>50950</v>
      </c>
      <c r="H6" s="192">
        <v>-100</v>
      </c>
      <c r="I6" s="193">
        <v>100</v>
      </c>
      <c r="J6" s="267">
        <f>H6*I6</f>
        <v>-10000</v>
      </c>
      <c r="K6" s="185"/>
      <c r="M6" s="364" t="s">
        <v>258</v>
      </c>
      <c r="N6" s="347">
        <f>COUNT(C47:C69)</f>
        <v>16</v>
      </c>
      <c r="O6" s="348">
        <f>V70</f>
        <v>15</v>
      </c>
      <c r="P6" s="348">
        <f>W70</f>
        <v>1</v>
      </c>
      <c r="Q6" s="349">
        <f>N6-O6-P6</f>
        <v>0</v>
      </c>
      <c r="R6" s="345">
        <f t="shared" ref="R6" si="0">O6/N6</f>
        <v>0.9375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44138</v>
      </c>
      <c r="D7" s="196" t="s">
        <v>16</v>
      </c>
      <c r="E7" s="196" t="s">
        <v>24</v>
      </c>
      <c r="F7" s="197">
        <v>51080</v>
      </c>
      <c r="G7" s="197">
        <v>51280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5"/>
      <c r="N7" s="347"/>
      <c r="O7" s="348"/>
      <c r="P7" s="348"/>
      <c r="Q7" s="350"/>
      <c r="R7" s="345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44138</v>
      </c>
      <c r="D8" s="196" t="s">
        <v>16</v>
      </c>
      <c r="E8" s="196" t="s">
        <v>22</v>
      </c>
      <c r="F8" s="197">
        <v>62300</v>
      </c>
      <c r="G8" s="197">
        <v>62700</v>
      </c>
      <c r="H8" s="196">
        <v>400</v>
      </c>
      <c r="I8" s="197">
        <v>30</v>
      </c>
      <c r="J8" s="268">
        <f t="shared" si="1"/>
        <v>12000</v>
      </c>
      <c r="K8" s="185"/>
      <c r="M8" s="362" t="s">
        <v>877</v>
      </c>
      <c r="N8" s="347">
        <f>COUNT(C78:C100)</f>
        <v>16</v>
      </c>
      <c r="O8" s="348">
        <f>V101</f>
        <v>11</v>
      </c>
      <c r="P8" s="348">
        <f>W101</f>
        <v>5</v>
      </c>
      <c r="Q8" s="349">
        <f>N8-O8-P8</f>
        <v>0</v>
      </c>
      <c r="R8" s="345">
        <f t="shared" ref="R8" si="4">O8/N8</f>
        <v>0.6875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44139</v>
      </c>
      <c r="D9" s="196" t="s">
        <v>23</v>
      </c>
      <c r="E9" s="196" t="s">
        <v>24</v>
      </c>
      <c r="F9" s="197">
        <v>51150</v>
      </c>
      <c r="G9" s="197">
        <v>51000</v>
      </c>
      <c r="H9" s="196">
        <v>150</v>
      </c>
      <c r="I9" s="197">
        <v>100</v>
      </c>
      <c r="J9" s="268">
        <f t="shared" si="1"/>
        <v>15000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44139</v>
      </c>
      <c r="D10" s="196" t="s">
        <v>23</v>
      </c>
      <c r="E10" s="196" t="s">
        <v>22</v>
      </c>
      <c r="F10" s="197">
        <v>61250</v>
      </c>
      <c r="G10" s="197">
        <v>61550</v>
      </c>
      <c r="H10" s="196">
        <v>-300</v>
      </c>
      <c r="I10" s="197">
        <v>30</v>
      </c>
      <c r="J10" s="268">
        <f t="shared" si="1"/>
        <v>-9000</v>
      </c>
      <c r="K10" s="185"/>
      <c r="M10" s="319" t="s">
        <v>300</v>
      </c>
      <c r="N10" s="321">
        <f>SUM(N4:N9)</f>
        <v>62</v>
      </c>
      <c r="O10" s="321">
        <f>SUM(O4:O9)</f>
        <v>49</v>
      </c>
      <c r="P10" s="321">
        <f>SUM(P4:P9)</f>
        <v>13</v>
      </c>
      <c r="Q10" s="341">
        <f>SUM(Q4:Q9)</f>
        <v>0</v>
      </c>
      <c r="R10" s="343">
        <f t="shared" ref="R10" si="5">O10/N10</f>
        <v>0.79032258064516125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44140</v>
      </c>
      <c r="D11" s="196" t="s">
        <v>16</v>
      </c>
      <c r="E11" s="196" t="s">
        <v>22</v>
      </c>
      <c r="F11" s="197">
        <v>62900</v>
      </c>
      <c r="G11" s="197">
        <v>63500</v>
      </c>
      <c r="H11" s="196">
        <v>40</v>
      </c>
      <c r="I11" s="197">
        <v>30</v>
      </c>
      <c r="J11" s="268">
        <f t="shared" si="1"/>
        <v>1200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44140</v>
      </c>
      <c r="D12" s="196" t="s">
        <v>16</v>
      </c>
      <c r="E12" s="196" t="s">
        <v>24</v>
      </c>
      <c r="F12" s="197">
        <v>51360</v>
      </c>
      <c r="G12" s="197">
        <v>51560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0.79032258064516125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44141</v>
      </c>
      <c r="D13" s="196" t="s">
        <v>16</v>
      </c>
      <c r="E13" s="196" t="s">
        <v>24</v>
      </c>
      <c r="F13" s="197">
        <v>52380</v>
      </c>
      <c r="G13" s="197">
        <v>52280</v>
      </c>
      <c r="H13" s="196">
        <v>-100</v>
      </c>
      <c r="I13" s="197">
        <v>100</v>
      </c>
      <c r="J13" s="268">
        <f t="shared" si="1"/>
        <v>-10000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44141</v>
      </c>
      <c r="D14" s="196" t="s">
        <v>16</v>
      </c>
      <c r="E14" s="196" t="s">
        <v>22</v>
      </c>
      <c r="F14" s="197">
        <v>65350</v>
      </c>
      <c r="G14" s="197">
        <v>65950</v>
      </c>
      <c r="H14" s="196">
        <v>600</v>
      </c>
      <c r="I14" s="197">
        <v>30</v>
      </c>
      <c r="J14" s="268">
        <f t="shared" si="1"/>
        <v>18000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44144</v>
      </c>
      <c r="D15" s="196" t="s">
        <v>16</v>
      </c>
      <c r="E15" s="196" t="s">
        <v>24</v>
      </c>
      <c r="F15" s="197">
        <v>52460</v>
      </c>
      <c r="G15" s="197">
        <v>52360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44144</v>
      </c>
      <c r="D16" s="196" t="s">
        <v>23</v>
      </c>
      <c r="E16" s="196" t="s">
        <v>22</v>
      </c>
      <c r="F16" s="197">
        <v>65900</v>
      </c>
      <c r="G16" s="197">
        <v>65300</v>
      </c>
      <c r="H16" s="196">
        <v>600</v>
      </c>
      <c r="I16" s="197">
        <v>30</v>
      </c>
      <c r="J16" s="268">
        <f t="shared" si="1"/>
        <v>18000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44145</v>
      </c>
      <c r="D17" s="196" t="s">
        <v>23</v>
      </c>
      <c r="E17" s="196" t="s">
        <v>24</v>
      </c>
      <c r="F17" s="197">
        <v>50270</v>
      </c>
      <c r="G17" s="197">
        <v>50130</v>
      </c>
      <c r="H17" s="196">
        <v>140</v>
      </c>
      <c r="I17" s="197">
        <v>100</v>
      </c>
      <c r="J17" s="268">
        <f t="shared" si="1"/>
        <v>14000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44146</v>
      </c>
      <c r="D18" s="196" t="s">
        <v>23</v>
      </c>
      <c r="E18" s="196" t="s">
        <v>24</v>
      </c>
      <c r="F18" s="197">
        <v>50400</v>
      </c>
      <c r="G18" s="197">
        <v>50200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44146</v>
      </c>
      <c r="D19" s="196" t="s">
        <v>23</v>
      </c>
      <c r="E19" s="196" t="s">
        <v>22</v>
      </c>
      <c r="F19" s="197">
        <v>62400</v>
      </c>
      <c r="G19" s="197">
        <v>61800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44147</v>
      </c>
      <c r="D20" s="196" t="s">
        <v>16</v>
      </c>
      <c r="E20" s="196" t="s">
        <v>24</v>
      </c>
      <c r="F20" s="197">
        <v>50400</v>
      </c>
      <c r="G20" s="197">
        <v>50600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44147</v>
      </c>
      <c r="D21" s="196" t="s">
        <v>16</v>
      </c>
      <c r="E21" s="196" t="s">
        <v>22</v>
      </c>
      <c r="F21" s="197">
        <v>62800</v>
      </c>
      <c r="G21" s="197">
        <v>62950</v>
      </c>
      <c r="H21" s="196">
        <v>150</v>
      </c>
      <c r="I21" s="197">
        <v>30</v>
      </c>
      <c r="J21" s="268">
        <f t="shared" si="1"/>
        <v>4500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44154</v>
      </c>
      <c r="D22" s="196" t="s">
        <v>23</v>
      </c>
      <c r="E22" s="196" t="s">
        <v>24</v>
      </c>
      <c r="F22" s="197">
        <v>50050</v>
      </c>
      <c r="G22" s="197">
        <v>49910</v>
      </c>
      <c r="H22" s="196">
        <v>140</v>
      </c>
      <c r="I22" s="197">
        <v>100</v>
      </c>
      <c r="J22" s="268">
        <f t="shared" si="1"/>
        <v>14000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44154</v>
      </c>
      <c r="D23" s="196" t="s">
        <v>23</v>
      </c>
      <c r="E23" s="196" t="s">
        <v>22</v>
      </c>
      <c r="F23" s="197">
        <v>61400</v>
      </c>
      <c r="G23" s="197">
        <v>61200</v>
      </c>
      <c r="H23" s="196">
        <v>200</v>
      </c>
      <c r="I23" s="197">
        <v>30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44155</v>
      </c>
      <c r="D24" s="196" t="s">
        <v>23</v>
      </c>
      <c r="E24" s="196" t="s">
        <v>24</v>
      </c>
      <c r="F24" s="197">
        <v>50090</v>
      </c>
      <c r="G24" s="197">
        <v>50020</v>
      </c>
      <c r="H24" s="196">
        <v>70</v>
      </c>
      <c r="I24" s="197">
        <v>100</v>
      </c>
      <c r="J24" s="268">
        <f t="shared" si="1"/>
        <v>7000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44155</v>
      </c>
      <c r="D25" s="196" t="s">
        <v>23</v>
      </c>
      <c r="E25" s="196" t="s">
        <v>22</v>
      </c>
      <c r="F25" s="197">
        <v>62000</v>
      </c>
      <c r="G25" s="197">
        <v>61869</v>
      </c>
      <c r="H25" s="196">
        <v>131</v>
      </c>
      <c r="I25" s="197">
        <v>30</v>
      </c>
      <c r="J25" s="268">
        <f t="shared" si="1"/>
        <v>3930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44158</v>
      </c>
      <c r="D26" s="196" t="s">
        <v>23</v>
      </c>
      <c r="E26" s="196" t="s">
        <v>24</v>
      </c>
      <c r="F26" s="197">
        <v>50130</v>
      </c>
      <c r="G26" s="197">
        <v>49985</v>
      </c>
      <c r="H26" s="196">
        <v>145</v>
      </c>
      <c r="I26" s="197">
        <v>100</v>
      </c>
      <c r="J26" s="268">
        <f t="shared" si="1"/>
        <v>14500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44158</v>
      </c>
      <c r="D27" s="196" t="s">
        <v>23</v>
      </c>
      <c r="E27" s="196" t="s">
        <v>22</v>
      </c>
      <c r="F27" s="197">
        <v>61700</v>
      </c>
      <c r="G27" s="197">
        <v>61170</v>
      </c>
      <c r="H27" s="196">
        <v>170</v>
      </c>
      <c r="I27" s="197">
        <v>30</v>
      </c>
      <c r="J27" s="268">
        <f t="shared" si="1"/>
        <v>5100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44159</v>
      </c>
      <c r="D28" s="196" t="s">
        <v>16</v>
      </c>
      <c r="E28" s="196" t="s">
        <v>24</v>
      </c>
      <c r="F28" s="197">
        <v>49080</v>
      </c>
      <c r="G28" s="197">
        <v>48980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44159</v>
      </c>
      <c r="D29" s="196" t="s">
        <v>23</v>
      </c>
      <c r="E29" s="196" t="s">
        <v>22</v>
      </c>
      <c r="F29" s="197">
        <v>60000</v>
      </c>
      <c r="G29" s="197">
        <v>60250</v>
      </c>
      <c r="H29" s="196">
        <v>250</v>
      </c>
      <c r="I29" s="197">
        <v>30</v>
      </c>
      <c r="J29" s="268">
        <f t="shared" si="1"/>
        <v>7500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44160</v>
      </c>
      <c r="D30" s="196" t="s">
        <v>23</v>
      </c>
      <c r="E30" s="196" t="s">
        <v>24</v>
      </c>
      <c r="F30" s="197">
        <v>48660</v>
      </c>
      <c r="G30" s="197">
        <v>48560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44160</v>
      </c>
      <c r="D31" s="196" t="s">
        <v>23</v>
      </c>
      <c r="E31" s="196" t="s">
        <v>22</v>
      </c>
      <c r="F31" s="197">
        <v>60100</v>
      </c>
      <c r="G31" s="197">
        <v>59800</v>
      </c>
      <c r="H31" s="196">
        <v>300</v>
      </c>
      <c r="I31" s="197">
        <v>100</v>
      </c>
      <c r="J31" s="268">
        <f t="shared" si="1"/>
        <v>30000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44161</v>
      </c>
      <c r="D32" s="196" t="s">
        <v>16</v>
      </c>
      <c r="E32" s="196" t="s">
        <v>24</v>
      </c>
      <c r="F32" s="197">
        <v>48700</v>
      </c>
      <c r="G32" s="197">
        <v>48750</v>
      </c>
      <c r="H32" s="196">
        <v>50</v>
      </c>
      <c r="I32" s="197">
        <v>100</v>
      </c>
      <c r="J32" s="268">
        <f t="shared" si="1"/>
        <v>5000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44161</v>
      </c>
      <c r="D33" s="196" t="s">
        <v>16</v>
      </c>
      <c r="E33" s="196" t="s">
        <v>22</v>
      </c>
      <c r="F33" s="197">
        <v>60000</v>
      </c>
      <c r="G33" s="197">
        <v>59700</v>
      </c>
      <c r="H33" s="196">
        <v>-300</v>
      </c>
      <c r="I33" s="197">
        <v>100</v>
      </c>
      <c r="J33" s="268">
        <f t="shared" si="1"/>
        <v>-30000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44162</v>
      </c>
      <c r="D34" s="196" t="s">
        <v>16</v>
      </c>
      <c r="E34" s="196" t="s">
        <v>24</v>
      </c>
      <c r="F34" s="197">
        <v>48600</v>
      </c>
      <c r="G34" s="197">
        <v>48500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44162</v>
      </c>
      <c r="D35" s="196" t="s">
        <v>16</v>
      </c>
      <c r="E35" s="196" t="s">
        <v>22</v>
      </c>
      <c r="F35" s="197">
        <v>59700</v>
      </c>
      <c r="G35" s="197">
        <v>59900</v>
      </c>
      <c r="H35" s="196">
        <v>200</v>
      </c>
      <c r="I35" s="197">
        <v>30</v>
      </c>
      <c r="J35" s="268">
        <f t="shared" si="1"/>
        <v>6000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04" t="s">
        <v>879</v>
      </c>
      <c r="C39" s="305"/>
      <c r="D39" s="305"/>
      <c r="E39" s="305"/>
      <c r="F39" s="305"/>
      <c r="G39" s="305"/>
      <c r="H39" s="306"/>
      <c r="I39" s="203" t="s">
        <v>880</v>
      </c>
      <c r="J39" s="204">
        <f>SUM(J6:J38)</f>
        <v>200730</v>
      </c>
      <c r="K39" s="185"/>
      <c r="V39" s="183">
        <f>SUM(V6:V38)</f>
        <v>23</v>
      </c>
      <c r="W39" s="183">
        <f>SUM(W6:W38)</f>
        <v>7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07" t="s">
        <v>128</v>
      </c>
      <c r="C43" s="308"/>
      <c r="D43" s="308"/>
      <c r="E43" s="308"/>
      <c r="F43" s="308"/>
      <c r="G43" s="308"/>
      <c r="H43" s="308"/>
      <c r="I43" s="308"/>
      <c r="J43" s="309"/>
      <c r="K43" s="185"/>
    </row>
    <row r="44" spans="1:23" ht="16.2" thickBot="1" x14ac:dyDescent="0.35">
      <c r="A44" s="184"/>
      <c r="B44" s="310">
        <v>44136</v>
      </c>
      <c r="C44" s="311"/>
      <c r="D44" s="311"/>
      <c r="E44" s="311"/>
      <c r="F44" s="311"/>
      <c r="G44" s="311"/>
      <c r="H44" s="311"/>
      <c r="I44" s="311"/>
      <c r="J44" s="312"/>
      <c r="K44" s="185"/>
    </row>
    <row r="45" spans="1:23" ht="16.2" thickBot="1" x14ac:dyDescent="0.35">
      <c r="A45" s="184"/>
      <c r="B45" s="313" t="s">
        <v>881</v>
      </c>
      <c r="C45" s="314"/>
      <c r="D45" s="314"/>
      <c r="E45" s="314"/>
      <c r="F45" s="314"/>
      <c r="G45" s="314"/>
      <c r="H45" s="314"/>
      <c r="I45" s="314"/>
      <c r="J45" s="315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44137</v>
      </c>
      <c r="D47" s="192" t="s">
        <v>23</v>
      </c>
      <c r="E47" s="192" t="s">
        <v>25</v>
      </c>
      <c r="F47" s="193">
        <v>2605</v>
      </c>
      <c r="G47" s="193">
        <v>2587</v>
      </c>
      <c r="H47" s="192">
        <v>18</v>
      </c>
      <c r="I47" s="193">
        <v>100</v>
      </c>
      <c r="J47" s="267">
        <f t="shared" ref="J47:J69" si="6">I47*H47</f>
        <v>1800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44138</v>
      </c>
      <c r="D48" s="196" t="s">
        <v>23</v>
      </c>
      <c r="E48" s="196" t="s">
        <v>25</v>
      </c>
      <c r="F48" s="197">
        <v>2830</v>
      </c>
      <c r="G48" s="197">
        <v>2800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44139</v>
      </c>
      <c r="D49" s="196" t="s">
        <v>23</v>
      </c>
      <c r="E49" s="196" t="s">
        <v>25</v>
      </c>
      <c r="F49" s="197">
        <v>2900</v>
      </c>
      <c r="G49" s="197">
        <v>2840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44140</v>
      </c>
      <c r="D50" s="196" t="s">
        <v>23</v>
      </c>
      <c r="E50" s="196" t="s">
        <v>25</v>
      </c>
      <c r="F50" s="197">
        <v>2900</v>
      </c>
      <c r="G50" s="197">
        <v>2840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44141</v>
      </c>
      <c r="D51" s="196" t="s">
        <v>23</v>
      </c>
      <c r="E51" s="196" t="s">
        <v>25</v>
      </c>
      <c r="F51" s="197">
        <v>2805</v>
      </c>
      <c r="G51" s="197">
        <v>2775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44144</v>
      </c>
      <c r="D52" s="196" t="s">
        <v>16</v>
      </c>
      <c r="E52" s="196" t="s">
        <v>25</v>
      </c>
      <c r="F52" s="197">
        <v>2830</v>
      </c>
      <c r="G52" s="197">
        <v>2870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44145</v>
      </c>
      <c r="D53" s="196" t="s">
        <v>23</v>
      </c>
      <c r="E53" s="196" t="s">
        <v>25</v>
      </c>
      <c r="F53" s="197">
        <v>3030</v>
      </c>
      <c r="G53" s="197">
        <v>3000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44146</v>
      </c>
      <c r="D54" s="196" t="s">
        <v>23</v>
      </c>
      <c r="E54" s="196" t="s">
        <v>25</v>
      </c>
      <c r="F54" s="197">
        <v>3190</v>
      </c>
      <c r="G54" s="197">
        <v>3150</v>
      </c>
      <c r="H54" s="196">
        <v>40</v>
      </c>
      <c r="I54" s="197">
        <v>100</v>
      </c>
      <c r="J54" s="268">
        <f t="shared" si="6"/>
        <v>4000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44147</v>
      </c>
      <c r="D55" s="196" t="s">
        <v>23</v>
      </c>
      <c r="E55" s="196" t="s">
        <v>25</v>
      </c>
      <c r="F55" s="197">
        <v>3110</v>
      </c>
      <c r="G55" s="197">
        <v>3080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44154</v>
      </c>
      <c r="D56" s="196" t="s">
        <v>23</v>
      </c>
      <c r="E56" s="196" t="s">
        <v>25</v>
      </c>
      <c r="F56" s="197">
        <v>3075</v>
      </c>
      <c r="G56" s="197">
        <v>3046</v>
      </c>
      <c r="H56" s="196">
        <v>29</v>
      </c>
      <c r="I56" s="197">
        <v>100</v>
      </c>
      <c r="J56" s="268">
        <f t="shared" si="6"/>
        <v>2900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44155</v>
      </c>
      <c r="D57" s="196" t="s">
        <v>23</v>
      </c>
      <c r="E57" s="196" t="s">
        <v>25</v>
      </c>
      <c r="F57" s="197">
        <v>3120</v>
      </c>
      <c r="G57" s="197">
        <v>3110</v>
      </c>
      <c r="H57" s="196">
        <v>10</v>
      </c>
      <c r="I57" s="197">
        <v>100</v>
      </c>
      <c r="J57" s="268">
        <f t="shared" si="6"/>
        <v>1000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44158</v>
      </c>
      <c r="D58" s="196" t="s">
        <v>23</v>
      </c>
      <c r="E58" s="196" t="s">
        <v>25</v>
      </c>
      <c r="F58" s="197">
        <v>3215</v>
      </c>
      <c r="G58" s="197">
        <v>3175</v>
      </c>
      <c r="H58" s="196">
        <v>40</v>
      </c>
      <c r="I58" s="197">
        <v>100</v>
      </c>
      <c r="J58" s="268">
        <f t="shared" si="6"/>
        <v>4000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44159</v>
      </c>
      <c r="D59" s="196" t="s">
        <v>23</v>
      </c>
      <c r="E59" s="196" t="s">
        <v>25</v>
      </c>
      <c r="F59" s="197">
        <v>3230</v>
      </c>
      <c r="G59" s="197">
        <v>3215</v>
      </c>
      <c r="H59" s="196">
        <v>15</v>
      </c>
      <c r="I59" s="197">
        <v>100</v>
      </c>
      <c r="J59" s="268">
        <f t="shared" si="6"/>
        <v>1500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44160</v>
      </c>
      <c r="D60" s="196" t="s">
        <v>23</v>
      </c>
      <c r="E60" s="196" t="s">
        <v>25</v>
      </c>
      <c r="F60" s="197">
        <v>3355</v>
      </c>
      <c r="G60" s="197">
        <v>3340</v>
      </c>
      <c r="H60" s="196">
        <v>15</v>
      </c>
      <c r="I60" s="197">
        <v>100</v>
      </c>
      <c r="J60" s="268">
        <f t="shared" si="6"/>
        <v>1500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44161</v>
      </c>
      <c r="D61" s="196" t="s">
        <v>23</v>
      </c>
      <c r="E61" s="196" t="s">
        <v>25</v>
      </c>
      <c r="F61" s="197">
        <v>3350</v>
      </c>
      <c r="G61" s="197">
        <v>3320</v>
      </c>
      <c r="H61" s="196">
        <v>30</v>
      </c>
      <c r="I61" s="197">
        <v>100</v>
      </c>
      <c r="J61" s="268">
        <f t="shared" si="6"/>
        <v>3000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44162</v>
      </c>
      <c r="D62" s="196" t="s">
        <v>16</v>
      </c>
      <c r="E62" s="196" t="s">
        <v>25</v>
      </c>
      <c r="F62" s="197">
        <v>3310</v>
      </c>
      <c r="G62" s="197">
        <v>3340</v>
      </c>
      <c r="H62" s="196">
        <v>-30</v>
      </c>
      <c r="I62" s="197">
        <v>100</v>
      </c>
      <c r="J62" s="268">
        <f t="shared" si="6"/>
        <v>-3000</v>
      </c>
      <c r="K62" s="185"/>
      <c r="V62" s="183">
        <f t="shared" si="7"/>
        <v>0</v>
      </c>
      <c r="W62" s="183">
        <f t="shared" si="8"/>
        <v>1</v>
      </c>
    </row>
    <row r="63" spans="1:23" x14ac:dyDescent="0.3">
      <c r="A63" s="184"/>
      <c r="B63" s="194">
        <v>17</v>
      </c>
      <c r="C63" s="195"/>
      <c r="D63" s="196"/>
      <c r="E63" s="196"/>
      <c r="F63" s="197"/>
      <c r="G63" s="197"/>
      <c r="H63" s="196"/>
      <c r="I63" s="197"/>
      <c r="J63" s="268">
        <f t="shared" si="6"/>
        <v>0</v>
      </c>
      <c r="K63" s="185"/>
      <c r="V63" s="183">
        <f t="shared" si="7"/>
        <v>0</v>
      </c>
      <c r="W63" s="183">
        <f t="shared" si="8"/>
        <v>0</v>
      </c>
    </row>
    <row r="64" spans="1:23" x14ac:dyDescent="0.3">
      <c r="A64" s="255"/>
      <c r="B64" s="194">
        <v>18</v>
      </c>
      <c r="C64" s="195"/>
      <c r="D64" s="196"/>
      <c r="E64" s="196"/>
      <c r="F64" s="197"/>
      <c r="G64" s="197"/>
      <c r="H64" s="196"/>
      <c r="I64" s="197"/>
      <c r="J64" s="268">
        <f t="shared" si="6"/>
        <v>0</v>
      </c>
      <c r="K64" s="185"/>
      <c r="V64" s="183">
        <f t="shared" si="7"/>
        <v>0</v>
      </c>
      <c r="W64" s="183">
        <f t="shared" si="8"/>
        <v>0</v>
      </c>
    </row>
    <row r="65" spans="1:23" x14ac:dyDescent="0.3">
      <c r="A65" s="184"/>
      <c r="B65" s="194">
        <v>19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8" t="s">
        <v>879</v>
      </c>
      <c r="C70" s="305"/>
      <c r="D70" s="305"/>
      <c r="E70" s="305"/>
      <c r="F70" s="305"/>
      <c r="G70" s="305"/>
      <c r="H70" s="306"/>
      <c r="I70" s="203" t="s">
        <v>880</v>
      </c>
      <c r="J70" s="204">
        <f>SUM(J47:J69)</f>
        <v>44700</v>
      </c>
      <c r="K70" s="185"/>
      <c r="V70" s="183">
        <f>SUM(V47:V69)</f>
        <v>15</v>
      </c>
      <c r="W70" s="183">
        <f>SUM(W47:W69)</f>
        <v>1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07" t="s">
        <v>873</v>
      </c>
      <c r="C74" s="308"/>
      <c r="D74" s="308"/>
      <c r="E74" s="308"/>
      <c r="F74" s="308"/>
      <c r="G74" s="308"/>
      <c r="H74" s="308"/>
      <c r="I74" s="308"/>
      <c r="J74" s="309"/>
      <c r="K74" s="185"/>
    </row>
    <row r="75" spans="1:23" ht="16.2" thickBot="1" x14ac:dyDescent="0.35">
      <c r="A75" s="184"/>
      <c r="B75" s="310">
        <v>44136</v>
      </c>
      <c r="C75" s="311"/>
      <c r="D75" s="311"/>
      <c r="E75" s="311"/>
      <c r="F75" s="311"/>
      <c r="G75" s="311"/>
      <c r="H75" s="311"/>
      <c r="I75" s="311"/>
      <c r="J75" s="312"/>
      <c r="K75" s="185"/>
    </row>
    <row r="76" spans="1:23" ht="16.2" thickBot="1" x14ac:dyDescent="0.35">
      <c r="A76" s="184"/>
      <c r="B76" s="313" t="s">
        <v>882</v>
      </c>
      <c r="C76" s="314"/>
      <c r="D76" s="314"/>
      <c r="E76" s="314"/>
      <c r="F76" s="314"/>
      <c r="G76" s="314"/>
      <c r="H76" s="314"/>
      <c r="I76" s="314"/>
      <c r="J76" s="315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44137</v>
      </c>
      <c r="D78" s="216" t="s">
        <v>23</v>
      </c>
      <c r="E78" s="256" t="s">
        <v>28</v>
      </c>
      <c r="F78" s="256">
        <v>201.8</v>
      </c>
      <c r="G78" s="256">
        <v>202.8</v>
      </c>
      <c r="H78" s="256">
        <v>-1</v>
      </c>
      <c r="I78" s="218">
        <v>5000</v>
      </c>
      <c r="J78" s="273">
        <f>I78*H78</f>
        <v>-5000</v>
      </c>
      <c r="K78" s="185"/>
      <c r="M78" s="183" t="s">
        <v>870</v>
      </c>
      <c r="V78" s="183">
        <f>IF($J78&gt;0,1,0)</f>
        <v>0</v>
      </c>
      <c r="W78" s="183">
        <f>IF($J78&lt;0,1,0)</f>
        <v>1</v>
      </c>
    </row>
    <row r="79" spans="1:23" x14ac:dyDescent="0.3">
      <c r="A79" s="184"/>
      <c r="B79" s="194">
        <v>2</v>
      </c>
      <c r="C79" s="195">
        <v>44138</v>
      </c>
      <c r="D79" s="196" t="s">
        <v>16</v>
      </c>
      <c r="E79" s="222" t="s">
        <v>28</v>
      </c>
      <c r="F79" s="222">
        <v>203.8</v>
      </c>
      <c r="G79" s="222">
        <v>204.8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44139</v>
      </c>
      <c r="D80" s="196" t="s">
        <v>16</v>
      </c>
      <c r="E80" s="222" t="s">
        <v>28</v>
      </c>
      <c r="F80" s="222">
        <v>202.9</v>
      </c>
      <c r="G80" s="222">
        <v>204.9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44140</v>
      </c>
      <c r="D81" s="196" t="s">
        <v>16</v>
      </c>
      <c r="E81" s="222" t="s">
        <v>28</v>
      </c>
      <c r="F81" s="222">
        <v>205.5</v>
      </c>
      <c r="G81" s="222">
        <v>206.5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44141</v>
      </c>
      <c r="D82" s="196" t="s">
        <v>23</v>
      </c>
      <c r="E82" s="222" t="s">
        <v>28</v>
      </c>
      <c r="F82" s="222">
        <v>207.9</v>
      </c>
      <c r="G82" s="222">
        <v>207.5</v>
      </c>
      <c r="H82" s="222">
        <v>0.4</v>
      </c>
      <c r="I82" s="197">
        <v>5000</v>
      </c>
      <c r="J82" s="268">
        <f t="shared" si="9"/>
        <v>2000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44144</v>
      </c>
      <c r="D83" s="196" t="s">
        <v>23</v>
      </c>
      <c r="E83" s="222" t="s">
        <v>28</v>
      </c>
      <c r="F83" s="222">
        <v>211.2</v>
      </c>
      <c r="G83" s="222">
        <v>209.4</v>
      </c>
      <c r="H83" s="222">
        <v>1.8</v>
      </c>
      <c r="I83" s="197">
        <v>5000</v>
      </c>
      <c r="J83" s="268">
        <f t="shared" si="9"/>
        <v>9000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44145</v>
      </c>
      <c r="D84" s="196" t="s">
        <v>23</v>
      </c>
      <c r="E84" s="222" t="s">
        <v>28</v>
      </c>
      <c r="F84" s="222">
        <v>209.4</v>
      </c>
      <c r="G84" s="222">
        <v>208.65</v>
      </c>
      <c r="H84" s="274">
        <v>0.75</v>
      </c>
      <c r="I84" s="197">
        <v>5000</v>
      </c>
      <c r="J84" s="268">
        <f t="shared" si="9"/>
        <v>3750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44146</v>
      </c>
      <c r="D85" s="196" t="s">
        <v>16</v>
      </c>
      <c r="E85" s="222" t="s">
        <v>28</v>
      </c>
      <c r="F85" s="222">
        <v>210.8</v>
      </c>
      <c r="G85" s="222">
        <v>209.8</v>
      </c>
      <c r="H85" s="222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9</v>
      </c>
      <c r="C86" s="195">
        <v>44147</v>
      </c>
      <c r="D86" s="196" t="s">
        <v>16</v>
      </c>
      <c r="E86" s="222" t="s">
        <v>28</v>
      </c>
      <c r="F86" s="222">
        <v>209.4</v>
      </c>
      <c r="G86" s="222">
        <v>210.1</v>
      </c>
      <c r="H86" s="222">
        <v>0.7</v>
      </c>
      <c r="I86" s="197">
        <v>5000</v>
      </c>
      <c r="J86" s="268">
        <f t="shared" si="9"/>
        <v>3500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44154</v>
      </c>
      <c r="D87" s="196" t="s">
        <v>23</v>
      </c>
      <c r="E87" s="222" t="s">
        <v>28</v>
      </c>
      <c r="F87" s="222">
        <v>220</v>
      </c>
      <c r="G87" s="222">
        <v>218.5</v>
      </c>
      <c r="H87" s="222">
        <v>1.5</v>
      </c>
      <c r="I87" s="197">
        <v>5000</v>
      </c>
      <c r="J87" s="268">
        <f t="shared" si="9"/>
        <v>7500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44155</v>
      </c>
      <c r="D88" s="196" t="s">
        <v>23</v>
      </c>
      <c r="E88" s="222" t="s">
        <v>28</v>
      </c>
      <c r="F88" s="222">
        <v>223.5</v>
      </c>
      <c r="G88" s="222">
        <v>224.5</v>
      </c>
      <c r="H88" s="274">
        <v>-1</v>
      </c>
      <c r="I88" s="197">
        <v>5000</v>
      </c>
      <c r="J88" s="268">
        <f t="shared" si="9"/>
        <v>-5000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12</v>
      </c>
      <c r="C89" s="195">
        <v>44158</v>
      </c>
      <c r="D89" s="196" t="s">
        <v>23</v>
      </c>
      <c r="E89" s="222" t="s">
        <v>28</v>
      </c>
      <c r="F89" s="222">
        <v>222</v>
      </c>
      <c r="G89" s="222">
        <v>220</v>
      </c>
      <c r="H89" s="274">
        <v>2</v>
      </c>
      <c r="I89" s="197">
        <v>5000</v>
      </c>
      <c r="J89" s="268">
        <f t="shared" si="9"/>
        <v>10000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44159</v>
      </c>
      <c r="D90" s="196" t="s">
        <v>23</v>
      </c>
      <c r="E90" s="222" t="s">
        <v>28</v>
      </c>
      <c r="F90" s="222">
        <v>216.3</v>
      </c>
      <c r="G90" s="222">
        <v>217.3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44160</v>
      </c>
      <c r="D91" s="196" t="s">
        <v>16</v>
      </c>
      <c r="E91" s="222" t="s">
        <v>28</v>
      </c>
      <c r="F91" s="222">
        <v>217</v>
      </c>
      <c r="G91" s="222">
        <v>217.3</v>
      </c>
      <c r="H91" s="274">
        <v>0.3</v>
      </c>
      <c r="I91" s="197">
        <v>5000</v>
      </c>
      <c r="J91" s="268">
        <f t="shared" si="9"/>
        <v>1500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44161</v>
      </c>
      <c r="D92" s="196" t="s">
        <v>16</v>
      </c>
      <c r="E92" s="222" t="s">
        <v>28</v>
      </c>
      <c r="F92" s="223">
        <v>219</v>
      </c>
      <c r="G92" s="222">
        <v>218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44162</v>
      </c>
      <c r="D93" s="196" t="s">
        <v>16</v>
      </c>
      <c r="E93" s="222" t="s">
        <v>28</v>
      </c>
      <c r="F93" s="222">
        <v>219.5</v>
      </c>
      <c r="G93" s="222">
        <v>221.5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/>
      <c r="D94" s="196"/>
      <c r="E94" s="222"/>
      <c r="F94" s="222"/>
      <c r="G94" s="222"/>
      <c r="H94" s="274"/>
      <c r="I94" s="197"/>
      <c r="J94" s="268">
        <f t="shared" si="9"/>
        <v>0</v>
      </c>
      <c r="K94" s="185"/>
      <c r="V94" s="183">
        <f t="shared" si="10"/>
        <v>0</v>
      </c>
      <c r="W94" s="183">
        <f t="shared" si="11"/>
        <v>0</v>
      </c>
    </row>
    <row r="95" spans="1:23" x14ac:dyDescent="0.3">
      <c r="A95" s="184"/>
      <c r="B95" s="194">
        <v>18</v>
      </c>
      <c r="C95" s="195"/>
      <c r="D95" s="196"/>
      <c r="E95" s="222"/>
      <c r="F95" s="222"/>
      <c r="G95" s="222"/>
      <c r="H95" s="274"/>
      <c r="I95" s="197"/>
      <c r="J95" s="268">
        <f t="shared" si="9"/>
        <v>0</v>
      </c>
      <c r="K95" s="185"/>
      <c r="V95" s="183">
        <f t="shared" si="10"/>
        <v>0</v>
      </c>
      <c r="W95" s="183">
        <f t="shared" si="11"/>
        <v>0</v>
      </c>
    </row>
    <row r="96" spans="1:23" x14ac:dyDescent="0.3">
      <c r="A96" s="184"/>
      <c r="B96" s="194">
        <v>19</v>
      </c>
      <c r="C96" s="195"/>
      <c r="D96" s="196"/>
      <c r="E96" s="222"/>
      <c r="F96" s="222"/>
      <c r="G96" s="222"/>
      <c r="H96" s="274"/>
      <c r="I96" s="197"/>
      <c r="J96" s="268">
        <f t="shared" si="9"/>
        <v>0</v>
      </c>
      <c r="K96" s="185"/>
      <c r="V96" s="183">
        <f t="shared" si="10"/>
        <v>0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16" t="s">
        <v>879</v>
      </c>
      <c r="C101" s="317"/>
      <c r="D101" s="317"/>
      <c r="E101" s="317"/>
      <c r="F101" s="317"/>
      <c r="G101" s="317"/>
      <c r="H101" s="318"/>
      <c r="I101" s="212" t="s">
        <v>880</v>
      </c>
      <c r="J101" s="213">
        <f>SUM(J78:J100)</f>
        <v>42250</v>
      </c>
      <c r="K101" s="185"/>
      <c r="V101" s="183">
        <f>SUM(V78:V100)</f>
        <v>11</v>
      </c>
      <c r="W101" s="183">
        <f>SUM(W78:W100)</f>
        <v>5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F00-000000000000}"/>
    <hyperlink ref="B70" r:id="rId2" xr:uid="{00000000-0004-0000-5F00-000001000000}"/>
    <hyperlink ref="M4:M5" location="'NOV 2020'!A1" display="BULLION" xr:uid="{00000000-0004-0000-5F00-000002000000}"/>
    <hyperlink ref="B101" r:id="rId3" xr:uid="{00000000-0004-0000-5F00-000003000000}"/>
    <hyperlink ref="M8:M9" location="'NOV 2020'!A86" display="BASE METAL" xr:uid="{00000000-0004-0000-5F00-000004000000}"/>
    <hyperlink ref="M1" location="MASTER!A1" display="Back" xr:uid="{00000000-0004-0000-5F00-000005000000}"/>
    <hyperlink ref="M6:M7" location="'NOV 2020'!A54" display="ENERGY" xr:uid="{00000000-0004-0000-5F00-000006000000}"/>
  </hyperlinks>
  <pageMargins left="0" right="0" top="0" bottom="0" header="0" footer="0"/>
  <pageSetup paperSize="9" orientation="portrait" r:id="rId4"/>
  <drawing r:id="rId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W114"/>
  <sheetViews>
    <sheetView topLeftCell="A94" zoomScale="98" zoomScaleNormal="98" workbookViewId="0">
      <selection activeCell="I112" sqref="I112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44166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42</v>
      </c>
      <c r="O4" s="355">
        <f>V51</f>
        <v>35</v>
      </c>
      <c r="P4" s="355">
        <f>W51</f>
        <v>1</v>
      </c>
      <c r="Q4" s="356">
        <f>N4-O4-P4</f>
        <v>6</v>
      </c>
      <c r="R4" s="343">
        <f>O4/N4</f>
        <v>0.83333333333333337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44166</v>
      </c>
      <c r="D6" s="192" t="s">
        <v>16</v>
      </c>
      <c r="E6" s="192" t="s">
        <v>24</v>
      </c>
      <c r="F6" s="193">
        <v>48170</v>
      </c>
      <c r="G6" s="193">
        <v>48370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COUNT(C59:C81)</f>
        <v>22</v>
      </c>
      <c r="O6" s="348">
        <f>V82</f>
        <v>17</v>
      </c>
      <c r="P6" s="348">
        <f>W82</f>
        <v>5</v>
      </c>
      <c r="Q6" s="349">
        <f>N6-O6-P6</f>
        <v>0</v>
      </c>
      <c r="R6" s="345">
        <f t="shared" ref="R6" si="0">O6/N6</f>
        <v>0.77272727272727271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44166</v>
      </c>
      <c r="D7" s="196" t="s">
        <v>23</v>
      </c>
      <c r="E7" s="196" t="s">
        <v>22</v>
      </c>
      <c r="F7" s="197">
        <v>61300</v>
      </c>
      <c r="G7" s="197">
        <v>61400</v>
      </c>
      <c r="H7" s="196">
        <v>-100</v>
      </c>
      <c r="I7" s="197">
        <v>30</v>
      </c>
      <c r="J7" s="268">
        <f t="shared" ref="J7:J50" si="1">H7*I7</f>
        <v>-3000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0</v>
      </c>
      <c r="W7" s="183">
        <f t="shared" ref="W7:W50" si="3">IF($J7&lt;0,1,0)</f>
        <v>1</v>
      </c>
    </row>
    <row r="8" spans="1:23" x14ac:dyDescent="0.3">
      <c r="A8" s="184"/>
      <c r="B8" s="194">
        <v>3</v>
      </c>
      <c r="C8" s="195">
        <v>44167</v>
      </c>
      <c r="D8" s="196" t="s">
        <v>16</v>
      </c>
      <c r="E8" s="196" t="s">
        <v>24</v>
      </c>
      <c r="F8" s="197">
        <v>49000</v>
      </c>
      <c r="G8" s="197">
        <v>49100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COUNT(C90:C112)</f>
        <v>22</v>
      </c>
      <c r="O8" s="348">
        <f>V113</f>
        <v>17</v>
      </c>
      <c r="P8" s="348">
        <f>W113</f>
        <v>5</v>
      </c>
      <c r="Q8" s="349">
        <f>N8-O8-P8</f>
        <v>0</v>
      </c>
      <c r="R8" s="345">
        <f t="shared" ref="R8" si="4">O8/N8</f>
        <v>0.77272727272727271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44167</v>
      </c>
      <c r="D9" s="196" t="s">
        <v>16</v>
      </c>
      <c r="E9" s="196" t="s">
        <v>22</v>
      </c>
      <c r="F9" s="197">
        <v>63950</v>
      </c>
      <c r="G9" s="197">
        <v>64250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44168</v>
      </c>
      <c r="D10" s="196" t="s">
        <v>16</v>
      </c>
      <c r="E10" s="196" t="s">
        <v>24</v>
      </c>
      <c r="F10" s="197">
        <v>49300</v>
      </c>
      <c r="G10" s="197">
        <v>49400</v>
      </c>
      <c r="H10" s="196">
        <v>100</v>
      </c>
      <c r="I10" s="197">
        <v>100</v>
      </c>
      <c r="J10" s="268">
        <f t="shared" si="1"/>
        <v>10000</v>
      </c>
      <c r="K10" s="185"/>
      <c r="M10" s="319" t="s">
        <v>300</v>
      </c>
      <c r="N10" s="321">
        <f>SUM(N4:N9)</f>
        <v>86</v>
      </c>
      <c r="O10" s="321">
        <f>SUM(O4:O9)</f>
        <v>69</v>
      </c>
      <c r="P10" s="321">
        <f>SUM(P4:P9)</f>
        <v>11</v>
      </c>
      <c r="Q10" s="341">
        <f>SUM(Q4:Q9)</f>
        <v>6</v>
      </c>
      <c r="R10" s="343">
        <f t="shared" ref="R10" si="5">O10/N10</f>
        <v>0.80232558139534882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44168</v>
      </c>
      <c r="D11" s="196" t="s">
        <v>23</v>
      </c>
      <c r="E11" s="196" t="s">
        <v>22</v>
      </c>
      <c r="F11" s="197">
        <v>63950</v>
      </c>
      <c r="G11" s="197">
        <v>64150</v>
      </c>
      <c r="H11" s="196">
        <v>200</v>
      </c>
      <c r="I11" s="197">
        <v>30</v>
      </c>
      <c r="J11" s="268">
        <f t="shared" si="1"/>
        <v>6000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44169</v>
      </c>
      <c r="D12" s="196" t="s">
        <v>16</v>
      </c>
      <c r="E12" s="196" t="s">
        <v>24</v>
      </c>
      <c r="F12" s="197">
        <v>49320</v>
      </c>
      <c r="G12" s="197">
        <v>49470</v>
      </c>
      <c r="H12" s="196">
        <v>150</v>
      </c>
      <c r="I12" s="197">
        <v>100</v>
      </c>
      <c r="J12" s="268">
        <f t="shared" si="1"/>
        <v>15000</v>
      </c>
      <c r="K12" s="185"/>
      <c r="M12" s="323" t="s">
        <v>878</v>
      </c>
      <c r="N12" s="324"/>
      <c r="O12" s="325"/>
      <c r="P12" s="332">
        <f>R10</f>
        <v>0.80232558139534882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44169</v>
      </c>
      <c r="D13" s="196" t="s">
        <v>16</v>
      </c>
      <c r="E13" s="196" t="s">
        <v>22</v>
      </c>
      <c r="F13" s="197">
        <v>64300</v>
      </c>
      <c r="G13" s="197">
        <v>64439</v>
      </c>
      <c r="H13" s="196">
        <v>139</v>
      </c>
      <c r="I13" s="197">
        <v>100</v>
      </c>
      <c r="J13" s="268">
        <f t="shared" si="1"/>
        <v>13900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44172</v>
      </c>
      <c r="D14" s="196" t="s">
        <v>23</v>
      </c>
      <c r="E14" s="196" t="s">
        <v>24</v>
      </c>
      <c r="F14" s="197">
        <v>49280</v>
      </c>
      <c r="G14" s="197">
        <v>49080</v>
      </c>
      <c r="H14" s="196">
        <v>200</v>
      </c>
      <c r="I14" s="197">
        <v>100</v>
      </c>
      <c r="J14" s="268">
        <f t="shared" si="1"/>
        <v>20000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44172</v>
      </c>
      <c r="D15" s="196" t="s">
        <v>23</v>
      </c>
      <c r="E15" s="196" t="s">
        <v>24</v>
      </c>
      <c r="F15" s="197">
        <v>49280</v>
      </c>
      <c r="G15" s="197">
        <v>49080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44173</v>
      </c>
      <c r="D16" s="196" t="s">
        <v>23</v>
      </c>
      <c r="E16" s="196" t="s">
        <v>24</v>
      </c>
      <c r="F16" s="197">
        <v>50080</v>
      </c>
      <c r="G16" s="197">
        <v>49880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44173</v>
      </c>
      <c r="D17" s="196" t="s">
        <v>23</v>
      </c>
      <c r="E17" s="196" t="s">
        <v>22</v>
      </c>
      <c r="F17" s="197">
        <v>65350</v>
      </c>
      <c r="G17" s="197">
        <v>65050</v>
      </c>
      <c r="H17" s="196"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44174</v>
      </c>
      <c r="D18" s="196" t="s">
        <v>23</v>
      </c>
      <c r="E18" s="196" t="s">
        <v>24</v>
      </c>
      <c r="F18" s="197">
        <v>49750</v>
      </c>
      <c r="G18" s="197">
        <v>49550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44174</v>
      </c>
      <c r="D19" s="196" t="s">
        <v>23</v>
      </c>
      <c r="E19" s="196" t="s">
        <v>22</v>
      </c>
      <c r="F19" s="197">
        <v>64400</v>
      </c>
      <c r="G19" s="197">
        <v>63800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44175</v>
      </c>
      <c r="D20" s="196" t="s">
        <v>16</v>
      </c>
      <c r="E20" s="196" t="s">
        <v>24</v>
      </c>
      <c r="F20" s="197">
        <v>49040</v>
      </c>
      <c r="G20" s="197">
        <v>49240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44175</v>
      </c>
      <c r="D21" s="196" t="s">
        <v>16</v>
      </c>
      <c r="E21" s="196" t="s">
        <v>22</v>
      </c>
      <c r="F21" s="197">
        <v>63200</v>
      </c>
      <c r="G21" s="197">
        <v>63800</v>
      </c>
      <c r="H21" s="196">
        <v>600</v>
      </c>
      <c r="I21" s="197">
        <v>100</v>
      </c>
      <c r="J21" s="268">
        <f t="shared" si="1"/>
        <v>60000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44176</v>
      </c>
      <c r="D22" s="196" t="s">
        <v>16</v>
      </c>
      <c r="E22" s="196" t="s">
        <v>24</v>
      </c>
      <c r="F22" s="197">
        <v>49100</v>
      </c>
      <c r="G22" s="197">
        <v>49160</v>
      </c>
      <c r="H22" s="196"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44176</v>
      </c>
      <c r="D23" s="196" t="s">
        <v>16</v>
      </c>
      <c r="E23" s="196" t="s">
        <v>22</v>
      </c>
      <c r="F23" s="197">
        <v>63250</v>
      </c>
      <c r="G23" s="197">
        <v>63480</v>
      </c>
      <c r="H23" s="196">
        <v>230</v>
      </c>
      <c r="I23" s="197">
        <v>30</v>
      </c>
      <c r="J23" s="268">
        <f t="shared" si="1"/>
        <v>6900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44179</v>
      </c>
      <c r="D24" s="196" t="s">
        <v>16</v>
      </c>
      <c r="E24" s="196" t="s">
        <v>24</v>
      </c>
      <c r="F24" s="197">
        <v>48730</v>
      </c>
      <c r="G24" s="197">
        <v>48930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44179</v>
      </c>
      <c r="D25" s="196" t="s">
        <v>16</v>
      </c>
      <c r="E25" s="196" t="s">
        <v>22</v>
      </c>
      <c r="F25" s="197">
        <v>62900</v>
      </c>
      <c r="G25" s="197">
        <v>63500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44180</v>
      </c>
      <c r="D26" s="196" t="s">
        <v>23</v>
      </c>
      <c r="E26" s="196" t="s">
        <v>24</v>
      </c>
      <c r="F26" s="197">
        <v>49330</v>
      </c>
      <c r="G26" s="197">
        <v>49231</v>
      </c>
      <c r="H26" s="196">
        <v>99</v>
      </c>
      <c r="I26" s="197">
        <v>100</v>
      </c>
      <c r="J26" s="268">
        <f t="shared" si="1"/>
        <v>9900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44180</v>
      </c>
      <c r="D27" s="196" t="s">
        <v>23</v>
      </c>
      <c r="E27" s="196" t="s">
        <v>22</v>
      </c>
      <c r="F27" s="197">
        <v>64300</v>
      </c>
      <c r="G27" s="197">
        <v>64050</v>
      </c>
      <c r="H27" s="196">
        <v>250</v>
      </c>
      <c r="I27" s="197">
        <v>30</v>
      </c>
      <c r="J27" s="268">
        <f t="shared" si="1"/>
        <v>7500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44181</v>
      </c>
      <c r="D28" s="196" t="s">
        <v>23</v>
      </c>
      <c r="E28" s="196" t="s">
        <v>24</v>
      </c>
      <c r="F28" s="197">
        <v>49780</v>
      </c>
      <c r="G28" s="197">
        <v>49580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44181</v>
      </c>
      <c r="D29" s="196" t="s">
        <v>23</v>
      </c>
      <c r="E29" s="196" t="s">
        <v>22</v>
      </c>
      <c r="F29" s="197">
        <v>66400</v>
      </c>
      <c r="G29" s="197">
        <v>66700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44182</v>
      </c>
      <c r="D30" s="196" t="s">
        <v>23</v>
      </c>
      <c r="E30" s="196" t="s">
        <v>24</v>
      </c>
      <c r="F30" s="197">
        <v>50100</v>
      </c>
      <c r="G30" s="197">
        <v>50000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44182</v>
      </c>
      <c r="D31" s="196" t="s">
        <v>23</v>
      </c>
      <c r="E31" s="196" t="s">
        <v>22</v>
      </c>
      <c r="F31" s="197">
        <v>67600</v>
      </c>
      <c r="G31" s="197">
        <v>67400</v>
      </c>
      <c r="H31" s="196">
        <v>200</v>
      </c>
      <c r="I31" s="197">
        <v>30</v>
      </c>
      <c r="J31" s="268">
        <f t="shared" si="1"/>
        <v>6000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44183</v>
      </c>
      <c r="D32" s="196" t="s">
        <v>16</v>
      </c>
      <c r="E32" s="196" t="s">
        <v>24</v>
      </c>
      <c r="F32" s="197">
        <v>50200</v>
      </c>
      <c r="G32" s="197">
        <v>50400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44183</v>
      </c>
      <c r="D33" s="196" t="s">
        <v>23</v>
      </c>
      <c r="E33" s="196" t="s">
        <v>22</v>
      </c>
      <c r="F33" s="197">
        <v>67600</v>
      </c>
      <c r="G33" s="197">
        <v>68030</v>
      </c>
      <c r="H33" s="196">
        <v>430</v>
      </c>
      <c r="I33" s="197">
        <v>30</v>
      </c>
      <c r="J33" s="268">
        <f t="shared" si="1"/>
        <v>12900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44186</v>
      </c>
      <c r="D34" s="196" t="s">
        <v>16</v>
      </c>
      <c r="E34" s="196" t="s">
        <v>24</v>
      </c>
      <c r="F34" s="197">
        <v>50350</v>
      </c>
      <c r="G34" s="197">
        <v>50550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44186</v>
      </c>
      <c r="D35" s="196" t="s">
        <v>23</v>
      </c>
      <c r="E35" s="196" t="s">
        <v>22</v>
      </c>
      <c r="F35" s="197">
        <v>69400</v>
      </c>
      <c r="G35" s="197">
        <v>68800</v>
      </c>
      <c r="H35" s="196">
        <v>400</v>
      </c>
      <c r="I35" s="197">
        <v>30</v>
      </c>
      <c r="J35" s="268">
        <f t="shared" si="1"/>
        <v>12000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44187</v>
      </c>
      <c r="D36" s="196" t="s">
        <v>16</v>
      </c>
      <c r="E36" s="196" t="s">
        <v>24</v>
      </c>
      <c r="F36" s="197">
        <v>50250</v>
      </c>
      <c r="G36" s="197">
        <v>50425</v>
      </c>
      <c r="H36" s="196">
        <v>175</v>
      </c>
      <c r="I36" s="197">
        <v>100</v>
      </c>
      <c r="J36" s="268">
        <f t="shared" si="1"/>
        <v>17500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44187</v>
      </c>
      <c r="D37" s="196" t="s">
        <v>16</v>
      </c>
      <c r="E37" s="196" t="s">
        <v>22</v>
      </c>
      <c r="F37" s="197">
        <v>68000</v>
      </c>
      <c r="G37" s="197">
        <v>68300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44188</v>
      </c>
      <c r="D38" s="196" t="s">
        <v>23</v>
      </c>
      <c r="E38" s="196" t="s">
        <v>24</v>
      </c>
      <c r="F38" s="197">
        <v>49970</v>
      </c>
      <c r="G38" s="197">
        <v>49770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44188</v>
      </c>
      <c r="D39" s="196" t="s">
        <v>23</v>
      </c>
      <c r="E39" s="196" t="s">
        <v>22</v>
      </c>
      <c r="F39" s="197">
        <v>67000</v>
      </c>
      <c r="G39" s="197">
        <v>66400</v>
      </c>
      <c r="H39" s="196">
        <v>600</v>
      </c>
      <c r="I39" s="197">
        <v>30</v>
      </c>
      <c r="J39" s="268">
        <f t="shared" si="1"/>
        <v>18000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44189</v>
      </c>
      <c r="D40" s="196" t="s">
        <v>23</v>
      </c>
      <c r="E40" s="196" t="s">
        <v>24</v>
      </c>
      <c r="F40" s="197">
        <v>50100</v>
      </c>
      <c r="G40" s="197">
        <v>49900</v>
      </c>
      <c r="H40" s="196">
        <v>200</v>
      </c>
      <c r="I40" s="197">
        <v>100</v>
      </c>
      <c r="J40" s="268">
        <f t="shared" si="1"/>
        <v>20000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44189</v>
      </c>
      <c r="D41" s="196" t="s">
        <v>23</v>
      </c>
      <c r="E41" s="196" t="s">
        <v>22</v>
      </c>
      <c r="F41" s="197">
        <v>67500</v>
      </c>
      <c r="G41" s="197">
        <v>67200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44193</v>
      </c>
      <c r="D42" s="196" t="s">
        <v>23</v>
      </c>
      <c r="E42" s="196" t="s">
        <v>24</v>
      </c>
      <c r="F42" s="197">
        <v>50280</v>
      </c>
      <c r="G42" s="197">
        <v>50080</v>
      </c>
      <c r="H42" s="196">
        <v>200</v>
      </c>
      <c r="I42" s="197">
        <v>100</v>
      </c>
      <c r="J42" s="268">
        <f t="shared" si="1"/>
        <v>20000</v>
      </c>
      <c r="K42" s="185"/>
    </row>
    <row r="43" spans="1:23" x14ac:dyDescent="0.3">
      <c r="A43" s="184"/>
      <c r="B43" s="194">
        <v>38</v>
      </c>
      <c r="C43" s="195">
        <v>44193</v>
      </c>
      <c r="D43" s="196" t="s">
        <v>23</v>
      </c>
      <c r="E43" s="196" t="s">
        <v>22</v>
      </c>
      <c r="F43" s="197">
        <v>69000</v>
      </c>
      <c r="G43" s="197">
        <v>68700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44194</v>
      </c>
      <c r="D44" s="196" t="s">
        <v>23</v>
      </c>
      <c r="E44" s="196" t="s">
        <v>24</v>
      </c>
      <c r="F44" s="197">
        <v>49980</v>
      </c>
      <c r="G44" s="197">
        <v>50080</v>
      </c>
      <c r="H44" s="196">
        <v>-100</v>
      </c>
      <c r="I44" s="197">
        <v>100</v>
      </c>
      <c r="J44" s="268">
        <f t="shared" si="1"/>
        <v>-10000</v>
      </c>
      <c r="K44" s="185"/>
    </row>
    <row r="45" spans="1:23" x14ac:dyDescent="0.3">
      <c r="A45" s="184"/>
      <c r="B45" s="194">
        <v>40</v>
      </c>
      <c r="C45" s="195">
        <v>44194</v>
      </c>
      <c r="D45" s="196" t="s">
        <v>23</v>
      </c>
      <c r="E45" s="196" t="s">
        <v>22</v>
      </c>
      <c r="F45" s="197">
        <v>68450</v>
      </c>
      <c r="G45" s="197">
        <v>67850</v>
      </c>
      <c r="H45" s="196">
        <v>600</v>
      </c>
      <c r="I45" s="197">
        <v>30</v>
      </c>
      <c r="J45" s="268">
        <f t="shared" si="1"/>
        <v>18000</v>
      </c>
      <c r="K45" s="185"/>
    </row>
    <row r="46" spans="1:23" x14ac:dyDescent="0.3">
      <c r="A46" s="184"/>
      <c r="B46" s="194">
        <v>41</v>
      </c>
      <c r="C46" s="195">
        <v>44195</v>
      </c>
      <c r="D46" s="196" t="s">
        <v>23</v>
      </c>
      <c r="E46" s="196" t="s">
        <v>24</v>
      </c>
      <c r="F46" s="197">
        <v>50000</v>
      </c>
      <c r="G46" s="197">
        <v>49910</v>
      </c>
      <c r="H46" s="196">
        <v>90</v>
      </c>
      <c r="I46" s="197">
        <v>100</v>
      </c>
      <c r="J46" s="268">
        <f t="shared" si="1"/>
        <v>9000</v>
      </c>
      <c r="K46" s="185"/>
    </row>
    <row r="47" spans="1:23" x14ac:dyDescent="0.3">
      <c r="A47" s="184"/>
      <c r="B47" s="194">
        <v>42</v>
      </c>
      <c r="C47" s="195">
        <v>44196</v>
      </c>
      <c r="D47" s="196" t="s">
        <v>23</v>
      </c>
      <c r="E47" s="196" t="s">
        <v>24</v>
      </c>
      <c r="F47" s="197">
        <v>50150</v>
      </c>
      <c r="G47" s="197">
        <v>49950</v>
      </c>
      <c r="H47" s="196">
        <v>200</v>
      </c>
      <c r="I47" s="197">
        <v>100</v>
      </c>
      <c r="J47" s="268">
        <f t="shared" si="1"/>
        <v>20000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605600</v>
      </c>
      <c r="K51" s="185"/>
      <c r="V51" s="183">
        <f>SUM(V6:V50)</f>
        <v>35</v>
      </c>
      <c r="W51" s="183">
        <f>SUM(W6:W50)</f>
        <v>1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44166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44166</v>
      </c>
      <c r="D59" s="192" t="s">
        <v>23</v>
      </c>
      <c r="E59" s="192" t="s">
        <v>25</v>
      </c>
      <c r="F59" s="193">
        <v>3355</v>
      </c>
      <c r="G59" s="193">
        <v>3295</v>
      </c>
      <c r="H59" s="192">
        <v>40</v>
      </c>
      <c r="I59" s="193">
        <v>100</v>
      </c>
      <c r="J59" s="267">
        <f t="shared" ref="J59:J81" si="7">I59*H59</f>
        <v>4000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44167</v>
      </c>
      <c r="D60" s="196" t="s">
        <v>23</v>
      </c>
      <c r="E60" s="196" t="s">
        <v>25</v>
      </c>
      <c r="F60" s="197">
        <v>3305</v>
      </c>
      <c r="G60" s="197">
        <v>3275</v>
      </c>
      <c r="H60" s="196">
        <v>30</v>
      </c>
      <c r="I60" s="197">
        <v>100</v>
      </c>
      <c r="J60" s="268">
        <f t="shared" si="7"/>
        <v>3000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44168</v>
      </c>
      <c r="D61" s="196" t="s">
        <v>23</v>
      </c>
      <c r="E61" s="196" t="s">
        <v>25</v>
      </c>
      <c r="F61" s="197">
        <v>3320</v>
      </c>
      <c r="G61" s="197">
        <v>3350</v>
      </c>
      <c r="H61" s="196">
        <v>-30</v>
      </c>
      <c r="I61" s="197">
        <v>100</v>
      </c>
      <c r="J61" s="268">
        <f t="shared" si="7"/>
        <v>-3000</v>
      </c>
      <c r="K61" s="185"/>
      <c r="V61" s="183">
        <f t="shared" si="8"/>
        <v>0</v>
      </c>
      <c r="W61" s="183">
        <f t="shared" si="9"/>
        <v>1</v>
      </c>
    </row>
    <row r="62" spans="1:23" x14ac:dyDescent="0.3">
      <c r="A62" s="184"/>
      <c r="B62" s="194">
        <v>4</v>
      </c>
      <c r="C62" s="195">
        <v>44169</v>
      </c>
      <c r="D62" s="196" t="s">
        <v>23</v>
      </c>
      <c r="E62" s="196" t="s">
        <v>25</v>
      </c>
      <c r="F62" s="197">
        <v>3440</v>
      </c>
      <c r="G62" s="197">
        <v>3400</v>
      </c>
      <c r="H62" s="196">
        <v>40</v>
      </c>
      <c r="I62" s="197">
        <v>100</v>
      </c>
      <c r="J62" s="268">
        <f t="shared" si="7"/>
        <v>4000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44172</v>
      </c>
      <c r="D63" s="196" t="s">
        <v>23</v>
      </c>
      <c r="E63" s="196" t="s">
        <v>25</v>
      </c>
      <c r="F63" s="197">
        <v>3405</v>
      </c>
      <c r="G63" s="197">
        <v>3360</v>
      </c>
      <c r="H63" s="196">
        <v>45</v>
      </c>
      <c r="I63" s="197">
        <v>100</v>
      </c>
      <c r="J63" s="268">
        <f t="shared" si="7"/>
        <v>4500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44173</v>
      </c>
      <c r="D64" s="196" t="s">
        <v>16</v>
      </c>
      <c r="E64" s="196" t="s">
        <v>25</v>
      </c>
      <c r="F64" s="197">
        <v>3360</v>
      </c>
      <c r="G64" s="197">
        <v>3389</v>
      </c>
      <c r="H64" s="196">
        <v>29</v>
      </c>
      <c r="I64" s="197">
        <v>100</v>
      </c>
      <c r="J64" s="268">
        <f t="shared" si="7"/>
        <v>2900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44174</v>
      </c>
      <c r="D65" s="196" t="s">
        <v>23</v>
      </c>
      <c r="E65" s="196" t="s">
        <v>25</v>
      </c>
      <c r="F65" s="197">
        <v>3350</v>
      </c>
      <c r="G65" s="197">
        <v>3380</v>
      </c>
      <c r="H65" s="196">
        <v>-30</v>
      </c>
      <c r="I65" s="197">
        <v>100</v>
      </c>
      <c r="J65" s="268">
        <f t="shared" si="7"/>
        <v>-3000</v>
      </c>
      <c r="K65" s="185"/>
      <c r="V65" s="183">
        <f t="shared" si="8"/>
        <v>0</v>
      </c>
      <c r="W65" s="183">
        <f t="shared" si="9"/>
        <v>1</v>
      </c>
    </row>
    <row r="66" spans="1:23" x14ac:dyDescent="0.3">
      <c r="A66" s="184"/>
      <c r="B66" s="194">
        <v>8</v>
      </c>
      <c r="C66" s="195">
        <v>44175</v>
      </c>
      <c r="D66" s="196" t="s">
        <v>23</v>
      </c>
      <c r="E66" s="196" t="s">
        <v>25</v>
      </c>
      <c r="F66" s="197">
        <v>3390</v>
      </c>
      <c r="G66" s="197">
        <v>3420</v>
      </c>
      <c r="H66" s="196">
        <v>-30</v>
      </c>
      <c r="I66" s="197">
        <v>100</v>
      </c>
      <c r="J66" s="268">
        <f t="shared" si="7"/>
        <v>-3000</v>
      </c>
      <c r="K66" s="185"/>
      <c r="V66" s="183">
        <f t="shared" si="8"/>
        <v>0</v>
      </c>
      <c r="W66" s="183">
        <f t="shared" si="9"/>
        <v>1</v>
      </c>
    </row>
    <row r="67" spans="1:23" x14ac:dyDescent="0.3">
      <c r="A67" s="184"/>
      <c r="B67" s="194">
        <v>9</v>
      </c>
      <c r="C67" s="195">
        <v>44176</v>
      </c>
      <c r="D67" s="196" t="s">
        <v>23</v>
      </c>
      <c r="E67" s="196" t="s">
        <v>25</v>
      </c>
      <c r="F67" s="197">
        <v>3450</v>
      </c>
      <c r="G67" s="197">
        <v>3424</v>
      </c>
      <c r="H67" s="196">
        <v>26</v>
      </c>
      <c r="I67" s="197">
        <v>100</v>
      </c>
      <c r="J67" s="268">
        <f t="shared" si="7"/>
        <v>2600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44179</v>
      </c>
      <c r="D68" s="196" t="s">
        <v>23</v>
      </c>
      <c r="E68" s="196" t="s">
        <v>25</v>
      </c>
      <c r="F68" s="197">
        <v>3465</v>
      </c>
      <c r="G68" s="197">
        <v>3405</v>
      </c>
      <c r="H68" s="196"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44180</v>
      </c>
      <c r="D69" s="196" t="s">
        <v>23</v>
      </c>
      <c r="E69" s="196" t="s">
        <v>25</v>
      </c>
      <c r="F69" s="197">
        <v>3470</v>
      </c>
      <c r="G69" s="197">
        <v>3455</v>
      </c>
      <c r="H69" s="196">
        <v>15</v>
      </c>
      <c r="I69" s="197">
        <v>100</v>
      </c>
      <c r="J69" s="268">
        <f t="shared" si="7"/>
        <v>1500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44181</v>
      </c>
      <c r="D70" s="196" t="s">
        <v>23</v>
      </c>
      <c r="E70" s="196" t="s">
        <v>25</v>
      </c>
      <c r="F70" s="197">
        <v>3520</v>
      </c>
      <c r="G70" s="197">
        <v>3490</v>
      </c>
      <c r="H70" s="196">
        <v>30</v>
      </c>
      <c r="I70" s="197">
        <v>100</v>
      </c>
      <c r="J70" s="268">
        <f t="shared" si="7"/>
        <v>3000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44182</v>
      </c>
      <c r="D71" s="196" t="s">
        <v>23</v>
      </c>
      <c r="E71" s="196" t="s">
        <v>25</v>
      </c>
      <c r="F71" s="197">
        <v>3555</v>
      </c>
      <c r="G71" s="197">
        <v>3525</v>
      </c>
      <c r="H71" s="196">
        <v>30</v>
      </c>
      <c r="I71" s="197">
        <v>100</v>
      </c>
      <c r="J71" s="268">
        <f t="shared" si="7"/>
        <v>3000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44183</v>
      </c>
      <c r="D72" s="196" t="s">
        <v>23</v>
      </c>
      <c r="E72" s="196" t="s">
        <v>25</v>
      </c>
      <c r="F72" s="197">
        <v>3550</v>
      </c>
      <c r="G72" s="197">
        <v>3580</v>
      </c>
      <c r="H72" s="196">
        <v>-30</v>
      </c>
      <c r="I72" s="197">
        <v>100</v>
      </c>
      <c r="J72" s="268">
        <f t="shared" si="7"/>
        <v>-3000</v>
      </c>
      <c r="K72" s="185"/>
      <c r="V72" s="183">
        <f t="shared" si="8"/>
        <v>0</v>
      </c>
      <c r="W72" s="183">
        <f t="shared" si="9"/>
        <v>1</v>
      </c>
    </row>
    <row r="73" spans="1:23" x14ac:dyDescent="0.3">
      <c r="A73" s="184"/>
      <c r="B73" s="194">
        <v>15</v>
      </c>
      <c r="C73" s="195">
        <v>44186</v>
      </c>
      <c r="D73" s="196" t="s">
        <v>23</v>
      </c>
      <c r="E73" s="196" t="s">
        <v>25</v>
      </c>
      <c r="F73" s="197">
        <v>3475</v>
      </c>
      <c r="G73" s="197">
        <v>3435</v>
      </c>
      <c r="H73" s="196">
        <v>40</v>
      </c>
      <c r="I73" s="197">
        <v>100</v>
      </c>
      <c r="J73" s="268">
        <f t="shared" si="7"/>
        <v>4000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44187</v>
      </c>
      <c r="D74" s="196" t="s">
        <v>16</v>
      </c>
      <c r="E74" s="196" t="s">
        <v>25</v>
      </c>
      <c r="F74" s="197">
        <v>3500</v>
      </c>
      <c r="G74" s="197">
        <v>3530</v>
      </c>
      <c r="H74" s="196">
        <v>30</v>
      </c>
      <c r="I74" s="197">
        <v>100</v>
      </c>
      <c r="J74" s="268">
        <f t="shared" si="7"/>
        <v>3000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44188</v>
      </c>
      <c r="D75" s="196" t="s">
        <v>23</v>
      </c>
      <c r="E75" s="196" t="s">
        <v>25</v>
      </c>
      <c r="F75" s="197">
        <v>3480</v>
      </c>
      <c r="G75" s="197">
        <v>3510</v>
      </c>
      <c r="H75" s="196">
        <v>-30</v>
      </c>
      <c r="I75" s="197">
        <v>100</v>
      </c>
      <c r="J75" s="268">
        <f t="shared" si="7"/>
        <v>-3000</v>
      </c>
      <c r="K75" s="185"/>
      <c r="V75" s="183">
        <f t="shared" si="8"/>
        <v>0</v>
      </c>
      <c r="W75" s="183">
        <f t="shared" si="9"/>
        <v>1</v>
      </c>
    </row>
    <row r="76" spans="1:23" x14ac:dyDescent="0.3">
      <c r="A76" s="255"/>
      <c r="B76" s="194">
        <v>18</v>
      </c>
      <c r="C76" s="195">
        <v>44189</v>
      </c>
      <c r="D76" s="196" t="s">
        <v>23</v>
      </c>
      <c r="E76" s="196" t="s">
        <v>25</v>
      </c>
      <c r="F76" s="197">
        <v>3540</v>
      </c>
      <c r="G76" s="197">
        <v>3510</v>
      </c>
      <c r="H76" s="196">
        <v>30</v>
      </c>
      <c r="I76" s="197">
        <v>100</v>
      </c>
      <c r="J76" s="268">
        <f t="shared" si="7"/>
        <v>3000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44193</v>
      </c>
      <c r="D77" s="196" t="s">
        <v>23</v>
      </c>
      <c r="E77" s="196" t="s">
        <v>25</v>
      </c>
      <c r="F77" s="197">
        <v>3590</v>
      </c>
      <c r="G77" s="197">
        <v>3545</v>
      </c>
      <c r="H77" s="196">
        <v>45</v>
      </c>
      <c r="I77" s="197">
        <v>100</v>
      </c>
      <c r="J77" s="268">
        <f t="shared" si="7"/>
        <v>4500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44194</v>
      </c>
      <c r="D78" s="196" t="s">
        <v>16</v>
      </c>
      <c r="E78" s="196" t="s">
        <v>25</v>
      </c>
      <c r="F78" s="197">
        <v>3530</v>
      </c>
      <c r="G78" s="197">
        <v>3557</v>
      </c>
      <c r="H78" s="196">
        <v>27</v>
      </c>
      <c r="I78" s="197">
        <v>100</v>
      </c>
      <c r="J78" s="268">
        <f t="shared" si="7"/>
        <v>2700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44195</v>
      </c>
      <c r="D79" s="196" t="s">
        <v>23</v>
      </c>
      <c r="E79" s="196" t="s">
        <v>25</v>
      </c>
      <c r="F79" s="197">
        <v>3540</v>
      </c>
      <c r="G79" s="197">
        <v>3480</v>
      </c>
      <c r="H79" s="196">
        <v>60</v>
      </c>
      <c r="I79" s="197">
        <v>100</v>
      </c>
      <c r="J79" s="268">
        <f t="shared" si="7"/>
        <v>6000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>
        <v>44196</v>
      </c>
      <c r="D80" s="196" t="s">
        <v>23</v>
      </c>
      <c r="E80" s="196" t="s">
        <v>25</v>
      </c>
      <c r="F80" s="197">
        <v>3535</v>
      </c>
      <c r="G80" s="197">
        <v>3506</v>
      </c>
      <c r="H80" s="196">
        <v>29</v>
      </c>
      <c r="I80" s="197">
        <v>100</v>
      </c>
      <c r="J80" s="268">
        <f t="shared" si="7"/>
        <v>2900</v>
      </c>
      <c r="K80" s="185"/>
      <c r="V80" s="183">
        <f t="shared" si="8"/>
        <v>1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45600</v>
      </c>
      <c r="K82" s="185"/>
      <c r="V82" s="183">
        <f>SUM(V59:V81)</f>
        <v>17</v>
      </c>
      <c r="W82" s="183">
        <f>SUM(W59:W81)</f>
        <v>5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44166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44166</v>
      </c>
      <c r="D90" s="216" t="s">
        <v>23</v>
      </c>
      <c r="E90" s="256" t="s">
        <v>28</v>
      </c>
      <c r="F90" s="256">
        <v>218.2</v>
      </c>
      <c r="G90" s="256">
        <v>217.7</v>
      </c>
      <c r="H90" s="256">
        <v>0.5</v>
      </c>
      <c r="I90" s="218">
        <v>5000</v>
      </c>
      <c r="J90" s="273">
        <f>I90*H90</f>
        <v>2500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44167</v>
      </c>
      <c r="D91" s="196" t="s">
        <v>16</v>
      </c>
      <c r="E91" s="222" t="s">
        <v>28</v>
      </c>
      <c r="F91" s="222">
        <v>216.4</v>
      </c>
      <c r="G91" s="222">
        <v>217.4</v>
      </c>
      <c r="H91" s="222">
        <v>1</v>
      </c>
      <c r="I91" s="197">
        <v>5000</v>
      </c>
      <c r="J91" s="268">
        <f t="shared" ref="J91:J112" si="10">I91*H91</f>
        <v>5000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44168</v>
      </c>
      <c r="D92" s="196" t="s">
        <v>16</v>
      </c>
      <c r="E92" s="222" t="s">
        <v>28</v>
      </c>
      <c r="F92" s="222">
        <v>215.3</v>
      </c>
      <c r="G92" s="222">
        <v>216.1</v>
      </c>
      <c r="H92" s="222">
        <v>0.8</v>
      </c>
      <c r="I92" s="197">
        <v>5000</v>
      </c>
      <c r="J92" s="268">
        <f t="shared" si="10"/>
        <v>4000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44169</v>
      </c>
      <c r="D93" s="196" t="s">
        <v>16</v>
      </c>
      <c r="E93" s="222" t="s">
        <v>28</v>
      </c>
      <c r="F93" s="222">
        <v>216</v>
      </c>
      <c r="G93" s="222">
        <v>215</v>
      </c>
      <c r="H93" s="222">
        <v>-1</v>
      </c>
      <c r="I93" s="197">
        <v>5000</v>
      </c>
      <c r="J93" s="268">
        <f t="shared" si="10"/>
        <v>-5000</v>
      </c>
      <c r="K93" s="185"/>
      <c r="V93" s="183">
        <f t="shared" si="11"/>
        <v>0</v>
      </c>
      <c r="W93" s="183">
        <f t="shared" si="12"/>
        <v>1</v>
      </c>
    </row>
    <row r="94" spans="1:23" x14ac:dyDescent="0.3">
      <c r="A94" s="184"/>
      <c r="B94" s="194">
        <v>5</v>
      </c>
      <c r="C94" s="195">
        <v>44172</v>
      </c>
      <c r="D94" s="196" t="s">
        <v>16</v>
      </c>
      <c r="E94" s="222" t="s">
        <v>28</v>
      </c>
      <c r="F94" s="222">
        <v>214.6</v>
      </c>
      <c r="G94" s="222">
        <v>213.6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44173</v>
      </c>
      <c r="D95" s="196" t="s">
        <v>23</v>
      </c>
      <c r="E95" s="222" t="s">
        <v>28</v>
      </c>
      <c r="F95" s="222">
        <v>217.6</v>
      </c>
      <c r="G95" s="222">
        <v>216.6</v>
      </c>
      <c r="H95" s="222">
        <v>1</v>
      </c>
      <c r="I95" s="197">
        <v>5000</v>
      </c>
      <c r="J95" s="268">
        <f t="shared" si="10"/>
        <v>5000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44174</v>
      </c>
      <c r="D96" s="196" t="s">
        <v>23</v>
      </c>
      <c r="E96" s="222" t="s">
        <v>28</v>
      </c>
      <c r="F96" s="222">
        <v>219.2</v>
      </c>
      <c r="G96" s="222">
        <v>220.2</v>
      </c>
      <c r="H96" s="274">
        <v>-1</v>
      </c>
      <c r="I96" s="197">
        <v>5000</v>
      </c>
      <c r="J96" s="268">
        <f t="shared" si="10"/>
        <v>-5000</v>
      </c>
      <c r="K96" s="185"/>
      <c r="V96" s="183">
        <f t="shared" si="11"/>
        <v>0</v>
      </c>
      <c r="W96" s="183">
        <f t="shared" si="12"/>
        <v>1</v>
      </c>
    </row>
    <row r="97" spans="1:23" x14ac:dyDescent="0.3">
      <c r="A97" s="184"/>
      <c r="B97" s="194">
        <v>8</v>
      </c>
      <c r="C97" s="195">
        <v>44175</v>
      </c>
      <c r="D97" s="196" t="s">
        <v>16</v>
      </c>
      <c r="E97" s="222" t="s">
        <v>28</v>
      </c>
      <c r="F97" s="222">
        <v>220.6</v>
      </c>
      <c r="G97" s="222">
        <v>222.6</v>
      </c>
      <c r="H97" s="222">
        <v>2</v>
      </c>
      <c r="I97" s="197">
        <v>5000</v>
      </c>
      <c r="J97" s="268">
        <f t="shared" si="10"/>
        <v>10000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44176</v>
      </c>
      <c r="D98" s="196" t="s">
        <v>16</v>
      </c>
      <c r="E98" s="222" t="s">
        <v>28</v>
      </c>
      <c r="F98" s="222">
        <v>220.7</v>
      </c>
      <c r="G98" s="222">
        <v>221.2</v>
      </c>
      <c r="H98" s="222">
        <v>0.5</v>
      </c>
      <c r="I98" s="197">
        <v>5000</v>
      </c>
      <c r="J98" s="268">
        <f t="shared" si="10"/>
        <v>2500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44179</v>
      </c>
      <c r="D99" s="196" t="s">
        <v>16</v>
      </c>
      <c r="E99" s="222" t="s">
        <v>28</v>
      </c>
      <c r="F99" s="222">
        <v>218</v>
      </c>
      <c r="G99" s="222">
        <v>220</v>
      </c>
      <c r="H99" s="222">
        <v>2</v>
      </c>
      <c r="I99" s="197">
        <v>5000</v>
      </c>
      <c r="J99" s="268">
        <f t="shared" si="10"/>
        <v>10000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44180</v>
      </c>
      <c r="D100" s="196" t="s">
        <v>16</v>
      </c>
      <c r="E100" s="222" t="s">
        <v>28</v>
      </c>
      <c r="F100" s="222">
        <v>220.5</v>
      </c>
      <c r="G100" s="222">
        <v>221.5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44181</v>
      </c>
      <c r="D101" s="196" t="s">
        <v>16</v>
      </c>
      <c r="E101" s="222" t="s">
        <v>28</v>
      </c>
      <c r="F101" s="222">
        <v>221</v>
      </c>
      <c r="G101" s="222">
        <v>221.4</v>
      </c>
      <c r="H101" s="274">
        <v>0.4</v>
      </c>
      <c r="I101" s="197">
        <v>5000</v>
      </c>
      <c r="J101" s="268">
        <f t="shared" si="10"/>
        <v>2000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44182</v>
      </c>
      <c r="D102" s="196" t="s">
        <v>16</v>
      </c>
      <c r="E102" s="222" t="s">
        <v>28</v>
      </c>
      <c r="F102" s="222">
        <v>222.8</v>
      </c>
      <c r="G102" s="222">
        <v>223.3</v>
      </c>
      <c r="H102" s="274">
        <v>0.5</v>
      </c>
      <c r="I102" s="197">
        <v>5000</v>
      </c>
      <c r="J102" s="268">
        <f t="shared" si="10"/>
        <v>2500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44183</v>
      </c>
      <c r="D103" s="196" t="s">
        <v>23</v>
      </c>
      <c r="E103" s="222" t="s">
        <v>28</v>
      </c>
      <c r="F103" s="222">
        <v>222.5</v>
      </c>
      <c r="G103" s="222">
        <v>223.5</v>
      </c>
      <c r="H103" s="274">
        <v>-1</v>
      </c>
      <c r="I103" s="197">
        <v>5000</v>
      </c>
      <c r="J103" s="268">
        <f t="shared" si="10"/>
        <v>-5000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15</v>
      </c>
      <c r="C104" s="195">
        <v>44186</v>
      </c>
      <c r="D104" s="196" t="s">
        <v>16</v>
      </c>
      <c r="E104" s="222" t="s">
        <v>28</v>
      </c>
      <c r="F104" s="223">
        <v>221.2</v>
      </c>
      <c r="G104" s="222">
        <v>222.6</v>
      </c>
      <c r="H104" s="274">
        <v>1.4</v>
      </c>
      <c r="I104" s="197">
        <v>5000</v>
      </c>
      <c r="J104" s="268">
        <f t="shared" si="10"/>
        <v>7000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44187</v>
      </c>
      <c r="D105" s="196" t="s">
        <v>16</v>
      </c>
      <c r="E105" s="222" t="s">
        <v>28</v>
      </c>
      <c r="F105" s="222">
        <v>219.4</v>
      </c>
      <c r="G105" s="222">
        <v>219.85</v>
      </c>
      <c r="H105" s="274">
        <v>0.45</v>
      </c>
      <c r="I105" s="197">
        <v>5000</v>
      </c>
      <c r="J105" s="268">
        <f t="shared" si="10"/>
        <v>2250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44188</v>
      </c>
      <c r="D106" s="196" t="s">
        <v>16</v>
      </c>
      <c r="E106" s="222" t="s">
        <v>28</v>
      </c>
      <c r="F106" s="222">
        <v>218.5</v>
      </c>
      <c r="G106" s="222">
        <v>220.5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44189</v>
      </c>
      <c r="D107" s="196" t="s">
        <v>23</v>
      </c>
      <c r="E107" s="222" t="s">
        <v>28</v>
      </c>
      <c r="F107" s="222">
        <v>222</v>
      </c>
      <c r="G107" s="222">
        <v>221</v>
      </c>
      <c r="H107" s="274">
        <v>1</v>
      </c>
      <c r="I107" s="197">
        <v>5000</v>
      </c>
      <c r="J107" s="268">
        <f t="shared" si="10"/>
        <v>5000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44193</v>
      </c>
      <c r="D108" s="196" t="s">
        <v>16</v>
      </c>
      <c r="E108" s="222" t="s">
        <v>28</v>
      </c>
      <c r="F108" s="222">
        <v>222.5</v>
      </c>
      <c r="G108" s="222">
        <v>222.95</v>
      </c>
      <c r="H108" s="274">
        <v>0.45</v>
      </c>
      <c r="I108" s="197">
        <v>5000</v>
      </c>
      <c r="J108" s="268">
        <f t="shared" si="10"/>
        <v>2250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44194</v>
      </c>
      <c r="D109" s="196" t="s">
        <v>23</v>
      </c>
      <c r="E109" s="222" t="s">
        <v>28</v>
      </c>
      <c r="F109" s="222">
        <v>218.3</v>
      </c>
      <c r="G109" s="222">
        <v>216.3</v>
      </c>
      <c r="H109" s="274">
        <v>2</v>
      </c>
      <c r="I109" s="197">
        <v>5000</v>
      </c>
      <c r="J109" s="268">
        <f t="shared" si="10"/>
        <v>10000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>
        <v>44195</v>
      </c>
      <c r="D110" s="196" t="s">
        <v>23</v>
      </c>
      <c r="E110" s="222" t="s">
        <v>28</v>
      </c>
      <c r="F110" s="222">
        <v>216.5</v>
      </c>
      <c r="G110" s="222">
        <v>215.5</v>
      </c>
      <c r="H110" s="274">
        <v>-1</v>
      </c>
      <c r="I110" s="197">
        <v>5000</v>
      </c>
      <c r="J110" s="268">
        <f t="shared" si="10"/>
        <v>-5000</v>
      </c>
      <c r="K110" s="185"/>
      <c r="V110" s="183">
        <f t="shared" si="11"/>
        <v>0</v>
      </c>
      <c r="W110" s="183">
        <f t="shared" si="12"/>
        <v>1</v>
      </c>
    </row>
    <row r="111" spans="1:23" x14ac:dyDescent="0.3">
      <c r="A111" s="184"/>
      <c r="B111" s="194">
        <v>22</v>
      </c>
      <c r="C111" s="195">
        <v>44196</v>
      </c>
      <c r="D111" s="196" t="s">
        <v>23</v>
      </c>
      <c r="E111" s="222" t="s">
        <v>28</v>
      </c>
      <c r="F111" s="222">
        <v>214</v>
      </c>
      <c r="G111" s="222">
        <v>213</v>
      </c>
      <c r="H111" s="222">
        <v>1</v>
      </c>
      <c r="I111" s="197">
        <v>5000</v>
      </c>
      <c r="J111" s="268">
        <f t="shared" si="10"/>
        <v>5000</v>
      </c>
      <c r="K111" s="185"/>
      <c r="V111" s="183">
        <f t="shared" si="11"/>
        <v>1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65000</v>
      </c>
      <c r="K113" s="185"/>
      <c r="V113" s="183">
        <f>SUM(V90:V112)</f>
        <v>17</v>
      </c>
      <c r="W113" s="183">
        <f>SUM(W90:W112)</f>
        <v>5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000-000000000000}"/>
    <hyperlink ref="B82" r:id="rId2" xr:uid="{00000000-0004-0000-6000-000001000000}"/>
    <hyperlink ref="M4:M5" location="'DEC 2020'!A1" display="BULLION" xr:uid="{00000000-0004-0000-6000-000002000000}"/>
    <hyperlink ref="B113" r:id="rId3" xr:uid="{00000000-0004-0000-6000-000003000000}"/>
    <hyperlink ref="M8:M9" location="'DEC 2020'!A86" display="BASE METAL" xr:uid="{00000000-0004-0000-6000-000004000000}"/>
    <hyperlink ref="M1" location="MASTER!A1" display="Back" xr:uid="{00000000-0004-0000-6000-000005000000}"/>
    <hyperlink ref="M6:M7" location="'DEC 2020'!A54" display="ENERGY" xr:uid="{00000000-0004-0000-6000-000006000000}"/>
  </hyperlinks>
  <pageMargins left="0" right="0" top="0" bottom="0" header="0" footer="0"/>
  <pageSetup paperSize="9" orientation="portrait" r:id="rId4"/>
  <drawing r:id="rId5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W114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44197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36</v>
      </c>
      <c r="O4" s="355">
        <f>V51</f>
        <v>29</v>
      </c>
      <c r="P4" s="355">
        <f>W51</f>
        <v>7</v>
      </c>
      <c r="Q4" s="356">
        <f>N4-O4-P4</f>
        <v>0</v>
      </c>
      <c r="R4" s="343">
        <f>O4/N4</f>
        <v>0.80555555555555558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44200</v>
      </c>
      <c r="D6" s="192" t="s">
        <v>16</v>
      </c>
      <c r="E6" s="192" t="s">
        <v>24</v>
      </c>
      <c r="F6" s="193">
        <v>51140</v>
      </c>
      <c r="G6" s="193">
        <v>51340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COUNT(C59:C81)</f>
        <v>19</v>
      </c>
      <c r="O6" s="348">
        <f>V82</f>
        <v>15</v>
      </c>
      <c r="P6" s="348">
        <f>W82</f>
        <v>4</v>
      </c>
      <c r="Q6" s="349">
        <f>N6-O6-P6</f>
        <v>0</v>
      </c>
      <c r="R6" s="345">
        <f t="shared" ref="R6" si="0">O6/N6</f>
        <v>0.78947368421052633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44200</v>
      </c>
      <c r="D7" s="196" t="s">
        <v>16</v>
      </c>
      <c r="E7" s="196" t="s">
        <v>22</v>
      </c>
      <c r="F7" s="197">
        <v>70100</v>
      </c>
      <c r="G7" s="197">
        <v>70700</v>
      </c>
      <c r="H7" s="196">
        <v>600</v>
      </c>
      <c r="I7" s="197">
        <v>30</v>
      </c>
      <c r="J7" s="268">
        <f t="shared" ref="J7:J50" si="1">H7*I7</f>
        <v>18000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44201</v>
      </c>
      <c r="D8" s="196" t="s">
        <v>23</v>
      </c>
      <c r="E8" s="196" t="s">
        <v>24</v>
      </c>
      <c r="F8" s="197">
        <v>51600</v>
      </c>
      <c r="G8" s="197">
        <v>51700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47">
        <f>COUNT(C90:C112)</f>
        <v>18</v>
      </c>
      <c r="O8" s="348">
        <f>V113</f>
        <v>14</v>
      </c>
      <c r="P8" s="348">
        <f>W113</f>
        <v>4</v>
      </c>
      <c r="Q8" s="349">
        <f>N8-O8-P8</f>
        <v>0</v>
      </c>
      <c r="R8" s="345">
        <f t="shared" ref="R8" si="4">O8/N8</f>
        <v>0.77777777777777779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44201</v>
      </c>
      <c r="D9" s="196" t="s">
        <v>23</v>
      </c>
      <c r="E9" s="196" t="s">
        <v>22</v>
      </c>
      <c r="F9" s="197">
        <v>70550</v>
      </c>
      <c r="G9" s="197">
        <v>70850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47"/>
      <c r="O9" s="348"/>
      <c r="P9" s="348"/>
      <c r="Q9" s="350"/>
      <c r="R9" s="345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44202</v>
      </c>
      <c r="D10" s="196" t="s">
        <v>23</v>
      </c>
      <c r="E10" s="196" t="s">
        <v>24</v>
      </c>
      <c r="F10" s="197">
        <v>51500</v>
      </c>
      <c r="G10" s="197">
        <v>51300</v>
      </c>
      <c r="H10" s="196">
        <v>200</v>
      </c>
      <c r="I10" s="197">
        <v>100</v>
      </c>
      <c r="J10" s="268">
        <f t="shared" si="1"/>
        <v>20000</v>
      </c>
      <c r="K10" s="185"/>
      <c r="M10" s="319" t="s">
        <v>300</v>
      </c>
      <c r="N10" s="321">
        <f>SUM(N4:N9)</f>
        <v>73</v>
      </c>
      <c r="O10" s="321">
        <f>SUM(O4:O9)</f>
        <v>58</v>
      </c>
      <c r="P10" s="321">
        <f>SUM(P4:P9)</f>
        <v>15</v>
      </c>
      <c r="Q10" s="341">
        <f>SUM(Q4:Q9)</f>
        <v>0</v>
      </c>
      <c r="R10" s="343">
        <f t="shared" ref="R10" si="5">O10/N10</f>
        <v>0.79452054794520544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44202</v>
      </c>
      <c r="D11" s="196" t="s">
        <v>16</v>
      </c>
      <c r="E11" s="196" t="s">
        <v>22</v>
      </c>
      <c r="F11" s="197">
        <v>71400</v>
      </c>
      <c r="G11" s="197">
        <v>71100</v>
      </c>
      <c r="H11" s="196">
        <v>-300</v>
      </c>
      <c r="I11" s="197">
        <v>30</v>
      </c>
      <c r="J11" s="268">
        <f t="shared" si="1"/>
        <v>-9000</v>
      </c>
      <c r="K11" s="185"/>
      <c r="M11" s="320"/>
      <c r="N11" s="322"/>
      <c r="O11" s="322"/>
      <c r="P11" s="322"/>
      <c r="Q11" s="342"/>
      <c r="R11" s="344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44203</v>
      </c>
      <c r="D12" s="196" t="s">
        <v>23</v>
      </c>
      <c r="E12" s="196" t="s">
        <v>24</v>
      </c>
      <c r="F12" s="197">
        <v>50900</v>
      </c>
      <c r="G12" s="197">
        <v>50800</v>
      </c>
      <c r="H12" s="196">
        <v>100</v>
      </c>
      <c r="I12" s="197">
        <v>100</v>
      </c>
      <c r="J12" s="268">
        <f t="shared" si="1"/>
        <v>10000</v>
      </c>
      <c r="K12" s="185"/>
      <c r="M12" s="323" t="s">
        <v>878</v>
      </c>
      <c r="N12" s="324"/>
      <c r="O12" s="325"/>
      <c r="P12" s="332">
        <f>R10</f>
        <v>0.79452054794520544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44203</v>
      </c>
      <c r="D13" s="196" t="s">
        <v>23</v>
      </c>
      <c r="E13" s="196" t="s">
        <v>22</v>
      </c>
      <c r="F13" s="197">
        <v>69600</v>
      </c>
      <c r="G13" s="197">
        <v>69900</v>
      </c>
      <c r="H13" s="196">
        <v>-300</v>
      </c>
      <c r="I13" s="197">
        <v>30</v>
      </c>
      <c r="J13" s="268">
        <f t="shared" si="1"/>
        <v>-9000</v>
      </c>
      <c r="K13" s="185"/>
      <c r="M13" s="326"/>
      <c r="N13" s="327"/>
      <c r="O13" s="328"/>
      <c r="P13" s="335"/>
      <c r="Q13" s="336"/>
      <c r="R13" s="337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44204</v>
      </c>
      <c r="D14" s="196" t="s">
        <v>16</v>
      </c>
      <c r="E14" s="196" t="s">
        <v>24</v>
      </c>
      <c r="F14" s="197">
        <v>50180</v>
      </c>
      <c r="G14" s="197">
        <v>50260</v>
      </c>
      <c r="H14" s="196">
        <v>80</v>
      </c>
      <c r="I14" s="197">
        <v>100</v>
      </c>
      <c r="J14" s="268">
        <f t="shared" si="1"/>
        <v>8000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44204</v>
      </c>
      <c r="D15" s="196" t="s">
        <v>16</v>
      </c>
      <c r="E15" s="196" t="s">
        <v>22</v>
      </c>
      <c r="F15" s="197">
        <v>68400</v>
      </c>
      <c r="G15" s="197">
        <v>68800</v>
      </c>
      <c r="H15" s="196">
        <v>400</v>
      </c>
      <c r="I15" s="197">
        <v>30</v>
      </c>
      <c r="J15" s="268">
        <f t="shared" si="1"/>
        <v>12000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44207</v>
      </c>
      <c r="D16" s="196" t="s">
        <v>16</v>
      </c>
      <c r="E16" s="196" t="s">
        <v>24</v>
      </c>
      <c r="F16" s="197">
        <v>49200</v>
      </c>
      <c r="G16" s="197">
        <v>49287</v>
      </c>
      <c r="H16" s="196">
        <v>87</v>
      </c>
      <c r="I16" s="197">
        <v>100</v>
      </c>
      <c r="J16" s="268">
        <f t="shared" si="1"/>
        <v>8700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44207</v>
      </c>
      <c r="D17" s="196" t="s">
        <v>16</v>
      </c>
      <c r="E17" s="196" t="s">
        <v>22</v>
      </c>
      <c r="F17" s="197">
        <v>65100</v>
      </c>
      <c r="G17" s="197">
        <v>65400</v>
      </c>
      <c r="H17" s="196"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44208</v>
      </c>
      <c r="D18" s="196" t="s">
        <v>23</v>
      </c>
      <c r="E18" s="196" t="s">
        <v>24</v>
      </c>
      <c r="F18" s="197">
        <v>49480</v>
      </c>
      <c r="G18" s="197">
        <v>48280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44208</v>
      </c>
      <c r="D19" s="196" t="s">
        <v>23</v>
      </c>
      <c r="E19" s="196" t="s">
        <v>22</v>
      </c>
      <c r="F19" s="197">
        <v>66000</v>
      </c>
      <c r="G19" s="197">
        <v>65400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44209</v>
      </c>
      <c r="D20" s="196" t="s">
        <v>16</v>
      </c>
      <c r="E20" s="196" t="s">
        <v>24</v>
      </c>
      <c r="F20" s="197">
        <v>49300</v>
      </c>
      <c r="G20" s="197">
        <v>49420</v>
      </c>
      <c r="H20" s="196">
        <v>120</v>
      </c>
      <c r="I20" s="197">
        <v>100</v>
      </c>
      <c r="J20" s="268">
        <f t="shared" si="1"/>
        <v>12000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44209</v>
      </c>
      <c r="D21" s="196" t="s">
        <v>16</v>
      </c>
      <c r="E21" s="196" t="s">
        <v>22</v>
      </c>
      <c r="F21" s="197">
        <v>65800</v>
      </c>
      <c r="G21" s="197">
        <v>65500</v>
      </c>
      <c r="H21" s="196">
        <v>-300</v>
      </c>
      <c r="I21" s="197">
        <v>30</v>
      </c>
      <c r="J21" s="268">
        <f t="shared" si="1"/>
        <v>-9000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44211</v>
      </c>
      <c r="D22" s="196" t="s">
        <v>16</v>
      </c>
      <c r="E22" s="196" t="s">
        <v>24</v>
      </c>
      <c r="F22" s="197">
        <v>49250</v>
      </c>
      <c r="G22" s="197">
        <v>49150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44211</v>
      </c>
      <c r="D23" s="196" t="s">
        <v>16</v>
      </c>
      <c r="E23" s="196" t="s">
        <v>22</v>
      </c>
      <c r="F23" s="197">
        <v>65900</v>
      </c>
      <c r="G23" s="197">
        <v>66000</v>
      </c>
      <c r="H23" s="196">
        <v>100</v>
      </c>
      <c r="I23" s="197">
        <v>30</v>
      </c>
      <c r="J23" s="268">
        <f t="shared" si="1"/>
        <v>3000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44214</v>
      </c>
      <c r="D24" s="196" t="s">
        <v>23</v>
      </c>
      <c r="E24" s="196" t="s">
        <v>24</v>
      </c>
      <c r="F24" s="197">
        <v>48830</v>
      </c>
      <c r="G24" s="197">
        <v>48730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44214</v>
      </c>
      <c r="D25" s="196" t="s">
        <v>23</v>
      </c>
      <c r="E25" s="196" t="s">
        <v>22</v>
      </c>
      <c r="F25" s="197">
        <v>65100</v>
      </c>
      <c r="G25" s="197">
        <v>65400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44215</v>
      </c>
      <c r="D26" s="196" t="s">
        <v>16</v>
      </c>
      <c r="E26" s="196" t="s">
        <v>24</v>
      </c>
      <c r="F26" s="197">
        <v>48970</v>
      </c>
      <c r="G26" s="197">
        <v>49033</v>
      </c>
      <c r="H26" s="196">
        <v>63</v>
      </c>
      <c r="I26" s="197">
        <v>100</v>
      </c>
      <c r="J26" s="268">
        <f t="shared" si="1"/>
        <v>6300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44215</v>
      </c>
      <c r="D27" s="196" t="s">
        <v>16</v>
      </c>
      <c r="E27" s="196" t="s">
        <v>22</v>
      </c>
      <c r="F27" s="197">
        <v>66050</v>
      </c>
      <c r="G27" s="197">
        <v>66200</v>
      </c>
      <c r="H27" s="196"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44216</v>
      </c>
      <c r="D28" s="196" t="s">
        <v>23</v>
      </c>
      <c r="E28" s="196" t="s">
        <v>24</v>
      </c>
      <c r="F28" s="197">
        <v>49200</v>
      </c>
      <c r="G28" s="197">
        <v>49000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44216</v>
      </c>
      <c r="D29" s="196" t="s">
        <v>23</v>
      </c>
      <c r="E29" s="196" t="s">
        <v>22</v>
      </c>
      <c r="F29" s="197">
        <v>66300</v>
      </c>
      <c r="G29" s="197">
        <v>65700</v>
      </c>
      <c r="H29" s="196">
        <v>400</v>
      </c>
      <c r="I29" s="197">
        <v>100</v>
      </c>
      <c r="J29" s="268">
        <f t="shared" si="1"/>
        <v>40000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44217</v>
      </c>
      <c r="D30" s="196" t="s">
        <v>16</v>
      </c>
      <c r="E30" s="196" t="s">
        <v>24</v>
      </c>
      <c r="F30" s="197">
        <v>49600</v>
      </c>
      <c r="G30" s="197">
        <v>49650</v>
      </c>
      <c r="H30" s="196">
        <v>50</v>
      </c>
      <c r="I30" s="197">
        <v>100</v>
      </c>
      <c r="J30" s="268">
        <f t="shared" si="1"/>
        <v>5000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44217</v>
      </c>
      <c r="D31" s="196" t="s">
        <v>16</v>
      </c>
      <c r="E31" s="196" t="s">
        <v>22</v>
      </c>
      <c r="F31" s="197">
        <v>67450</v>
      </c>
      <c r="G31" s="197">
        <v>67700</v>
      </c>
      <c r="H31" s="196">
        <v>250</v>
      </c>
      <c r="I31" s="197">
        <v>30</v>
      </c>
      <c r="J31" s="268">
        <f t="shared" si="1"/>
        <v>7500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44218</v>
      </c>
      <c r="D32" s="196" t="s">
        <v>23</v>
      </c>
      <c r="E32" s="196" t="s">
        <v>24</v>
      </c>
      <c r="F32" s="197">
        <v>49160</v>
      </c>
      <c r="G32" s="197">
        <v>48960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44218</v>
      </c>
      <c r="D33" s="196" t="s">
        <v>23</v>
      </c>
      <c r="E33" s="196" t="s">
        <v>22</v>
      </c>
      <c r="F33" s="197">
        <v>66400</v>
      </c>
      <c r="G33" s="197">
        <v>65800</v>
      </c>
      <c r="H33" s="196">
        <v>600</v>
      </c>
      <c r="I33" s="197">
        <v>100</v>
      </c>
      <c r="J33" s="268">
        <f t="shared" si="1"/>
        <v>60000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44221</v>
      </c>
      <c r="D34" s="196" t="s">
        <v>16</v>
      </c>
      <c r="E34" s="196" t="s">
        <v>24</v>
      </c>
      <c r="F34" s="197">
        <v>49040</v>
      </c>
      <c r="G34" s="197">
        <v>49240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44221</v>
      </c>
      <c r="D35" s="196" t="s">
        <v>16</v>
      </c>
      <c r="E35" s="196" t="s">
        <v>22</v>
      </c>
      <c r="F35" s="197">
        <v>66700</v>
      </c>
      <c r="G35" s="197">
        <v>67085</v>
      </c>
      <c r="H35" s="196">
        <v>385</v>
      </c>
      <c r="I35" s="197">
        <v>100</v>
      </c>
      <c r="J35" s="268">
        <f t="shared" si="1"/>
        <v>38500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44223</v>
      </c>
      <c r="D36" s="196" t="s">
        <v>16</v>
      </c>
      <c r="E36" s="196" t="s">
        <v>24</v>
      </c>
      <c r="F36" s="197">
        <v>48840</v>
      </c>
      <c r="G36" s="197">
        <v>48740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44223</v>
      </c>
      <c r="D37" s="196" t="s">
        <v>16</v>
      </c>
      <c r="E37" s="196" t="s">
        <v>22</v>
      </c>
      <c r="F37" s="197">
        <v>66200</v>
      </c>
      <c r="G37" s="197">
        <v>65900</v>
      </c>
      <c r="H37" s="196"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6"/>
        <v>1</v>
      </c>
    </row>
    <row r="38" spans="1:23" x14ac:dyDescent="0.3">
      <c r="A38" s="184"/>
      <c r="B38" s="194">
        <v>33</v>
      </c>
      <c r="C38" s="195">
        <v>44224</v>
      </c>
      <c r="D38" s="196" t="s">
        <v>16</v>
      </c>
      <c r="E38" s="196" t="s">
        <v>24</v>
      </c>
      <c r="F38" s="197">
        <v>48730</v>
      </c>
      <c r="G38" s="197">
        <v>48790</v>
      </c>
      <c r="H38" s="196">
        <v>60</v>
      </c>
      <c r="I38" s="197">
        <v>100</v>
      </c>
      <c r="J38" s="268">
        <f t="shared" si="1"/>
        <v>6000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44224</v>
      </c>
      <c r="D39" s="196" t="s">
        <v>16</v>
      </c>
      <c r="E39" s="196" t="s">
        <v>22</v>
      </c>
      <c r="F39" s="197">
        <v>66200</v>
      </c>
      <c r="G39" s="197">
        <v>66800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44225</v>
      </c>
      <c r="D40" s="196" t="s">
        <v>16</v>
      </c>
      <c r="E40" s="196" t="s">
        <v>24</v>
      </c>
      <c r="F40" s="197">
        <v>49040</v>
      </c>
      <c r="G40" s="197">
        <v>49240</v>
      </c>
      <c r="H40" s="196">
        <v>200</v>
      </c>
      <c r="I40" s="197">
        <v>100</v>
      </c>
      <c r="J40" s="268">
        <f t="shared" si="1"/>
        <v>20000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44225</v>
      </c>
      <c r="D41" s="196" t="s">
        <v>16</v>
      </c>
      <c r="E41" s="196" t="s">
        <v>22</v>
      </c>
      <c r="F41" s="197">
        <v>70200</v>
      </c>
      <c r="G41" s="197">
        <v>70800</v>
      </c>
      <c r="H41" s="196">
        <v>600</v>
      </c>
      <c r="I41" s="197">
        <v>30</v>
      </c>
      <c r="J41" s="268">
        <f t="shared" si="1"/>
        <v>18000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397500</v>
      </c>
      <c r="K51" s="185"/>
      <c r="V51" s="183">
        <f>SUM(V6:V50)</f>
        <v>29</v>
      </c>
      <c r="W51" s="183">
        <f>SUM(W6:W50)</f>
        <v>7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44197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44200</v>
      </c>
      <c r="D59" s="192" t="s">
        <v>23</v>
      </c>
      <c r="E59" s="192" t="s">
        <v>25</v>
      </c>
      <c r="F59" s="193">
        <v>3580</v>
      </c>
      <c r="G59" s="193">
        <v>3540</v>
      </c>
      <c r="H59" s="192">
        <v>40</v>
      </c>
      <c r="I59" s="193">
        <v>100</v>
      </c>
      <c r="J59" s="267">
        <f t="shared" ref="J59:J81" si="7">I59*H59</f>
        <v>4000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44201</v>
      </c>
      <c r="D60" s="196" t="s">
        <v>23</v>
      </c>
      <c r="E60" s="196" t="s">
        <v>25</v>
      </c>
      <c r="F60" s="197">
        <v>3525</v>
      </c>
      <c r="G60" s="197">
        <v>3506</v>
      </c>
      <c r="H60" s="196">
        <v>19</v>
      </c>
      <c r="I60" s="197">
        <v>100</v>
      </c>
      <c r="J60" s="268">
        <f t="shared" si="7"/>
        <v>1900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44202</v>
      </c>
      <c r="D61" s="196" t="s">
        <v>23</v>
      </c>
      <c r="E61" s="196" t="s">
        <v>25</v>
      </c>
      <c r="F61" s="197">
        <v>3690</v>
      </c>
      <c r="G61" s="197">
        <v>3660</v>
      </c>
      <c r="H61" s="196">
        <v>30</v>
      </c>
      <c r="I61" s="197">
        <v>100</v>
      </c>
      <c r="J61" s="268">
        <f t="shared" si="7"/>
        <v>3000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44203</v>
      </c>
      <c r="D62" s="196" t="s">
        <v>23</v>
      </c>
      <c r="E62" s="196" t="s">
        <v>25</v>
      </c>
      <c r="F62" s="197">
        <v>3730</v>
      </c>
      <c r="G62" s="197">
        <v>3710</v>
      </c>
      <c r="H62" s="196">
        <v>20</v>
      </c>
      <c r="I62" s="197">
        <v>100</v>
      </c>
      <c r="J62" s="268">
        <f t="shared" si="7"/>
        <v>2000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44204</v>
      </c>
      <c r="D63" s="196" t="s">
        <v>23</v>
      </c>
      <c r="E63" s="196" t="s">
        <v>25</v>
      </c>
      <c r="F63" s="197">
        <v>3755</v>
      </c>
      <c r="G63" s="197">
        <v>3785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44207</v>
      </c>
      <c r="D64" s="196" t="s">
        <v>23</v>
      </c>
      <c r="E64" s="196" t="s">
        <v>25</v>
      </c>
      <c r="F64" s="197">
        <v>3805</v>
      </c>
      <c r="G64" s="197">
        <v>3840</v>
      </c>
      <c r="H64" s="196">
        <v>-30</v>
      </c>
      <c r="I64" s="197">
        <v>100</v>
      </c>
      <c r="J64" s="268">
        <f t="shared" si="7"/>
        <v>-3000</v>
      </c>
      <c r="K64" s="185"/>
      <c r="V64" s="183">
        <f t="shared" si="8"/>
        <v>0</v>
      </c>
      <c r="W64" s="183">
        <f t="shared" si="9"/>
        <v>1</v>
      </c>
    </row>
    <row r="65" spans="1:23" x14ac:dyDescent="0.3">
      <c r="A65" s="184"/>
      <c r="B65" s="194">
        <v>7</v>
      </c>
      <c r="C65" s="195">
        <v>44207</v>
      </c>
      <c r="D65" s="196" t="s">
        <v>23</v>
      </c>
      <c r="E65" s="196" t="s">
        <v>848</v>
      </c>
      <c r="F65" s="222">
        <v>191.5</v>
      </c>
      <c r="G65" s="222">
        <v>189.5</v>
      </c>
      <c r="H65" s="196">
        <v>2</v>
      </c>
      <c r="I65" s="197">
        <v>1250</v>
      </c>
      <c r="J65" s="268">
        <f t="shared" si="7"/>
        <v>2500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44208</v>
      </c>
      <c r="D66" s="196" t="s">
        <v>23</v>
      </c>
      <c r="E66" s="196" t="s">
        <v>25</v>
      </c>
      <c r="F66" s="197">
        <v>3890</v>
      </c>
      <c r="G66" s="197">
        <v>3860</v>
      </c>
      <c r="H66" s="196">
        <v>30</v>
      </c>
      <c r="I66" s="197">
        <v>100</v>
      </c>
      <c r="J66" s="268">
        <f t="shared" si="7"/>
        <v>3000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44209</v>
      </c>
      <c r="D67" s="196" t="s">
        <v>23</v>
      </c>
      <c r="E67" s="196" t="s">
        <v>25</v>
      </c>
      <c r="F67" s="197">
        <v>3915</v>
      </c>
      <c r="G67" s="197">
        <v>3855</v>
      </c>
      <c r="H67" s="196">
        <v>60</v>
      </c>
      <c r="I67" s="197">
        <v>100</v>
      </c>
      <c r="J67" s="268">
        <f t="shared" si="7"/>
        <v>6000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44211</v>
      </c>
      <c r="D68" s="196" t="s">
        <v>23</v>
      </c>
      <c r="E68" s="196" t="s">
        <v>25</v>
      </c>
      <c r="F68" s="197">
        <v>3870</v>
      </c>
      <c r="G68" s="197">
        <v>3850</v>
      </c>
      <c r="H68" s="196">
        <v>20</v>
      </c>
      <c r="I68" s="197">
        <v>100</v>
      </c>
      <c r="J68" s="268">
        <f t="shared" si="7"/>
        <v>2000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44214</v>
      </c>
      <c r="D69" s="196" t="s">
        <v>23</v>
      </c>
      <c r="E69" s="196" t="s">
        <v>25</v>
      </c>
      <c r="F69" s="197">
        <v>3830</v>
      </c>
      <c r="G69" s="197">
        <v>3815</v>
      </c>
      <c r="H69" s="196">
        <v>15</v>
      </c>
      <c r="I69" s="197">
        <v>100</v>
      </c>
      <c r="J69" s="268">
        <f t="shared" si="7"/>
        <v>1500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44215</v>
      </c>
      <c r="D70" s="196" t="s">
        <v>16</v>
      </c>
      <c r="E70" s="196" t="s">
        <v>25</v>
      </c>
      <c r="F70" s="197">
        <v>3850</v>
      </c>
      <c r="G70" s="197">
        <v>3878</v>
      </c>
      <c r="H70" s="196">
        <v>28</v>
      </c>
      <c r="I70" s="197">
        <v>100</v>
      </c>
      <c r="J70" s="268">
        <f t="shared" si="7"/>
        <v>2800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44216</v>
      </c>
      <c r="D71" s="196" t="s">
        <v>16</v>
      </c>
      <c r="E71" s="196" t="s">
        <v>25</v>
      </c>
      <c r="F71" s="197">
        <v>3930</v>
      </c>
      <c r="G71" s="197">
        <v>3900</v>
      </c>
      <c r="H71" s="196">
        <v>30</v>
      </c>
      <c r="I71" s="197">
        <v>100</v>
      </c>
      <c r="J71" s="268">
        <f t="shared" si="7"/>
        <v>3000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44217</v>
      </c>
      <c r="D72" s="196" t="s">
        <v>23</v>
      </c>
      <c r="E72" s="196" t="s">
        <v>25</v>
      </c>
      <c r="F72" s="197">
        <v>3870</v>
      </c>
      <c r="G72" s="197">
        <v>3900</v>
      </c>
      <c r="H72" s="196">
        <v>-30</v>
      </c>
      <c r="I72" s="197">
        <v>100</v>
      </c>
      <c r="J72" s="268">
        <f t="shared" si="7"/>
        <v>-3000</v>
      </c>
      <c r="K72" s="185"/>
      <c r="V72" s="183">
        <f t="shared" si="8"/>
        <v>0</v>
      </c>
      <c r="W72" s="183">
        <f t="shared" si="9"/>
        <v>1</v>
      </c>
    </row>
    <row r="73" spans="1:23" x14ac:dyDescent="0.3">
      <c r="A73" s="184"/>
      <c r="B73" s="194">
        <v>15</v>
      </c>
      <c r="C73" s="195">
        <v>44218</v>
      </c>
      <c r="D73" s="196" t="s">
        <v>23</v>
      </c>
      <c r="E73" s="196" t="s">
        <v>25</v>
      </c>
      <c r="F73" s="197">
        <v>3805</v>
      </c>
      <c r="G73" s="197">
        <v>3775</v>
      </c>
      <c r="H73" s="196">
        <v>30</v>
      </c>
      <c r="I73" s="197">
        <v>100</v>
      </c>
      <c r="J73" s="268">
        <f t="shared" si="7"/>
        <v>3000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44221</v>
      </c>
      <c r="D74" s="196" t="s">
        <v>23</v>
      </c>
      <c r="E74" s="196" t="s">
        <v>25</v>
      </c>
      <c r="F74" s="197">
        <v>3860</v>
      </c>
      <c r="G74" s="197">
        <v>3805</v>
      </c>
      <c r="H74" s="196">
        <v>60</v>
      </c>
      <c r="I74" s="197">
        <v>100</v>
      </c>
      <c r="J74" s="268">
        <f t="shared" si="7"/>
        <v>6000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44223</v>
      </c>
      <c r="D75" s="196" t="s">
        <v>23</v>
      </c>
      <c r="E75" s="196" t="s">
        <v>25</v>
      </c>
      <c r="F75" s="197">
        <v>3870</v>
      </c>
      <c r="G75" s="197">
        <v>3810</v>
      </c>
      <c r="H75" s="196">
        <v>60</v>
      </c>
      <c r="I75" s="197">
        <v>100</v>
      </c>
      <c r="J75" s="268">
        <f t="shared" si="7"/>
        <v>6000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44224</v>
      </c>
      <c r="D76" s="196" t="s">
        <v>23</v>
      </c>
      <c r="E76" s="196" t="s">
        <v>25</v>
      </c>
      <c r="F76" s="197">
        <v>3865</v>
      </c>
      <c r="G76" s="197">
        <v>3895</v>
      </c>
      <c r="H76" s="196">
        <v>-30</v>
      </c>
      <c r="I76" s="197">
        <v>100</v>
      </c>
      <c r="J76" s="268">
        <f t="shared" si="7"/>
        <v>-3000</v>
      </c>
      <c r="K76" s="185"/>
      <c r="V76" s="183">
        <f t="shared" si="8"/>
        <v>0</v>
      </c>
      <c r="W76" s="183">
        <f t="shared" si="9"/>
        <v>1</v>
      </c>
    </row>
    <row r="77" spans="1:23" x14ac:dyDescent="0.3">
      <c r="A77" s="184"/>
      <c r="B77" s="194">
        <v>19</v>
      </c>
      <c r="C77" s="195">
        <v>44225</v>
      </c>
      <c r="D77" s="196" t="s">
        <v>23</v>
      </c>
      <c r="E77" s="196" t="s">
        <v>25</v>
      </c>
      <c r="F77" s="197">
        <v>3845</v>
      </c>
      <c r="G77" s="197">
        <v>3820</v>
      </c>
      <c r="H77" s="196">
        <v>25</v>
      </c>
      <c r="I77" s="197">
        <v>100</v>
      </c>
      <c r="J77" s="268">
        <f t="shared" si="7"/>
        <v>2500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/>
      <c r="D78" s="196"/>
      <c r="E78" s="196"/>
      <c r="F78" s="197"/>
      <c r="G78" s="197"/>
      <c r="H78" s="196"/>
      <c r="I78" s="197"/>
      <c r="J78" s="268">
        <f t="shared" si="7"/>
        <v>0</v>
      </c>
      <c r="K78" s="185"/>
      <c r="V78" s="183">
        <f t="shared" si="8"/>
        <v>0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37200</v>
      </c>
      <c r="K82" s="185"/>
      <c r="V82" s="183">
        <f>SUM(V59:V81)</f>
        <v>15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44197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44200</v>
      </c>
      <c r="D90" s="216" t="s">
        <v>16</v>
      </c>
      <c r="E90" s="256" t="s">
        <v>28</v>
      </c>
      <c r="F90" s="256">
        <v>218.4</v>
      </c>
      <c r="G90" s="256">
        <v>218.8</v>
      </c>
      <c r="H90" s="256">
        <v>0.4</v>
      </c>
      <c r="I90" s="218">
        <v>5000</v>
      </c>
      <c r="J90" s="273">
        <f>I90*H90</f>
        <v>2000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44201</v>
      </c>
      <c r="D91" s="196" t="s">
        <v>16</v>
      </c>
      <c r="E91" s="222" t="s">
        <v>28</v>
      </c>
      <c r="F91" s="222">
        <v>219.4</v>
      </c>
      <c r="G91" s="222">
        <v>220.3</v>
      </c>
      <c r="H91" s="222">
        <v>0.9</v>
      </c>
      <c r="I91" s="197">
        <v>5000</v>
      </c>
      <c r="J91" s="268">
        <f t="shared" ref="J91:J112" si="10">I91*H91</f>
        <v>4500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44202</v>
      </c>
      <c r="D92" s="196" t="s">
        <v>16</v>
      </c>
      <c r="E92" s="222" t="s">
        <v>28</v>
      </c>
      <c r="F92" s="222">
        <v>223.5</v>
      </c>
      <c r="G92" s="222">
        <v>222.5</v>
      </c>
      <c r="H92" s="222">
        <v>-1</v>
      </c>
      <c r="I92" s="197">
        <v>5000</v>
      </c>
      <c r="J92" s="268">
        <f t="shared" si="10"/>
        <v>-5000</v>
      </c>
      <c r="K92" s="185"/>
      <c r="V92" s="183">
        <f t="shared" si="11"/>
        <v>0</v>
      </c>
      <c r="W92" s="183">
        <f t="shared" si="12"/>
        <v>1</v>
      </c>
    </row>
    <row r="93" spans="1:23" x14ac:dyDescent="0.3">
      <c r="A93" s="184"/>
      <c r="B93" s="194">
        <v>4</v>
      </c>
      <c r="C93" s="195">
        <v>44203</v>
      </c>
      <c r="D93" s="196" t="s">
        <v>16</v>
      </c>
      <c r="E93" s="222" t="s">
        <v>28</v>
      </c>
      <c r="F93" s="222">
        <v>224.6</v>
      </c>
      <c r="G93" s="222">
        <v>226.2</v>
      </c>
      <c r="H93" s="222">
        <v>1.6</v>
      </c>
      <c r="I93" s="197">
        <v>5000</v>
      </c>
      <c r="J93" s="268">
        <f t="shared" si="10"/>
        <v>8000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44204</v>
      </c>
      <c r="D94" s="196" t="s">
        <v>23</v>
      </c>
      <c r="E94" s="222" t="s">
        <v>28</v>
      </c>
      <c r="F94" s="222">
        <v>223</v>
      </c>
      <c r="G94" s="222">
        <v>221</v>
      </c>
      <c r="H94" s="222">
        <v>2</v>
      </c>
      <c r="I94" s="197">
        <v>5000</v>
      </c>
      <c r="J94" s="268">
        <f t="shared" si="10"/>
        <v>10000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44207</v>
      </c>
      <c r="D95" s="196" t="s">
        <v>16</v>
      </c>
      <c r="E95" s="222" t="s">
        <v>28</v>
      </c>
      <c r="F95" s="222">
        <v>219.4</v>
      </c>
      <c r="G95" s="222">
        <v>218.4</v>
      </c>
      <c r="H95" s="222">
        <v>-1</v>
      </c>
      <c r="I95" s="197">
        <v>5000</v>
      </c>
      <c r="J95" s="268">
        <f t="shared" si="10"/>
        <v>-5000</v>
      </c>
      <c r="K95" s="185"/>
      <c r="V95" s="183">
        <f t="shared" si="11"/>
        <v>0</v>
      </c>
      <c r="W95" s="183">
        <f t="shared" si="12"/>
        <v>1</v>
      </c>
    </row>
    <row r="96" spans="1:23" x14ac:dyDescent="0.3">
      <c r="A96" s="184"/>
      <c r="B96" s="194">
        <v>7</v>
      </c>
      <c r="C96" s="195">
        <v>44208</v>
      </c>
      <c r="D96" s="196" t="s">
        <v>23</v>
      </c>
      <c r="E96" s="222" t="s">
        <v>28</v>
      </c>
      <c r="F96" s="222">
        <v>219.8</v>
      </c>
      <c r="G96" s="222">
        <v>218.8</v>
      </c>
      <c r="H96" s="274">
        <v>1</v>
      </c>
      <c r="I96" s="197">
        <v>5000</v>
      </c>
      <c r="J96" s="268">
        <f t="shared" si="10"/>
        <v>5000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44209</v>
      </c>
      <c r="D97" s="196" t="s">
        <v>16</v>
      </c>
      <c r="E97" s="222" t="s">
        <v>28</v>
      </c>
      <c r="F97" s="222">
        <v>219</v>
      </c>
      <c r="G97" s="222">
        <v>219.35</v>
      </c>
      <c r="H97" s="222">
        <v>0.35</v>
      </c>
      <c r="I97" s="197">
        <v>5000</v>
      </c>
      <c r="J97" s="268">
        <f t="shared" si="10"/>
        <v>1750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44211</v>
      </c>
      <c r="D98" s="196" t="s">
        <v>16</v>
      </c>
      <c r="E98" s="222" t="s">
        <v>28</v>
      </c>
      <c r="F98" s="222">
        <v>216.4</v>
      </c>
      <c r="G98" s="222">
        <v>216.9</v>
      </c>
      <c r="H98" s="222">
        <v>0.5</v>
      </c>
      <c r="I98" s="197">
        <v>5000</v>
      </c>
      <c r="J98" s="268">
        <f t="shared" si="10"/>
        <v>2500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44214</v>
      </c>
      <c r="D99" s="196" t="s">
        <v>16</v>
      </c>
      <c r="E99" s="222" t="s">
        <v>28</v>
      </c>
      <c r="F99" s="222">
        <v>213.5</v>
      </c>
      <c r="G99" s="222">
        <v>214.3</v>
      </c>
      <c r="H99" s="222">
        <v>0.8</v>
      </c>
      <c r="I99" s="197">
        <v>5000</v>
      </c>
      <c r="J99" s="268">
        <f t="shared" si="10"/>
        <v>4000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44215</v>
      </c>
      <c r="D100" s="196" t="s">
        <v>16</v>
      </c>
      <c r="E100" s="222" t="s">
        <v>28</v>
      </c>
      <c r="F100" s="222">
        <v>215.3</v>
      </c>
      <c r="G100" s="222">
        <v>216.3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44216</v>
      </c>
      <c r="D101" s="196" t="s">
        <v>16</v>
      </c>
      <c r="E101" s="222" t="s">
        <v>28</v>
      </c>
      <c r="F101" s="222">
        <v>217.4</v>
      </c>
      <c r="G101" s="222">
        <v>218.4</v>
      </c>
      <c r="H101" s="274">
        <v>1</v>
      </c>
      <c r="I101" s="197">
        <v>5000</v>
      </c>
      <c r="J101" s="268">
        <f t="shared" si="10"/>
        <v>5000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44217</v>
      </c>
      <c r="D102" s="196" t="s">
        <v>16</v>
      </c>
      <c r="E102" s="222" t="s">
        <v>28</v>
      </c>
      <c r="F102" s="222">
        <v>219.2</v>
      </c>
      <c r="G102" s="222">
        <v>218.2</v>
      </c>
      <c r="H102" s="274">
        <v>-1</v>
      </c>
      <c r="I102" s="197">
        <v>5000</v>
      </c>
      <c r="J102" s="268">
        <f t="shared" si="10"/>
        <v>-5000</v>
      </c>
      <c r="K102" s="185"/>
      <c r="V102" s="183">
        <f t="shared" si="11"/>
        <v>0</v>
      </c>
      <c r="W102" s="183">
        <f t="shared" si="12"/>
        <v>1</v>
      </c>
    </row>
    <row r="103" spans="1:23" x14ac:dyDescent="0.3">
      <c r="A103" s="184"/>
      <c r="B103" s="194">
        <v>14</v>
      </c>
      <c r="C103" s="195">
        <v>44218</v>
      </c>
      <c r="D103" s="196" t="s">
        <v>23</v>
      </c>
      <c r="E103" s="222" t="s">
        <v>28</v>
      </c>
      <c r="F103" s="222">
        <v>211.8</v>
      </c>
      <c r="G103" s="222">
        <v>212.8</v>
      </c>
      <c r="H103" s="274">
        <v>-1</v>
      </c>
      <c r="I103" s="197">
        <v>5000</v>
      </c>
      <c r="J103" s="268">
        <f t="shared" si="10"/>
        <v>-5000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15</v>
      </c>
      <c r="C104" s="195">
        <v>44221</v>
      </c>
      <c r="D104" s="196" t="s">
        <v>16</v>
      </c>
      <c r="E104" s="222" t="s">
        <v>28</v>
      </c>
      <c r="F104" s="223">
        <v>215.5</v>
      </c>
      <c r="G104" s="222">
        <v>215.85</v>
      </c>
      <c r="H104" s="274">
        <v>0.35</v>
      </c>
      <c r="I104" s="197">
        <v>5000</v>
      </c>
      <c r="J104" s="268">
        <f t="shared" si="10"/>
        <v>1750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44223</v>
      </c>
      <c r="D105" s="196" t="s">
        <v>23</v>
      </c>
      <c r="E105" s="222" t="s">
        <v>28</v>
      </c>
      <c r="F105" s="222">
        <v>207.7</v>
      </c>
      <c r="G105" s="222">
        <v>205.7</v>
      </c>
      <c r="H105" s="274">
        <v>2</v>
      </c>
      <c r="I105" s="197">
        <v>5000</v>
      </c>
      <c r="J105" s="268">
        <f t="shared" si="10"/>
        <v>10000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44224</v>
      </c>
      <c r="D106" s="196" t="s">
        <v>16</v>
      </c>
      <c r="E106" s="222" t="s">
        <v>28</v>
      </c>
      <c r="F106" s="222">
        <v>204.5</v>
      </c>
      <c r="G106" s="222">
        <v>206.5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44225</v>
      </c>
      <c r="D107" s="196" t="s">
        <v>16</v>
      </c>
      <c r="E107" s="222" t="s">
        <v>28</v>
      </c>
      <c r="F107" s="222">
        <v>204.7</v>
      </c>
      <c r="G107" s="222">
        <v>206.7</v>
      </c>
      <c r="H107" s="274">
        <v>2</v>
      </c>
      <c r="I107" s="197">
        <v>5000</v>
      </c>
      <c r="J107" s="268">
        <f t="shared" si="10"/>
        <v>10000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/>
      <c r="D108" s="196"/>
      <c r="E108" s="222"/>
      <c r="F108" s="222"/>
      <c r="G108" s="222"/>
      <c r="H108" s="274"/>
      <c r="I108" s="197"/>
      <c r="J108" s="268">
        <f t="shared" si="10"/>
        <v>0</v>
      </c>
      <c r="K108" s="185"/>
      <c r="V108" s="183">
        <f t="shared" si="11"/>
        <v>0</v>
      </c>
      <c r="W108" s="183">
        <f t="shared" si="12"/>
        <v>0</v>
      </c>
    </row>
    <row r="109" spans="1:23" x14ac:dyDescent="0.3">
      <c r="A109" s="184"/>
      <c r="B109" s="194">
        <v>20</v>
      </c>
      <c r="C109" s="195"/>
      <c r="D109" s="196"/>
      <c r="E109" s="222"/>
      <c r="F109" s="222"/>
      <c r="G109" s="222"/>
      <c r="H109" s="274"/>
      <c r="I109" s="197"/>
      <c r="J109" s="268">
        <f t="shared" si="10"/>
        <v>0</v>
      </c>
      <c r="K109" s="185"/>
      <c r="V109" s="183">
        <f t="shared" si="11"/>
        <v>0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59500</v>
      </c>
      <c r="K113" s="185"/>
      <c r="V113" s="183">
        <f>SUM(V90:V112)</f>
        <v>14</v>
      </c>
      <c r="W113" s="183">
        <f>SUM(W90:W112)</f>
        <v>4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100-000000000000}"/>
    <hyperlink ref="B82" r:id="rId2" xr:uid="{00000000-0004-0000-6100-000001000000}"/>
    <hyperlink ref="M4:M5" location="'DEC 2020'!A1" display="BULLION" xr:uid="{00000000-0004-0000-6100-000002000000}"/>
    <hyperlink ref="B113" r:id="rId3" xr:uid="{00000000-0004-0000-6100-000003000000}"/>
    <hyperlink ref="M8:M9" location="'DEC 2020'!A86" display="BASE METAL" xr:uid="{00000000-0004-0000-6100-000004000000}"/>
    <hyperlink ref="M1" location="MASTER!A1" display="Back" xr:uid="{00000000-0004-0000-6100-000005000000}"/>
    <hyperlink ref="M6:M7" location="'DEC 2020'!A54" display="ENERGY" xr:uid="{00000000-0004-0000-6100-000006000000}"/>
  </hyperlinks>
  <pageMargins left="0" right="0" top="0" bottom="0" header="0" footer="0"/>
  <pageSetup paperSize="9" orientation="portrait" r:id="rId4"/>
  <drawing r:id="rId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W114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07" t="s">
        <v>873</v>
      </c>
      <c r="C2" s="308"/>
      <c r="D2" s="308"/>
      <c r="E2" s="308"/>
      <c r="F2" s="308"/>
      <c r="G2" s="308"/>
      <c r="H2" s="308"/>
      <c r="I2" s="308"/>
      <c r="J2" s="309"/>
      <c r="K2" s="185"/>
      <c r="M2" s="358" t="s">
        <v>252</v>
      </c>
      <c r="N2" s="360" t="s">
        <v>253</v>
      </c>
      <c r="O2" s="360" t="s">
        <v>254</v>
      </c>
      <c r="P2" s="360" t="s">
        <v>255</v>
      </c>
      <c r="Q2" s="360" t="s">
        <v>256</v>
      </c>
      <c r="R2" s="351" t="s">
        <v>874</v>
      </c>
    </row>
    <row r="3" spans="1:23" ht="16.2" thickBot="1" x14ac:dyDescent="0.35">
      <c r="A3" s="184"/>
      <c r="B3" s="310">
        <v>44228</v>
      </c>
      <c r="C3" s="311"/>
      <c r="D3" s="311"/>
      <c r="E3" s="311"/>
      <c r="F3" s="311"/>
      <c r="G3" s="311"/>
      <c r="H3" s="311"/>
      <c r="I3" s="311"/>
      <c r="J3" s="312"/>
      <c r="K3" s="185"/>
      <c r="M3" s="359"/>
      <c r="N3" s="361"/>
      <c r="O3" s="361"/>
      <c r="P3" s="361"/>
      <c r="Q3" s="361"/>
      <c r="R3" s="352"/>
    </row>
    <row r="4" spans="1:23" ht="16.2" thickBot="1" x14ac:dyDescent="0.35">
      <c r="A4" s="184"/>
      <c r="B4" s="313" t="s">
        <v>875</v>
      </c>
      <c r="C4" s="314"/>
      <c r="D4" s="314"/>
      <c r="E4" s="314"/>
      <c r="F4" s="314"/>
      <c r="G4" s="314"/>
      <c r="H4" s="314"/>
      <c r="I4" s="314"/>
      <c r="J4" s="315"/>
      <c r="K4" s="185"/>
      <c r="M4" s="363" t="s">
        <v>257</v>
      </c>
      <c r="N4" s="354">
        <f>COUNT(C6:C50)</f>
        <v>40</v>
      </c>
      <c r="O4" s="355">
        <f>V51</f>
        <v>28</v>
      </c>
      <c r="P4" s="355">
        <f>W51</f>
        <v>8</v>
      </c>
      <c r="Q4" s="356">
        <f>N4-O4-P4</f>
        <v>4</v>
      </c>
      <c r="R4" s="343">
        <f>O4/N4</f>
        <v>0.7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47"/>
      <c r="O5" s="348"/>
      <c r="P5" s="348"/>
      <c r="Q5" s="357"/>
      <c r="R5" s="345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44228</v>
      </c>
      <c r="D6" s="192" t="s">
        <v>16</v>
      </c>
      <c r="E6" s="192" t="s">
        <v>24</v>
      </c>
      <c r="F6" s="193">
        <v>48400</v>
      </c>
      <c r="G6" s="193">
        <v>48600</v>
      </c>
      <c r="H6" s="192">
        <v>200</v>
      </c>
      <c r="I6" s="193">
        <v>100</v>
      </c>
      <c r="J6" s="267">
        <f>H6*I6</f>
        <v>20000</v>
      </c>
      <c r="K6" s="185"/>
      <c r="M6" s="364" t="s">
        <v>258</v>
      </c>
      <c r="N6" s="347">
        <f>COUNT(C59:C81)</f>
        <v>20</v>
      </c>
      <c r="O6" s="348">
        <f>V82</f>
        <v>16</v>
      </c>
      <c r="P6" s="348">
        <f>W82</f>
        <v>4</v>
      </c>
      <c r="Q6" s="349">
        <f>N6-O6-P6</f>
        <v>0</v>
      </c>
      <c r="R6" s="345">
        <f t="shared" ref="R6" si="0">O6/N6</f>
        <v>0.8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44228</v>
      </c>
      <c r="D7" s="196" t="s">
        <v>16</v>
      </c>
      <c r="E7" s="196" t="s">
        <v>22</v>
      </c>
      <c r="F7" s="197">
        <v>73450</v>
      </c>
      <c r="G7" s="197">
        <v>74050</v>
      </c>
      <c r="H7" s="196">
        <v>600</v>
      </c>
      <c r="I7" s="197">
        <v>30</v>
      </c>
      <c r="J7" s="268">
        <f t="shared" ref="J7:J50" si="1">H7*I7</f>
        <v>18000</v>
      </c>
      <c r="K7" s="185"/>
      <c r="M7" s="365"/>
      <c r="N7" s="347"/>
      <c r="O7" s="348"/>
      <c r="P7" s="348"/>
      <c r="Q7" s="350"/>
      <c r="R7" s="345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44229</v>
      </c>
      <c r="D8" s="196" t="s">
        <v>16</v>
      </c>
      <c r="E8" s="196" t="s">
        <v>24</v>
      </c>
      <c r="F8" s="197">
        <v>48230</v>
      </c>
      <c r="G8" s="197">
        <v>48285</v>
      </c>
      <c r="H8" s="196">
        <v>55</v>
      </c>
      <c r="I8" s="197">
        <v>100</v>
      </c>
      <c r="J8" s="268">
        <f t="shared" si="1"/>
        <v>5500</v>
      </c>
      <c r="K8" s="185"/>
      <c r="M8" s="362" t="s">
        <v>877</v>
      </c>
      <c r="N8" s="347">
        <f>COUNT(C90:C112)</f>
        <v>20</v>
      </c>
      <c r="O8" s="348">
        <f>V113</f>
        <v>16</v>
      </c>
      <c r="P8" s="348">
        <f>W113</f>
        <v>4</v>
      </c>
      <c r="Q8" s="349">
        <f>N8-O8-P8</f>
        <v>0</v>
      </c>
      <c r="R8" s="345">
        <f t="shared" ref="R8" si="4">O8/N8</f>
        <v>0.8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44229</v>
      </c>
      <c r="D9" s="196" t="s">
        <v>16</v>
      </c>
      <c r="E9" s="196" t="s">
        <v>22</v>
      </c>
      <c r="F9" s="197">
        <v>70700</v>
      </c>
      <c r="G9" s="197">
        <v>70900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47"/>
      <c r="O9" s="348"/>
      <c r="P9" s="348"/>
      <c r="Q9" s="350"/>
      <c r="R9" s="345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44230</v>
      </c>
      <c r="D10" s="196" t="s">
        <v>16</v>
      </c>
      <c r="E10" s="196" t="s">
        <v>24</v>
      </c>
      <c r="F10" s="197">
        <v>47900</v>
      </c>
      <c r="G10" s="197">
        <v>48000</v>
      </c>
      <c r="H10" s="196">
        <v>100</v>
      </c>
      <c r="I10" s="197">
        <v>100</v>
      </c>
      <c r="J10" s="268">
        <f t="shared" si="1"/>
        <v>10000</v>
      </c>
      <c r="K10" s="185"/>
      <c r="M10" s="319" t="s">
        <v>300</v>
      </c>
      <c r="N10" s="321">
        <f>SUM(N4:N9)</f>
        <v>80</v>
      </c>
      <c r="O10" s="321">
        <f>SUM(O4:O9)</f>
        <v>60</v>
      </c>
      <c r="P10" s="321">
        <f>SUM(P4:P9)</f>
        <v>16</v>
      </c>
      <c r="Q10" s="341">
        <f>SUM(Q4:Q9)</f>
        <v>4</v>
      </c>
      <c r="R10" s="343">
        <f t="shared" ref="R10" si="5">O10/N10</f>
        <v>0.75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44230</v>
      </c>
      <c r="D11" s="196" t="s">
        <v>16</v>
      </c>
      <c r="E11" s="196" t="s">
        <v>22</v>
      </c>
      <c r="F11" s="197">
        <v>68300</v>
      </c>
      <c r="G11" s="197">
        <v>68450</v>
      </c>
      <c r="H11" s="196">
        <v>150</v>
      </c>
      <c r="I11" s="197">
        <v>30</v>
      </c>
      <c r="J11" s="268">
        <f t="shared" si="1"/>
        <v>4500</v>
      </c>
      <c r="K11" s="185"/>
      <c r="M11" s="320"/>
      <c r="N11" s="322"/>
      <c r="O11" s="322"/>
      <c r="P11" s="322"/>
      <c r="Q11" s="342"/>
      <c r="R11" s="344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44231</v>
      </c>
      <c r="D12" s="196" t="s">
        <v>23</v>
      </c>
      <c r="E12" s="196" t="s">
        <v>24</v>
      </c>
      <c r="F12" s="197">
        <v>47360</v>
      </c>
      <c r="G12" s="197">
        <v>47160</v>
      </c>
      <c r="H12" s="196">
        <v>200</v>
      </c>
      <c r="I12" s="197">
        <v>100</v>
      </c>
      <c r="J12" s="268">
        <f t="shared" si="1"/>
        <v>20000</v>
      </c>
      <c r="K12" s="185"/>
      <c r="M12" s="323" t="s">
        <v>878</v>
      </c>
      <c r="N12" s="324"/>
      <c r="O12" s="325"/>
      <c r="P12" s="332">
        <f>R10</f>
        <v>0.75</v>
      </c>
      <c r="Q12" s="333"/>
      <c r="R12" s="334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44231</v>
      </c>
      <c r="D13" s="196" t="s">
        <v>23</v>
      </c>
      <c r="E13" s="196" t="s">
        <v>22</v>
      </c>
      <c r="F13" s="197">
        <v>67600</v>
      </c>
      <c r="G13" s="197">
        <v>67480</v>
      </c>
      <c r="H13" s="196">
        <v>120</v>
      </c>
      <c r="I13" s="197">
        <v>30</v>
      </c>
      <c r="J13" s="268">
        <f t="shared" si="1"/>
        <v>3600</v>
      </c>
      <c r="K13" s="185"/>
      <c r="M13" s="326"/>
      <c r="N13" s="327"/>
      <c r="O13" s="328"/>
      <c r="P13" s="335"/>
      <c r="Q13" s="336"/>
      <c r="R13" s="337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44232</v>
      </c>
      <c r="D14" s="196" t="s">
        <v>23</v>
      </c>
      <c r="E14" s="196" t="s">
        <v>24</v>
      </c>
      <c r="F14" s="197">
        <v>47150</v>
      </c>
      <c r="G14" s="197">
        <v>47000</v>
      </c>
      <c r="H14" s="196">
        <v>150</v>
      </c>
      <c r="I14" s="197">
        <v>100</v>
      </c>
      <c r="J14" s="268">
        <f t="shared" si="1"/>
        <v>15000</v>
      </c>
      <c r="K14" s="185"/>
      <c r="M14" s="329"/>
      <c r="N14" s="330"/>
      <c r="O14" s="331"/>
      <c r="P14" s="338"/>
      <c r="Q14" s="339"/>
      <c r="R14" s="340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44232</v>
      </c>
      <c r="D15" s="196" t="s">
        <v>23</v>
      </c>
      <c r="E15" s="196" t="s">
        <v>22</v>
      </c>
      <c r="F15" s="197">
        <v>68100</v>
      </c>
      <c r="G15" s="197">
        <v>67670</v>
      </c>
      <c r="H15" s="196">
        <v>430</v>
      </c>
      <c r="I15" s="197">
        <v>30</v>
      </c>
      <c r="J15" s="268">
        <f t="shared" si="1"/>
        <v>12900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44235</v>
      </c>
      <c r="D16" s="196" t="s">
        <v>16</v>
      </c>
      <c r="E16" s="196" t="s">
        <v>24</v>
      </c>
      <c r="F16" s="197">
        <v>47320</v>
      </c>
      <c r="G16" s="197">
        <v>47520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44235</v>
      </c>
      <c r="D17" s="196" t="s">
        <v>16</v>
      </c>
      <c r="E17" s="196" t="s">
        <v>22</v>
      </c>
      <c r="F17" s="197">
        <v>68850</v>
      </c>
      <c r="G17" s="197">
        <v>69450</v>
      </c>
      <c r="H17" s="196">
        <v>600</v>
      </c>
      <c r="I17" s="197">
        <v>30</v>
      </c>
      <c r="J17" s="268">
        <f t="shared" si="1"/>
        <v>18000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44236</v>
      </c>
      <c r="D18" s="196" t="s">
        <v>23</v>
      </c>
      <c r="E18" s="196" t="s">
        <v>24</v>
      </c>
      <c r="F18" s="197">
        <v>48180</v>
      </c>
      <c r="G18" s="197">
        <v>47980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44236</v>
      </c>
      <c r="D19" s="196" t="s">
        <v>23</v>
      </c>
      <c r="E19" s="196" t="s">
        <v>22</v>
      </c>
      <c r="F19" s="197">
        <v>70700</v>
      </c>
      <c r="G19" s="197">
        <v>70100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44237</v>
      </c>
      <c r="D20" s="196" t="s">
        <v>23</v>
      </c>
      <c r="E20" s="196" t="s">
        <v>24</v>
      </c>
      <c r="F20" s="197">
        <v>48020</v>
      </c>
      <c r="G20" s="197">
        <v>47980</v>
      </c>
      <c r="H20" s="196">
        <v>40</v>
      </c>
      <c r="I20" s="197">
        <v>100</v>
      </c>
      <c r="J20" s="268">
        <f t="shared" si="1"/>
        <v>4000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44237</v>
      </c>
      <c r="D21" s="196" t="s">
        <v>23</v>
      </c>
      <c r="E21" s="196" t="s">
        <v>22</v>
      </c>
      <c r="F21" s="197">
        <v>69600</v>
      </c>
      <c r="G21" s="197">
        <v>69180</v>
      </c>
      <c r="H21" s="196">
        <v>420</v>
      </c>
      <c r="I21" s="197">
        <v>30</v>
      </c>
      <c r="J21" s="268">
        <f t="shared" si="1"/>
        <v>12600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44238</v>
      </c>
      <c r="D22" s="196" t="s">
        <v>16</v>
      </c>
      <c r="E22" s="196" t="s">
        <v>24</v>
      </c>
      <c r="F22" s="197">
        <v>48000</v>
      </c>
      <c r="G22" s="197">
        <v>48100</v>
      </c>
      <c r="H22" s="196">
        <v>1000</v>
      </c>
      <c r="I22" s="197">
        <v>100</v>
      </c>
      <c r="J22" s="268">
        <f t="shared" si="1"/>
        <v>100000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44238</v>
      </c>
      <c r="D23" s="196" t="s">
        <v>16</v>
      </c>
      <c r="E23" s="196" t="s">
        <v>22</v>
      </c>
      <c r="F23" s="197">
        <v>68900</v>
      </c>
      <c r="G23" s="197">
        <v>69200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44239</v>
      </c>
      <c r="D24" s="196" t="s">
        <v>23</v>
      </c>
      <c r="E24" s="196" t="s">
        <v>24</v>
      </c>
      <c r="F24" s="197">
        <v>47300</v>
      </c>
      <c r="G24" s="197">
        <v>47200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44239</v>
      </c>
      <c r="D25" s="196" t="s">
        <v>23</v>
      </c>
      <c r="E25" s="196" t="s">
        <v>22</v>
      </c>
      <c r="F25" s="197">
        <v>68700</v>
      </c>
      <c r="G25" s="197">
        <v>69000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44242</v>
      </c>
      <c r="D26" s="196" t="s">
        <v>23</v>
      </c>
      <c r="E26" s="196" t="s">
        <v>24</v>
      </c>
      <c r="F26" s="197">
        <v>47300</v>
      </c>
      <c r="G26" s="197">
        <v>47240</v>
      </c>
      <c r="H26" s="196">
        <v>60</v>
      </c>
      <c r="I26" s="197">
        <v>100</v>
      </c>
      <c r="J26" s="268">
        <f t="shared" si="1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44242</v>
      </c>
      <c r="D27" s="196" t="s">
        <v>23</v>
      </c>
      <c r="E27" s="196" t="s">
        <v>22</v>
      </c>
      <c r="F27" s="197">
        <v>69850</v>
      </c>
      <c r="G27" s="197">
        <v>69600</v>
      </c>
      <c r="H27" s="196">
        <v>250</v>
      </c>
      <c r="I27" s="197">
        <v>30</v>
      </c>
      <c r="J27" s="268">
        <f t="shared" si="1"/>
        <v>7500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44243</v>
      </c>
      <c r="D28" s="196" t="s">
        <v>16</v>
      </c>
      <c r="E28" s="196" t="s">
        <v>24</v>
      </c>
      <c r="F28" s="197">
        <v>47420</v>
      </c>
      <c r="G28" s="197">
        <v>47320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44243</v>
      </c>
      <c r="D29" s="196" t="s">
        <v>16</v>
      </c>
      <c r="E29" s="196" t="s">
        <v>22</v>
      </c>
      <c r="F29" s="197">
        <v>70400</v>
      </c>
      <c r="G29" s="197">
        <v>70600</v>
      </c>
      <c r="H29" s="196">
        <v>200</v>
      </c>
      <c r="I29" s="197">
        <v>30</v>
      </c>
      <c r="J29" s="268">
        <f t="shared" si="1"/>
        <v>6000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44244</v>
      </c>
      <c r="D30" s="196" t="s">
        <v>16</v>
      </c>
      <c r="E30" s="196" t="s">
        <v>24</v>
      </c>
      <c r="F30" s="197">
        <v>46640</v>
      </c>
      <c r="G30" s="197">
        <v>46700</v>
      </c>
      <c r="H30" s="196">
        <v>60</v>
      </c>
      <c r="I30" s="197">
        <v>100</v>
      </c>
      <c r="J30" s="268">
        <f t="shared" si="1"/>
        <v>6000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44244</v>
      </c>
      <c r="D31" s="196" t="s">
        <v>23</v>
      </c>
      <c r="E31" s="196" t="s">
        <v>22</v>
      </c>
      <c r="F31" s="197">
        <v>68800</v>
      </c>
      <c r="G31" s="197">
        <v>69100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44245</v>
      </c>
      <c r="D32" s="196" t="s">
        <v>23</v>
      </c>
      <c r="E32" s="196" t="s">
        <v>24</v>
      </c>
      <c r="F32" s="197">
        <v>46350</v>
      </c>
      <c r="G32" s="197">
        <v>46150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44245</v>
      </c>
      <c r="D33" s="196" t="s">
        <v>23</v>
      </c>
      <c r="E33" s="196" t="s">
        <v>22</v>
      </c>
      <c r="F33" s="197">
        <v>69000</v>
      </c>
      <c r="G33" s="197">
        <v>68600</v>
      </c>
      <c r="H33" s="196">
        <v>400</v>
      </c>
      <c r="I33" s="197">
        <v>30</v>
      </c>
      <c r="J33" s="268">
        <f t="shared" si="1"/>
        <v>12000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44246</v>
      </c>
      <c r="D34" s="196" t="s">
        <v>23</v>
      </c>
      <c r="E34" s="196" t="s">
        <v>24</v>
      </c>
      <c r="F34" s="197">
        <v>45950</v>
      </c>
      <c r="G34" s="197">
        <v>46050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>IF($J34&lt;0,1,0)</f>
        <v>1</v>
      </c>
    </row>
    <row r="35" spans="1:23" x14ac:dyDescent="0.3">
      <c r="A35" s="184"/>
      <c r="B35" s="194">
        <v>30</v>
      </c>
      <c r="C35" s="195">
        <v>44246</v>
      </c>
      <c r="D35" s="196" t="s">
        <v>23</v>
      </c>
      <c r="E35" s="196" t="s">
        <v>22</v>
      </c>
      <c r="F35" s="197">
        <v>68300</v>
      </c>
      <c r="G35" s="197">
        <v>68600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ref="W35:W40" si="6">IF($J35&lt;0,1,0)</f>
        <v>1</v>
      </c>
    </row>
    <row r="36" spans="1:23" x14ac:dyDescent="0.3">
      <c r="A36" s="184"/>
      <c r="B36" s="194">
        <v>31</v>
      </c>
      <c r="C36" s="195">
        <v>44249</v>
      </c>
      <c r="D36" s="196" t="s">
        <v>23</v>
      </c>
      <c r="E36" s="196" t="s">
        <v>24</v>
      </c>
      <c r="F36" s="197">
        <v>46600</v>
      </c>
      <c r="G36" s="197">
        <v>46500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44249</v>
      </c>
      <c r="D37" s="196" t="s">
        <v>16</v>
      </c>
      <c r="E37" s="196" t="s">
        <v>22</v>
      </c>
      <c r="F37" s="197">
        <v>69400</v>
      </c>
      <c r="G37" s="197">
        <v>69800</v>
      </c>
      <c r="H37" s="196">
        <v>400</v>
      </c>
      <c r="I37" s="197">
        <v>30</v>
      </c>
      <c r="J37" s="268">
        <f t="shared" si="1"/>
        <v>12000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44250</v>
      </c>
      <c r="D38" s="196" t="s">
        <v>23</v>
      </c>
      <c r="E38" s="196" t="s">
        <v>24</v>
      </c>
      <c r="F38" s="197">
        <v>46870</v>
      </c>
      <c r="G38" s="197">
        <v>46970</v>
      </c>
      <c r="H38" s="196">
        <v>-100</v>
      </c>
      <c r="I38" s="197">
        <v>100</v>
      </c>
      <c r="J38" s="268">
        <f t="shared" si="1"/>
        <v>-10000</v>
      </c>
      <c r="K38" s="185"/>
      <c r="V38" s="183">
        <f t="shared" si="2"/>
        <v>0</v>
      </c>
      <c r="W38" s="183">
        <f t="shared" si="6"/>
        <v>1</v>
      </c>
    </row>
    <row r="39" spans="1:23" x14ac:dyDescent="0.3">
      <c r="A39" s="184"/>
      <c r="B39" s="194">
        <v>34</v>
      </c>
      <c r="C39" s="195">
        <v>44250</v>
      </c>
      <c r="D39" s="196" t="s">
        <v>23</v>
      </c>
      <c r="E39" s="196" t="s">
        <v>22</v>
      </c>
      <c r="F39" s="197">
        <v>69950</v>
      </c>
      <c r="G39" s="197">
        <v>70250</v>
      </c>
      <c r="H39" s="196">
        <v>-300</v>
      </c>
      <c r="I39" s="197">
        <v>30</v>
      </c>
      <c r="J39" s="268">
        <f t="shared" si="1"/>
        <v>-9000</v>
      </c>
      <c r="K39" s="185"/>
      <c r="V39" s="183">
        <f t="shared" si="2"/>
        <v>0</v>
      </c>
      <c r="W39" s="183">
        <f t="shared" si="6"/>
        <v>1</v>
      </c>
    </row>
    <row r="40" spans="1:23" x14ac:dyDescent="0.3">
      <c r="A40" s="184"/>
      <c r="B40" s="194">
        <v>35</v>
      </c>
      <c r="C40" s="195">
        <v>44251</v>
      </c>
      <c r="D40" s="196" t="s">
        <v>16</v>
      </c>
      <c r="E40" s="196" t="s">
        <v>24</v>
      </c>
      <c r="F40" s="197">
        <v>46780</v>
      </c>
      <c r="G40" s="197">
        <v>46680</v>
      </c>
      <c r="H40" s="196">
        <v>-100</v>
      </c>
      <c r="I40" s="197">
        <v>100</v>
      </c>
      <c r="J40" s="268">
        <f t="shared" si="1"/>
        <v>-10000</v>
      </c>
      <c r="K40" s="185"/>
      <c r="V40" s="183">
        <f t="shared" si="2"/>
        <v>0</v>
      </c>
      <c r="W40" s="183">
        <f t="shared" si="6"/>
        <v>1</v>
      </c>
    </row>
    <row r="41" spans="1:23" x14ac:dyDescent="0.3">
      <c r="A41" s="184"/>
      <c r="B41" s="194">
        <v>36</v>
      </c>
      <c r="C41" s="195">
        <v>44251</v>
      </c>
      <c r="D41" s="196" t="s">
        <v>16</v>
      </c>
      <c r="E41" s="196" t="s">
        <v>22</v>
      </c>
      <c r="F41" s="197">
        <v>69400</v>
      </c>
      <c r="G41" s="197">
        <v>69560</v>
      </c>
      <c r="H41" s="196">
        <v>160</v>
      </c>
      <c r="I41" s="197">
        <v>30</v>
      </c>
      <c r="J41" s="268">
        <f t="shared" si="1"/>
        <v>4800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44252</v>
      </c>
      <c r="D42" s="196" t="s">
        <v>16</v>
      </c>
      <c r="E42" s="196" t="s">
        <v>24</v>
      </c>
      <c r="F42" s="197">
        <v>46440</v>
      </c>
      <c r="G42" s="197">
        <v>46340</v>
      </c>
      <c r="H42" s="196">
        <v>-100</v>
      </c>
      <c r="I42" s="197">
        <v>100</v>
      </c>
      <c r="J42" s="268">
        <f t="shared" si="1"/>
        <v>-10000</v>
      </c>
      <c r="K42" s="185"/>
    </row>
    <row r="43" spans="1:23" x14ac:dyDescent="0.3">
      <c r="A43" s="184"/>
      <c r="B43" s="194">
        <v>38</v>
      </c>
      <c r="C43" s="195">
        <v>44252</v>
      </c>
      <c r="D43" s="196" t="s">
        <v>16</v>
      </c>
      <c r="E43" s="196" t="s">
        <v>22</v>
      </c>
      <c r="F43" s="197">
        <v>70000</v>
      </c>
      <c r="G43" s="197">
        <v>70400</v>
      </c>
      <c r="H43" s="196">
        <v>400</v>
      </c>
      <c r="I43" s="197">
        <v>30</v>
      </c>
      <c r="J43" s="268">
        <f t="shared" si="1"/>
        <v>12000</v>
      </c>
      <c r="K43" s="185"/>
    </row>
    <row r="44" spans="1:23" x14ac:dyDescent="0.3">
      <c r="A44" s="184"/>
      <c r="B44" s="194">
        <v>39</v>
      </c>
      <c r="C44" s="195">
        <v>44253</v>
      </c>
      <c r="D44" s="196" t="s">
        <v>16</v>
      </c>
      <c r="E44" s="196" t="s">
        <v>24</v>
      </c>
      <c r="F44" s="197">
        <v>46480</v>
      </c>
      <c r="G44" s="197">
        <v>46280</v>
      </c>
      <c r="H44" s="196">
        <v>200</v>
      </c>
      <c r="I44" s="197">
        <v>100</v>
      </c>
      <c r="J44" s="268">
        <f t="shared" si="1"/>
        <v>20000</v>
      </c>
      <c r="K44" s="185"/>
    </row>
    <row r="45" spans="1:23" x14ac:dyDescent="0.3">
      <c r="A45" s="184"/>
      <c r="B45" s="194">
        <v>40</v>
      </c>
      <c r="C45" s="195">
        <v>44253</v>
      </c>
      <c r="D45" s="196" t="s">
        <v>16</v>
      </c>
      <c r="E45" s="196" t="s">
        <v>22</v>
      </c>
      <c r="F45" s="197">
        <v>69800</v>
      </c>
      <c r="G45" s="197">
        <v>70000</v>
      </c>
      <c r="H45" s="196">
        <v>200</v>
      </c>
      <c r="I45" s="197">
        <v>30</v>
      </c>
      <c r="J45" s="268">
        <f t="shared" si="1"/>
        <v>6000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04" t="s">
        <v>879</v>
      </c>
      <c r="C51" s="305"/>
      <c r="D51" s="305"/>
      <c r="E51" s="305"/>
      <c r="F51" s="305"/>
      <c r="G51" s="305"/>
      <c r="H51" s="306"/>
      <c r="I51" s="203" t="s">
        <v>880</v>
      </c>
      <c r="J51" s="204">
        <f>SUM(J6:J50)</f>
        <v>363400</v>
      </c>
      <c r="K51" s="185"/>
      <c r="V51" s="183">
        <f>SUM(V6:V50)</f>
        <v>28</v>
      </c>
      <c r="W51" s="183">
        <f>SUM(W6:W50)</f>
        <v>8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07" t="s">
        <v>128</v>
      </c>
      <c r="C55" s="308"/>
      <c r="D55" s="308"/>
      <c r="E55" s="308"/>
      <c r="F55" s="308"/>
      <c r="G55" s="308"/>
      <c r="H55" s="308"/>
      <c r="I55" s="308"/>
      <c r="J55" s="309"/>
      <c r="K55" s="185"/>
    </row>
    <row r="56" spans="1:23" ht="16.2" thickBot="1" x14ac:dyDescent="0.35">
      <c r="A56" s="184"/>
      <c r="B56" s="310">
        <v>44228</v>
      </c>
      <c r="C56" s="311"/>
      <c r="D56" s="311"/>
      <c r="E56" s="311"/>
      <c r="F56" s="311"/>
      <c r="G56" s="311"/>
      <c r="H56" s="311"/>
      <c r="I56" s="311"/>
      <c r="J56" s="312"/>
      <c r="K56" s="185"/>
    </row>
    <row r="57" spans="1:23" ht="16.2" thickBot="1" x14ac:dyDescent="0.35">
      <c r="A57" s="184"/>
      <c r="B57" s="313" t="s">
        <v>881</v>
      </c>
      <c r="C57" s="314"/>
      <c r="D57" s="314"/>
      <c r="E57" s="314"/>
      <c r="F57" s="314"/>
      <c r="G57" s="314"/>
      <c r="H57" s="314"/>
      <c r="I57" s="314"/>
      <c r="J57" s="315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44228</v>
      </c>
      <c r="D59" s="192" t="s">
        <v>23</v>
      </c>
      <c r="E59" s="192" t="s">
        <v>25</v>
      </c>
      <c r="F59" s="193">
        <v>3850</v>
      </c>
      <c r="G59" s="193">
        <v>3832</v>
      </c>
      <c r="H59" s="192">
        <v>18</v>
      </c>
      <c r="I59" s="193">
        <v>100</v>
      </c>
      <c r="J59" s="267">
        <f t="shared" ref="J59:J81" si="7">I59*H59</f>
        <v>1800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44229</v>
      </c>
      <c r="D60" s="196" t="s">
        <v>23</v>
      </c>
      <c r="E60" s="196" t="s">
        <v>25</v>
      </c>
      <c r="F60" s="197">
        <v>4000</v>
      </c>
      <c r="G60" s="197">
        <v>4030</v>
      </c>
      <c r="H60" s="196">
        <v>-30</v>
      </c>
      <c r="I60" s="197">
        <v>100</v>
      </c>
      <c r="J60" s="268">
        <f t="shared" si="7"/>
        <v>-3000</v>
      </c>
      <c r="K60" s="185"/>
      <c r="V60" s="183">
        <f t="shared" ref="V60:V81" si="8">IF($J60&gt;0,1,0)</f>
        <v>0</v>
      </c>
      <c r="W60" s="183">
        <f t="shared" ref="W60:W81" si="9">IF($J60&lt;0,1,0)</f>
        <v>1</v>
      </c>
    </row>
    <row r="61" spans="1:23" x14ac:dyDescent="0.3">
      <c r="A61" s="184"/>
      <c r="B61" s="194">
        <v>3</v>
      </c>
      <c r="C61" s="195">
        <v>44230</v>
      </c>
      <c r="D61" s="196" t="s">
        <v>23</v>
      </c>
      <c r="E61" s="196" t="s">
        <v>25</v>
      </c>
      <c r="F61" s="197">
        <v>4020</v>
      </c>
      <c r="G61" s="197">
        <v>4050</v>
      </c>
      <c r="H61" s="196">
        <v>-30</v>
      </c>
      <c r="I61" s="197">
        <v>100</v>
      </c>
      <c r="J61" s="268">
        <f t="shared" si="7"/>
        <v>-3000</v>
      </c>
      <c r="K61" s="185"/>
      <c r="V61" s="183">
        <f t="shared" si="8"/>
        <v>0</v>
      </c>
      <c r="W61" s="183">
        <f t="shared" si="9"/>
        <v>1</v>
      </c>
    </row>
    <row r="62" spans="1:23" x14ac:dyDescent="0.3">
      <c r="A62" s="184"/>
      <c r="B62" s="194">
        <v>4</v>
      </c>
      <c r="C62" s="195">
        <v>44231</v>
      </c>
      <c r="D62" s="196" t="s">
        <v>16</v>
      </c>
      <c r="E62" s="196" t="s">
        <v>25</v>
      </c>
      <c r="F62" s="197">
        <v>4100</v>
      </c>
      <c r="G62" s="197">
        <v>4070</v>
      </c>
      <c r="H62" s="196">
        <v>-30</v>
      </c>
      <c r="I62" s="197">
        <v>100</v>
      </c>
      <c r="J62" s="268">
        <f t="shared" si="7"/>
        <v>-3000</v>
      </c>
      <c r="K62" s="185"/>
      <c r="V62" s="183">
        <f t="shared" si="8"/>
        <v>0</v>
      </c>
      <c r="W62" s="183">
        <f t="shared" si="9"/>
        <v>1</v>
      </c>
    </row>
    <row r="63" spans="1:23" x14ac:dyDescent="0.3">
      <c r="A63" s="184"/>
      <c r="B63" s="194">
        <v>5</v>
      </c>
      <c r="C63" s="195">
        <v>44232</v>
      </c>
      <c r="D63" s="196" t="s">
        <v>23</v>
      </c>
      <c r="E63" s="196" t="s">
        <v>25</v>
      </c>
      <c r="F63" s="197">
        <v>4160</v>
      </c>
      <c r="G63" s="197">
        <v>4130</v>
      </c>
      <c r="H63" s="196">
        <v>30</v>
      </c>
      <c r="I63" s="197">
        <v>100</v>
      </c>
      <c r="J63" s="268">
        <f t="shared" si="7"/>
        <v>3000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44235</v>
      </c>
      <c r="D64" s="196" t="s">
        <v>23</v>
      </c>
      <c r="E64" s="196" t="s">
        <v>25</v>
      </c>
      <c r="F64" s="197">
        <v>4200</v>
      </c>
      <c r="G64" s="197">
        <v>4188</v>
      </c>
      <c r="H64" s="196">
        <v>12</v>
      </c>
      <c r="I64" s="197">
        <v>100</v>
      </c>
      <c r="J64" s="268">
        <f t="shared" si="7"/>
        <v>1200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44236</v>
      </c>
      <c r="D65" s="196" t="s">
        <v>23</v>
      </c>
      <c r="E65" s="196" t="s">
        <v>25</v>
      </c>
      <c r="F65" s="222">
        <v>4250</v>
      </c>
      <c r="G65" s="222">
        <v>4190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44237</v>
      </c>
      <c r="D66" s="196" t="s">
        <v>23</v>
      </c>
      <c r="E66" s="196" t="s">
        <v>25</v>
      </c>
      <c r="F66" s="197">
        <v>4280</v>
      </c>
      <c r="G66" s="197">
        <v>4235</v>
      </c>
      <c r="H66" s="196">
        <v>45</v>
      </c>
      <c r="I66" s="197">
        <v>100</v>
      </c>
      <c r="J66" s="268">
        <f t="shared" si="7"/>
        <v>4500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44238</v>
      </c>
      <c r="D67" s="196" t="s">
        <v>23</v>
      </c>
      <c r="E67" s="196" t="s">
        <v>25</v>
      </c>
      <c r="F67" s="197">
        <v>4255</v>
      </c>
      <c r="G67" s="197">
        <v>4238</v>
      </c>
      <c r="H67" s="196">
        <v>17</v>
      </c>
      <c r="I67" s="197">
        <v>100</v>
      </c>
      <c r="J67" s="268">
        <f t="shared" si="7"/>
        <v>1700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44239</v>
      </c>
      <c r="D68" s="196" t="s">
        <v>16</v>
      </c>
      <c r="E68" s="196" t="s">
        <v>25</v>
      </c>
      <c r="F68" s="197">
        <v>4200</v>
      </c>
      <c r="G68" s="197">
        <v>4230</v>
      </c>
      <c r="H68" s="196">
        <v>30</v>
      </c>
      <c r="I68" s="197">
        <v>100</v>
      </c>
      <c r="J68" s="268">
        <f t="shared" si="7"/>
        <v>3000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44242</v>
      </c>
      <c r="D69" s="196" t="s">
        <v>16</v>
      </c>
      <c r="E69" s="196" t="s">
        <v>25</v>
      </c>
      <c r="F69" s="197">
        <v>4400</v>
      </c>
      <c r="G69" s="197">
        <v>4415</v>
      </c>
      <c r="H69" s="196">
        <v>15</v>
      </c>
      <c r="I69" s="197">
        <v>100</v>
      </c>
      <c r="J69" s="268">
        <f t="shared" si="7"/>
        <v>1500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44243</v>
      </c>
      <c r="D70" s="196" t="s">
        <v>23</v>
      </c>
      <c r="E70" s="196" t="s">
        <v>25</v>
      </c>
      <c r="F70" s="197">
        <v>4355</v>
      </c>
      <c r="G70" s="197">
        <v>4328</v>
      </c>
      <c r="H70" s="196">
        <v>27</v>
      </c>
      <c r="I70" s="197">
        <v>100</v>
      </c>
      <c r="J70" s="268">
        <f t="shared" si="7"/>
        <v>2700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44244</v>
      </c>
      <c r="D71" s="196" t="s">
        <v>16</v>
      </c>
      <c r="E71" s="196" t="s">
        <v>25</v>
      </c>
      <c r="F71" s="197">
        <v>4400</v>
      </c>
      <c r="G71" s="197">
        <v>4442</v>
      </c>
      <c r="H71" s="196">
        <v>42</v>
      </c>
      <c r="I71" s="197">
        <v>100</v>
      </c>
      <c r="J71" s="268">
        <f t="shared" si="7"/>
        <v>4200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44245</v>
      </c>
      <c r="D72" s="196" t="s">
        <v>23</v>
      </c>
      <c r="E72" s="196" t="s">
        <v>25</v>
      </c>
      <c r="F72" s="197">
        <v>4460</v>
      </c>
      <c r="G72" s="197">
        <v>4420</v>
      </c>
      <c r="H72" s="196">
        <v>40</v>
      </c>
      <c r="I72" s="197">
        <v>100</v>
      </c>
      <c r="J72" s="268">
        <f t="shared" si="7"/>
        <v>4000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44246</v>
      </c>
      <c r="D73" s="196" t="s">
        <v>23</v>
      </c>
      <c r="E73" s="196" t="s">
        <v>25</v>
      </c>
      <c r="F73" s="197">
        <v>4295</v>
      </c>
      <c r="G73" s="197">
        <v>4325</v>
      </c>
      <c r="H73" s="196">
        <v>-30</v>
      </c>
      <c r="I73" s="197">
        <v>100</v>
      </c>
      <c r="J73" s="268">
        <f t="shared" si="7"/>
        <v>-3000</v>
      </c>
      <c r="K73" s="185"/>
      <c r="V73" s="183">
        <f t="shared" si="8"/>
        <v>0</v>
      </c>
      <c r="W73" s="183">
        <f t="shared" si="9"/>
        <v>1</v>
      </c>
    </row>
    <row r="74" spans="1:23" x14ac:dyDescent="0.3">
      <c r="A74" s="184"/>
      <c r="B74" s="194">
        <v>16</v>
      </c>
      <c r="C74" s="195">
        <v>44249</v>
      </c>
      <c r="D74" s="196" t="s">
        <v>23</v>
      </c>
      <c r="E74" s="196" t="s">
        <v>25</v>
      </c>
      <c r="F74" s="197">
        <v>4335</v>
      </c>
      <c r="G74" s="197">
        <v>4315</v>
      </c>
      <c r="H74" s="196">
        <v>20</v>
      </c>
      <c r="I74" s="197">
        <v>100</v>
      </c>
      <c r="J74" s="268">
        <f t="shared" si="7"/>
        <v>2000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44250</v>
      </c>
      <c r="D75" s="196" t="s">
        <v>23</v>
      </c>
      <c r="E75" s="196" t="s">
        <v>25</v>
      </c>
      <c r="F75" s="197">
        <v>4520</v>
      </c>
      <c r="G75" s="197">
        <v>4460</v>
      </c>
      <c r="H75" s="196">
        <v>40</v>
      </c>
      <c r="I75" s="197">
        <v>100</v>
      </c>
      <c r="J75" s="268">
        <f t="shared" si="7"/>
        <v>4000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44251</v>
      </c>
      <c r="D76" s="196" t="s">
        <v>16</v>
      </c>
      <c r="E76" s="196" t="s">
        <v>25</v>
      </c>
      <c r="F76" s="197">
        <v>4480</v>
      </c>
      <c r="G76" s="197">
        <v>4520</v>
      </c>
      <c r="H76" s="196">
        <v>40</v>
      </c>
      <c r="I76" s="197">
        <v>100</v>
      </c>
      <c r="J76" s="268">
        <f t="shared" si="7"/>
        <v>4000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44252</v>
      </c>
      <c r="D77" s="196" t="s">
        <v>23</v>
      </c>
      <c r="E77" s="196" t="s">
        <v>25</v>
      </c>
      <c r="F77" s="197">
        <v>4615</v>
      </c>
      <c r="G77" s="197">
        <v>45555</v>
      </c>
      <c r="H77" s="196">
        <v>40</v>
      </c>
      <c r="I77" s="197">
        <v>100</v>
      </c>
      <c r="J77" s="268">
        <f t="shared" si="7"/>
        <v>4000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44253</v>
      </c>
      <c r="D78" s="196" t="s">
        <v>23</v>
      </c>
      <c r="E78" s="196" t="s">
        <v>25</v>
      </c>
      <c r="F78" s="197">
        <v>4650</v>
      </c>
      <c r="G78" s="197">
        <v>4590</v>
      </c>
      <c r="H78" s="196">
        <v>60</v>
      </c>
      <c r="I78" s="197">
        <v>100</v>
      </c>
      <c r="J78" s="268">
        <f t="shared" si="7"/>
        <v>6000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8" t="s">
        <v>879</v>
      </c>
      <c r="C82" s="305"/>
      <c r="D82" s="305"/>
      <c r="E82" s="305"/>
      <c r="F82" s="305"/>
      <c r="G82" s="305"/>
      <c r="H82" s="306"/>
      <c r="I82" s="203" t="s">
        <v>880</v>
      </c>
      <c r="J82" s="204">
        <f>SUM(J59:J81)</f>
        <v>41600</v>
      </c>
      <c r="K82" s="185"/>
      <c r="V82" s="183">
        <f>SUM(V59:V81)</f>
        <v>16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07" t="s">
        <v>873</v>
      </c>
      <c r="C86" s="308"/>
      <c r="D86" s="308"/>
      <c r="E86" s="308"/>
      <c r="F86" s="308"/>
      <c r="G86" s="308"/>
      <c r="H86" s="308"/>
      <c r="I86" s="308"/>
      <c r="J86" s="309"/>
      <c r="K86" s="185"/>
    </row>
    <row r="87" spans="1:23" ht="16.2" thickBot="1" x14ac:dyDescent="0.35">
      <c r="A87" s="184"/>
      <c r="B87" s="310">
        <v>44228</v>
      </c>
      <c r="C87" s="311"/>
      <c r="D87" s="311"/>
      <c r="E87" s="311"/>
      <c r="F87" s="311"/>
      <c r="G87" s="311"/>
      <c r="H87" s="311"/>
      <c r="I87" s="311"/>
      <c r="J87" s="312"/>
      <c r="K87" s="185"/>
    </row>
    <row r="88" spans="1:23" ht="16.2" thickBot="1" x14ac:dyDescent="0.35">
      <c r="A88" s="184"/>
      <c r="B88" s="313" t="s">
        <v>882</v>
      </c>
      <c r="C88" s="314"/>
      <c r="D88" s="314"/>
      <c r="E88" s="314"/>
      <c r="F88" s="314"/>
      <c r="G88" s="314"/>
      <c r="H88" s="314"/>
      <c r="I88" s="314"/>
      <c r="J88" s="315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44228</v>
      </c>
      <c r="D90" s="216" t="s">
        <v>16</v>
      </c>
      <c r="E90" s="256" t="s">
        <v>28</v>
      </c>
      <c r="F90" s="256">
        <v>205.3</v>
      </c>
      <c r="G90" s="256">
        <v>206.3</v>
      </c>
      <c r="H90" s="256">
        <v>1</v>
      </c>
      <c r="I90" s="218">
        <v>5000</v>
      </c>
      <c r="J90" s="273">
        <f>I90*H90</f>
        <v>5000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44229</v>
      </c>
      <c r="D91" s="196" t="s">
        <v>16</v>
      </c>
      <c r="E91" s="222" t="s">
        <v>28</v>
      </c>
      <c r="F91" s="222">
        <v>205</v>
      </c>
      <c r="G91" s="222">
        <v>206</v>
      </c>
      <c r="H91" s="222">
        <v>1</v>
      </c>
      <c r="I91" s="197">
        <v>5000</v>
      </c>
      <c r="J91" s="268">
        <f t="shared" ref="J91:J112" si="10">I91*H91</f>
        <v>5000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44230</v>
      </c>
      <c r="D92" s="196" t="s">
        <v>16</v>
      </c>
      <c r="E92" s="222" t="s">
        <v>28</v>
      </c>
      <c r="F92" s="222">
        <v>206.5</v>
      </c>
      <c r="G92" s="222">
        <v>208</v>
      </c>
      <c r="H92" s="222">
        <v>1.5</v>
      </c>
      <c r="I92" s="197">
        <v>5000</v>
      </c>
      <c r="J92" s="268">
        <f t="shared" si="10"/>
        <v>7500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44231</v>
      </c>
      <c r="D93" s="196" t="s">
        <v>23</v>
      </c>
      <c r="E93" s="222" t="s">
        <v>28</v>
      </c>
      <c r="F93" s="222">
        <v>209</v>
      </c>
      <c r="G93" s="222">
        <v>208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44232</v>
      </c>
      <c r="D94" s="196" t="s">
        <v>16</v>
      </c>
      <c r="E94" s="222" t="s">
        <v>28</v>
      </c>
      <c r="F94" s="222">
        <v>211.6</v>
      </c>
      <c r="G94" s="222">
        <v>210.6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44235</v>
      </c>
      <c r="D95" s="196" t="s">
        <v>16</v>
      </c>
      <c r="E95" s="222" t="s">
        <v>28</v>
      </c>
      <c r="F95" s="222">
        <v>212.8</v>
      </c>
      <c r="G95" s="222">
        <v>213.5</v>
      </c>
      <c r="H95" s="222">
        <v>0.7</v>
      </c>
      <c r="I95" s="197">
        <v>5000</v>
      </c>
      <c r="J95" s="268">
        <f t="shared" si="10"/>
        <v>3500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44236</v>
      </c>
      <c r="D96" s="196" t="s">
        <v>16</v>
      </c>
      <c r="E96" s="222" t="s">
        <v>28</v>
      </c>
      <c r="F96" s="222">
        <v>213.4</v>
      </c>
      <c r="G96" s="222">
        <v>215</v>
      </c>
      <c r="H96" s="274">
        <v>1.6</v>
      </c>
      <c r="I96" s="197">
        <v>5000</v>
      </c>
      <c r="J96" s="268">
        <f t="shared" si="10"/>
        <v>8000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44237</v>
      </c>
      <c r="D97" s="196" t="s">
        <v>23</v>
      </c>
      <c r="E97" s="222" t="s">
        <v>28</v>
      </c>
      <c r="F97" s="222">
        <v>216</v>
      </c>
      <c r="G97" s="222">
        <v>217.5</v>
      </c>
      <c r="H97" s="222">
        <v>1.5</v>
      </c>
      <c r="I97" s="197">
        <v>5000</v>
      </c>
      <c r="J97" s="268">
        <f t="shared" si="10"/>
        <v>7500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44238</v>
      </c>
      <c r="D98" s="196" t="s">
        <v>23</v>
      </c>
      <c r="E98" s="222" t="s">
        <v>28</v>
      </c>
      <c r="F98" s="222">
        <v>217.9</v>
      </c>
      <c r="G98" s="222">
        <v>218.9</v>
      </c>
      <c r="H98" s="222">
        <v>-1</v>
      </c>
      <c r="I98" s="197">
        <v>5000</v>
      </c>
      <c r="J98" s="268">
        <f t="shared" si="10"/>
        <v>-5000</v>
      </c>
      <c r="K98" s="185"/>
      <c r="V98" s="183">
        <f t="shared" si="11"/>
        <v>0</v>
      </c>
      <c r="W98" s="183">
        <f t="shared" si="12"/>
        <v>1</v>
      </c>
    </row>
    <row r="99" spans="1:23" x14ac:dyDescent="0.3">
      <c r="A99" s="184"/>
      <c r="B99" s="194">
        <v>10</v>
      </c>
      <c r="C99" s="195">
        <v>44239</v>
      </c>
      <c r="D99" s="196" t="s">
        <v>16</v>
      </c>
      <c r="E99" s="222" t="s">
        <v>28</v>
      </c>
      <c r="F99" s="222">
        <v>222.3</v>
      </c>
      <c r="G99" s="222">
        <v>223.3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44242</v>
      </c>
      <c r="D100" s="196" t="s">
        <v>23</v>
      </c>
      <c r="E100" s="222" t="s">
        <v>28</v>
      </c>
      <c r="F100" s="222">
        <v>225.7</v>
      </c>
      <c r="G100" s="222">
        <v>224.7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44243</v>
      </c>
      <c r="D101" s="196" t="s">
        <v>16</v>
      </c>
      <c r="E101" s="222" t="s">
        <v>28</v>
      </c>
      <c r="F101" s="222">
        <v>226.1</v>
      </c>
      <c r="G101" s="222">
        <v>228</v>
      </c>
      <c r="H101" s="274">
        <v>1.9</v>
      </c>
      <c r="I101" s="197">
        <v>5000</v>
      </c>
      <c r="J101" s="268">
        <f t="shared" si="10"/>
        <v>9500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44244</v>
      </c>
      <c r="D102" s="196" t="s">
        <v>16</v>
      </c>
      <c r="E102" s="222" t="s">
        <v>28</v>
      </c>
      <c r="F102" s="222">
        <v>227.6</v>
      </c>
      <c r="G102" s="222">
        <v>228.5</v>
      </c>
      <c r="H102" s="274">
        <v>0.9</v>
      </c>
      <c r="I102" s="197">
        <v>5000</v>
      </c>
      <c r="J102" s="268">
        <f t="shared" si="10"/>
        <v>4500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44245</v>
      </c>
      <c r="D103" s="196" t="s">
        <v>16</v>
      </c>
      <c r="E103" s="222" t="s">
        <v>28</v>
      </c>
      <c r="F103" s="222">
        <v>230.8</v>
      </c>
      <c r="G103" s="222">
        <v>231.75</v>
      </c>
      <c r="H103" s="274">
        <v>0.95</v>
      </c>
      <c r="I103" s="197">
        <v>5000</v>
      </c>
      <c r="J103" s="268">
        <f t="shared" si="10"/>
        <v>4750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44246</v>
      </c>
      <c r="D104" s="196" t="s">
        <v>16</v>
      </c>
      <c r="E104" s="222" t="s">
        <v>28</v>
      </c>
      <c r="F104" s="223">
        <v>234</v>
      </c>
      <c r="G104" s="222">
        <v>235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44249</v>
      </c>
      <c r="D105" s="196" t="s">
        <v>16</v>
      </c>
      <c r="E105" s="222" t="s">
        <v>28</v>
      </c>
      <c r="F105" s="222">
        <v>231.7</v>
      </c>
      <c r="G105" s="222">
        <v>230.7</v>
      </c>
      <c r="H105" s="274">
        <v>-1</v>
      </c>
      <c r="I105" s="197">
        <v>5000</v>
      </c>
      <c r="J105" s="268">
        <f t="shared" si="10"/>
        <v>-5000</v>
      </c>
      <c r="K105" s="185"/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17</v>
      </c>
      <c r="C106" s="195">
        <v>44250</v>
      </c>
      <c r="D106" s="196" t="s">
        <v>23</v>
      </c>
      <c r="E106" s="222" t="s">
        <v>28</v>
      </c>
      <c r="F106" s="222">
        <v>228.6</v>
      </c>
      <c r="G106" s="222">
        <v>229.6</v>
      </c>
      <c r="H106" s="274">
        <v>-1</v>
      </c>
      <c r="I106" s="197">
        <v>5000</v>
      </c>
      <c r="J106" s="268">
        <f t="shared" si="10"/>
        <v>-5000</v>
      </c>
      <c r="K106" s="185"/>
      <c r="V106" s="183">
        <f t="shared" si="11"/>
        <v>0</v>
      </c>
      <c r="W106" s="183">
        <f t="shared" si="12"/>
        <v>1</v>
      </c>
    </row>
    <row r="107" spans="1:23" x14ac:dyDescent="0.3">
      <c r="A107" s="184"/>
      <c r="B107" s="194">
        <v>18</v>
      </c>
      <c r="C107" s="195">
        <v>44251</v>
      </c>
      <c r="D107" s="196" t="s">
        <v>16</v>
      </c>
      <c r="E107" s="222" t="s">
        <v>28</v>
      </c>
      <c r="F107" s="222">
        <v>224</v>
      </c>
      <c r="G107" s="222">
        <v>224.95</v>
      </c>
      <c r="H107" s="274">
        <v>0.95</v>
      </c>
      <c r="I107" s="197">
        <v>5000</v>
      </c>
      <c r="J107" s="268">
        <f t="shared" si="10"/>
        <v>4750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44252</v>
      </c>
      <c r="D108" s="196" t="s">
        <v>16</v>
      </c>
      <c r="E108" s="222" t="s">
        <v>28</v>
      </c>
      <c r="F108" s="222">
        <v>228.2</v>
      </c>
      <c r="G108" s="222">
        <v>229.1</v>
      </c>
      <c r="H108" s="274">
        <v>0.9</v>
      </c>
      <c r="I108" s="197">
        <v>5000</v>
      </c>
      <c r="J108" s="268">
        <f t="shared" si="10"/>
        <v>4500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44253</v>
      </c>
      <c r="D109" s="196" t="s">
        <v>16</v>
      </c>
      <c r="E109" s="222" t="s">
        <v>28</v>
      </c>
      <c r="F109" s="222">
        <v>223.9</v>
      </c>
      <c r="G109" s="222">
        <v>224.3</v>
      </c>
      <c r="H109" s="274">
        <v>0.4</v>
      </c>
      <c r="I109" s="197">
        <v>5000</v>
      </c>
      <c r="J109" s="268">
        <f t="shared" si="10"/>
        <v>2000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16" t="s">
        <v>879</v>
      </c>
      <c r="C113" s="317"/>
      <c r="D113" s="317"/>
      <c r="E113" s="317"/>
      <c r="F113" s="317"/>
      <c r="G113" s="317"/>
      <c r="H113" s="318"/>
      <c r="I113" s="212" t="s">
        <v>880</v>
      </c>
      <c r="J113" s="213">
        <f>SUM(J90:J112)</f>
        <v>66500</v>
      </c>
      <c r="K113" s="185"/>
      <c r="V113" s="183">
        <f>SUM(V90:V112)</f>
        <v>16</v>
      </c>
      <c r="W113" s="183">
        <f>SUM(W90:W112)</f>
        <v>4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200-000000000000}"/>
    <hyperlink ref="B82" r:id="rId2" xr:uid="{00000000-0004-0000-6200-000001000000}"/>
    <hyperlink ref="M4:M5" location="'FEB 2021'!A1" display="BULLION" xr:uid="{00000000-0004-0000-6200-000002000000}"/>
    <hyperlink ref="B113" r:id="rId3" xr:uid="{00000000-0004-0000-6200-000003000000}"/>
    <hyperlink ref="M8:M9" location="'FEB 2021'!A86" display="BASE METAL" xr:uid="{00000000-0004-0000-6200-000004000000}"/>
    <hyperlink ref="M1" location="MASTER!A1" display="Back" xr:uid="{00000000-0004-0000-6200-000005000000}"/>
    <hyperlink ref="M6:M7" location="'FEB 2021'!A54" display="ENERGY" xr:uid="{00000000-0004-0000-6200-000006000000}"/>
  </hyperlinks>
  <pageMargins left="0" right="0" top="0" bottom="0" header="0" footer="0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153</vt:i4>
      </vt:variant>
      <vt:variant>
        <vt:lpstr>Named Ranges</vt:lpstr>
      </vt:variant>
      <vt:variant>
        <vt:i4>96</vt:i4>
      </vt:variant>
    </vt:vector>
  </HeadingPairs>
  <TitlesOfParts>
    <vt:vector size="249" baseType="lpstr">
      <vt:lpstr>DEC 2012</vt:lpstr>
      <vt:lpstr>JAN 2013</vt:lpstr>
      <vt:lpstr>FEB 2013</vt:lpstr>
      <vt:lpstr>MARCH 2013</vt:lpstr>
      <vt:lpstr>APRIL2013</vt:lpstr>
      <vt:lpstr>MAY 2013</vt:lpstr>
      <vt:lpstr>JUNE 2013</vt:lpstr>
      <vt:lpstr>JULY 2013</vt:lpstr>
      <vt:lpstr>AUG 2013</vt:lpstr>
      <vt:lpstr>SEP 2013</vt:lpstr>
      <vt:lpstr>OCT 2013</vt:lpstr>
      <vt:lpstr>NOV 13</vt:lpstr>
      <vt:lpstr>DEC 13</vt:lpstr>
      <vt:lpstr> JAN 2014</vt:lpstr>
      <vt:lpstr>FEB 2014</vt:lpstr>
      <vt:lpstr>MARCH 2014</vt:lpstr>
      <vt:lpstr>APRIL 2014</vt:lpstr>
      <vt:lpstr>MAY 2014</vt:lpstr>
      <vt:lpstr>JUNE 2014</vt:lpstr>
      <vt:lpstr>JULY 2014</vt:lpstr>
      <vt:lpstr>AUG 2014</vt:lpstr>
      <vt:lpstr>SEP 2014</vt:lpstr>
      <vt:lpstr>OCT 2014</vt:lpstr>
      <vt:lpstr>NOV 2014</vt:lpstr>
      <vt:lpstr>DEC 2014</vt:lpstr>
      <vt:lpstr>JAN 2015</vt:lpstr>
      <vt:lpstr>FEB 2015</vt:lpstr>
      <vt:lpstr>MARCH 2015</vt:lpstr>
      <vt:lpstr>APRIL 2015</vt:lpstr>
      <vt:lpstr>MAY 2015</vt:lpstr>
      <vt:lpstr>JUNE 2015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MARCH 2016</vt:lpstr>
      <vt:lpstr>APRIL 2016</vt:lpstr>
      <vt:lpstr>MAY 2016</vt:lpstr>
      <vt:lpstr>JUNE 2016</vt:lpstr>
      <vt:lpstr>JULY 2016</vt:lpstr>
      <vt:lpstr>AUG 2016</vt:lpstr>
      <vt:lpstr>SEP 2016</vt:lpstr>
      <vt:lpstr>OCT 2016</vt:lpstr>
      <vt:lpstr>NOV 2016</vt:lpstr>
      <vt:lpstr>DEC 2016</vt:lpstr>
      <vt:lpstr>JAN 2017</vt:lpstr>
      <vt:lpstr>FEB 2017</vt:lpstr>
      <vt:lpstr>MARCH 2017</vt:lpstr>
      <vt:lpstr>APRIL 2017</vt:lpstr>
      <vt:lpstr>MAY 2017</vt:lpstr>
      <vt:lpstr>JUNE 2017</vt:lpstr>
      <vt:lpstr>JULY 2017</vt:lpstr>
      <vt:lpstr>AUG-2017</vt:lpstr>
      <vt:lpstr>SEP-2017</vt:lpstr>
      <vt:lpstr>OCT-2017</vt:lpstr>
      <vt:lpstr>NOV-2017</vt:lpstr>
      <vt:lpstr>DEC 2017</vt:lpstr>
      <vt:lpstr>JAN 2018</vt:lpstr>
      <vt:lpstr>FEB 2018</vt:lpstr>
      <vt:lpstr>MARCH 2018</vt:lpstr>
      <vt:lpstr>APRIL-2018</vt:lpstr>
      <vt:lpstr>MAY-2018</vt:lpstr>
      <vt:lpstr>JUNE-2018</vt:lpstr>
      <vt:lpstr>JULY-2018</vt:lpstr>
      <vt:lpstr>AUGUST-2018</vt:lpstr>
      <vt:lpstr>SEP-2018</vt:lpstr>
      <vt:lpstr>OCT -2018</vt:lpstr>
      <vt:lpstr>NOV-2018</vt:lpstr>
      <vt:lpstr>DEC-2018</vt:lpstr>
      <vt:lpstr>JAN-2019</vt:lpstr>
      <vt:lpstr>FEB-2019</vt:lpstr>
      <vt:lpstr>MARCH 2019</vt:lpstr>
      <vt:lpstr>APRIL 2019</vt:lpstr>
      <vt:lpstr>MAY 2019</vt:lpstr>
      <vt:lpstr>JUN 2019</vt:lpstr>
      <vt:lpstr>JULY 2019</vt:lpstr>
      <vt:lpstr>AUGUST 2019</vt:lpstr>
      <vt:lpstr>SEP 2019</vt:lpstr>
      <vt:lpstr>OCT 2019</vt:lpstr>
      <vt:lpstr>NOV 2019</vt:lpstr>
      <vt:lpstr>DEC 2019</vt:lpstr>
      <vt:lpstr>JAN 2020</vt:lpstr>
      <vt:lpstr>FEB 2020</vt:lpstr>
      <vt:lpstr>MARCH 2020</vt:lpstr>
      <vt:lpstr>APRIL 2020</vt:lpstr>
      <vt:lpstr>MAY 2020</vt:lpstr>
      <vt:lpstr>JUNE 2020</vt:lpstr>
      <vt:lpstr>JULY 2020</vt:lpstr>
      <vt:lpstr>AUGUST 2020</vt:lpstr>
      <vt:lpstr>SEP 2020</vt:lpstr>
      <vt:lpstr>OCT 2020</vt:lpstr>
      <vt:lpstr>NOV 2020</vt:lpstr>
      <vt:lpstr>DEC 2020</vt:lpstr>
      <vt:lpstr>JAN 2021</vt:lpstr>
      <vt:lpstr>FEB 2021</vt:lpstr>
      <vt:lpstr>MARCH 2021</vt:lpstr>
      <vt:lpstr>APRIL 2021</vt:lpstr>
      <vt:lpstr>MAY 2021</vt:lpstr>
      <vt:lpstr>JUNE 2021</vt:lpstr>
      <vt:lpstr>JULY 2021</vt:lpstr>
      <vt:lpstr>AUGUST 2021</vt:lpstr>
      <vt:lpstr>SEP 2021</vt:lpstr>
      <vt:lpstr>OCT 2021</vt:lpstr>
      <vt:lpstr>NOV 2021</vt:lpstr>
      <vt:lpstr>DEC 2021</vt:lpstr>
      <vt:lpstr>JAN 2022</vt:lpstr>
      <vt:lpstr>FEB -2022</vt:lpstr>
      <vt:lpstr>MARCH -2022</vt:lpstr>
      <vt:lpstr>APRIL 2022</vt:lpstr>
      <vt:lpstr>MAY 2022</vt:lpstr>
      <vt:lpstr>JUN 2022</vt:lpstr>
      <vt:lpstr>JULY 2022</vt:lpstr>
      <vt:lpstr>AUGUST 2022</vt:lpstr>
      <vt:lpstr>SEP 2022</vt:lpstr>
      <vt:lpstr>OCT 2022</vt:lpstr>
      <vt:lpstr>NOV 2022</vt:lpstr>
      <vt:lpstr>DEC 2022</vt:lpstr>
      <vt:lpstr>JAN 2023</vt:lpstr>
      <vt:lpstr>FEB 2023</vt:lpstr>
      <vt:lpstr>MARCH 2023</vt:lpstr>
      <vt:lpstr>APRIL 2023</vt:lpstr>
      <vt:lpstr>MAY 2023</vt:lpstr>
      <vt:lpstr>JUN 2023</vt:lpstr>
      <vt:lpstr>JULY 2023</vt:lpstr>
      <vt:lpstr>AUGUST 2023</vt:lpstr>
      <vt:lpstr>SEP 2023</vt:lpstr>
      <vt:lpstr>OCT 2023</vt:lpstr>
      <vt:lpstr>NOV 2023</vt:lpstr>
      <vt:lpstr>DEC 2023</vt:lpstr>
      <vt:lpstr>JAN 2024</vt:lpstr>
      <vt:lpstr>FEB 2024</vt:lpstr>
      <vt:lpstr>MARCH 2024</vt:lpstr>
      <vt:lpstr>APRIL 2024</vt:lpstr>
      <vt:lpstr>MAY 2024</vt:lpstr>
      <vt:lpstr>JUN 2024</vt:lpstr>
      <vt:lpstr>JULY 2024</vt:lpstr>
      <vt:lpstr>AUGUST 2024</vt:lpstr>
      <vt:lpstr>SEP 2024</vt:lpstr>
      <vt:lpstr>OCT 2024</vt:lpstr>
      <vt:lpstr>NOV 2024</vt:lpstr>
      <vt:lpstr>DEC 2024</vt:lpstr>
      <vt:lpstr>JAN 2025</vt:lpstr>
      <vt:lpstr>FEB 2025</vt:lpstr>
      <vt:lpstr>MARCH 2025</vt:lpstr>
      <vt:lpstr>APRIL 2025</vt:lpstr>
      <vt:lpstr>MAY 2025</vt:lpstr>
      <vt:lpstr>JUN 2025</vt:lpstr>
      <vt:lpstr>JULY 2025</vt:lpstr>
      <vt:lpstr>MASTER</vt:lpstr>
      <vt:lpstr>'APRIL 2019'!Print_Area</vt:lpstr>
      <vt:lpstr>'APRIL 2020'!Print_Area</vt:lpstr>
      <vt:lpstr>'APRIL 2021'!Print_Area</vt:lpstr>
      <vt:lpstr>'APRIL 2022'!Print_Area</vt:lpstr>
      <vt:lpstr>'APRIL 2023'!Print_Area</vt:lpstr>
      <vt:lpstr>'APRIL 2024'!Print_Area</vt:lpstr>
      <vt:lpstr>'APRIL 2025'!Print_Area</vt:lpstr>
      <vt:lpstr>'APRIL-2018'!Print_Area</vt:lpstr>
      <vt:lpstr>'AUG-2017'!Print_Area</vt:lpstr>
      <vt:lpstr>'AUGUST 2019'!Print_Area</vt:lpstr>
      <vt:lpstr>'AUGUST 2020'!Print_Area</vt:lpstr>
      <vt:lpstr>'AUGUST 2021'!Print_Area</vt:lpstr>
      <vt:lpstr>'AUGUST 2022'!Print_Area</vt:lpstr>
      <vt:lpstr>'AUGUST 2023'!Print_Area</vt:lpstr>
      <vt:lpstr>'AUGUST 2024'!Print_Area</vt:lpstr>
      <vt:lpstr>'AUGUST-2018'!Print_Area</vt:lpstr>
      <vt:lpstr>'DEC 2017'!Print_Area</vt:lpstr>
      <vt:lpstr>'DEC 2019'!Print_Area</vt:lpstr>
      <vt:lpstr>'DEC 2020'!Print_Area</vt:lpstr>
      <vt:lpstr>'DEC 2021'!Print_Area</vt:lpstr>
      <vt:lpstr>'DEC 2022'!Print_Area</vt:lpstr>
      <vt:lpstr>'DEC 2023'!Print_Area</vt:lpstr>
      <vt:lpstr>'DEC 2024'!Print_Area</vt:lpstr>
      <vt:lpstr>'DEC-2018'!Print_Area</vt:lpstr>
      <vt:lpstr>'FEB 2018'!Print_Area</vt:lpstr>
      <vt:lpstr>'FEB 2020'!Print_Area</vt:lpstr>
      <vt:lpstr>'FEB 2021'!Print_Area</vt:lpstr>
      <vt:lpstr>'FEB -2022'!Print_Area</vt:lpstr>
      <vt:lpstr>'FEB 2023'!Print_Area</vt:lpstr>
      <vt:lpstr>'FEB 2024'!Print_Area</vt:lpstr>
      <vt:lpstr>'FEB 2025'!Print_Area</vt:lpstr>
      <vt:lpstr>'FEB-2019'!Print_Area</vt:lpstr>
      <vt:lpstr>'JAN 2018'!Print_Area</vt:lpstr>
      <vt:lpstr>'JAN 2020'!Print_Area</vt:lpstr>
      <vt:lpstr>'JAN 2021'!Print_Area</vt:lpstr>
      <vt:lpstr>'JAN 2022'!Print_Area</vt:lpstr>
      <vt:lpstr>'JAN 2023'!Print_Area</vt:lpstr>
      <vt:lpstr>'JAN 2024'!Print_Area</vt:lpstr>
      <vt:lpstr>'JAN 2025'!Print_Area</vt:lpstr>
      <vt:lpstr>'JAN-2019'!Print_Area</vt:lpstr>
      <vt:lpstr>'JULY 2019'!Print_Area</vt:lpstr>
      <vt:lpstr>'JULY 2020'!Print_Area</vt:lpstr>
      <vt:lpstr>'JULY 2021'!Print_Area</vt:lpstr>
      <vt:lpstr>'JULY 2022'!Print_Area</vt:lpstr>
      <vt:lpstr>'JULY 2023'!Print_Area</vt:lpstr>
      <vt:lpstr>'JULY 2024'!Print_Area</vt:lpstr>
      <vt:lpstr>'JULY 2025'!Print_Area</vt:lpstr>
      <vt:lpstr>'JULY-2018'!Print_Area</vt:lpstr>
      <vt:lpstr>'JUN 2019'!Print_Area</vt:lpstr>
      <vt:lpstr>'JUN 2022'!Print_Area</vt:lpstr>
      <vt:lpstr>'JUN 2023'!Print_Area</vt:lpstr>
      <vt:lpstr>'JUN 2024'!Print_Area</vt:lpstr>
      <vt:lpstr>'JUN 2025'!Print_Area</vt:lpstr>
      <vt:lpstr>'JUNE 2020'!Print_Area</vt:lpstr>
      <vt:lpstr>'JUNE 2021'!Print_Area</vt:lpstr>
      <vt:lpstr>'JUNE-2018'!Print_Area</vt:lpstr>
      <vt:lpstr>'MARCH 2018'!Print_Area</vt:lpstr>
      <vt:lpstr>'MARCH 2019'!Print_Area</vt:lpstr>
      <vt:lpstr>'MARCH 2020'!Print_Area</vt:lpstr>
      <vt:lpstr>'MARCH 2021'!Print_Area</vt:lpstr>
      <vt:lpstr>'MARCH -2022'!Print_Area</vt:lpstr>
      <vt:lpstr>'MARCH 2023'!Print_Area</vt:lpstr>
      <vt:lpstr>'MARCH 2024'!Print_Area</vt:lpstr>
      <vt:lpstr>'MARCH 2025'!Print_Area</vt:lpstr>
      <vt:lpstr>'MAY 2019'!Print_Area</vt:lpstr>
      <vt:lpstr>'MAY 2020'!Print_Area</vt:lpstr>
      <vt:lpstr>'MAY 2021'!Print_Area</vt:lpstr>
      <vt:lpstr>'MAY 2022'!Print_Area</vt:lpstr>
      <vt:lpstr>'MAY 2023'!Print_Area</vt:lpstr>
      <vt:lpstr>'MAY 2024'!Print_Area</vt:lpstr>
      <vt:lpstr>'MAY 2025'!Print_Area</vt:lpstr>
      <vt:lpstr>'MAY-2018'!Print_Area</vt:lpstr>
      <vt:lpstr>'NOV 2019'!Print_Area</vt:lpstr>
      <vt:lpstr>'NOV 2020'!Print_Area</vt:lpstr>
      <vt:lpstr>'NOV 2021'!Print_Area</vt:lpstr>
      <vt:lpstr>'NOV 2022'!Print_Area</vt:lpstr>
      <vt:lpstr>'NOV 2023'!Print_Area</vt:lpstr>
      <vt:lpstr>'NOV 2024'!Print_Area</vt:lpstr>
      <vt:lpstr>'NOV-2017'!Print_Area</vt:lpstr>
      <vt:lpstr>'NOV-2018'!Print_Area</vt:lpstr>
      <vt:lpstr>'OCT -2018'!Print_Area</vt:lpstr>
      <vt:lpstr>'OCT 2019'!Print_Area</vt:lpstr>
      <vt:lpstr>'OCT 2020'!Print_Area</vt:lpstr>
      <vt:lpstr>'OCT 2021'!Print_Area</vt:lpstr>
      <vt:lpstr>'OCT 2022'!Print_Area</vt:lpstr>
      <vt:lpstr>'OCT 2023'!Print_Area</vt:lpstr>
      <vt:lpstr>'OCT 2024'!Print_Area</vt:lpstr>
      <vt:lpstr>'OCT-2017'!Print_Area</vt:lpstr>
      <vt:lpstr>'SEP 2019'!Print_Area</vt:lpstr>
      <vt:lpstr>'SEP 2020'!Print_Area</vt:lpstr>
      <vt:lpstr>'SEP 2021'!Print_Area</vt:lpstr>
      <vt:lpstr>'SEP 2022'!Print_Area</vt:lpstr>
      <vt:lpstr>'SEP 2023'!Print_Area</vt:lpstr>
      <vt:lpstr>'SEP 2024'!Print_Area</vt:lpstr>
      <vt:lpstr>'SEP-2017'!Print_Area</vt:lpstr>
      <vt:lpstr>'SEP-2018'!Print_Area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Ravi</dc:creator>
  <cp:lastModifiedBy>Kalpesh Patel</cp:lastModifiedBy>
  <dcterms:created xsi:type="dcterms:W3CDTF">2013-04-30T18:15:26Z</dcterms:created>
  <dcterms:modified xsi:type="dcterms:W3CDTF">2025-08-01T08:32:34Z</dcterms:modified>
</cp:coreProperties>
</file>